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New folder/"/>
    </mc:Choice>
  </mc:AlternateContent>
  <xr:revisionPtr revIDLastSave="30" documentId="8_{462CE424-B176-4157-A143-95F1E57AEF05}" xr6:coauthVersionLast="47" xr6:coauthVersionMax="47" xr10:uidLastSave="{0ED249B0-E772-45F7-A280-D09E1ED6D35B}"/>
  <bookViews>
    <workbookView xWindow="-108" yWindow="-108" windowWidth="23256" windowHeight="12576" tabRatio="821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310 (2)_5...3d931dee_QNK8R2" sheetId="17" state="hidden" r:id="rId14"/>
    <sheet name="OSR_300 &amp; 317_1C00ID4" sheetId="19" state="hidden" r:id="rId15"/>
    <sheet name="OSR_300 (2)_...6aa5a22d_14M6XO4" sheetId="20" state="hidden" r:id="rId16"/>
    <sheet name="OSR_310_1CMTOSB" sheetId="22" state="hidden" r:id="rId17"/>
    <sheet name="OSR_300 (2)_e...5d0da5bf_6BPGAO" sheetId="23" state="hidden" r:id="rId18"/>
    <sheet name="OSR_310 (2)_...6e684f08_1FLCNJG" sheetId="24" state="hidden" r:id="rId19"/>
    <sheet name="OSR_308_UAWDAG" sheetId="26" state="hidden" r:id="rId20"/>
    <sheet name="OSR_330 (2)_...8a14c83e_1NSH7XI" sheetId="27" state="hidden" r:id="rId21"/>
    <sheet name="OSR_331_10VKQAJ" sheetId="29" state="hidden" r:id="rId22"/>
    <sheet name="OSR_308 (2)_...47685838_1YQW4QY" sheetId="30" state="hidden" r:id="rId23"/>
    <sheet name="OSR_332_6NDVBW" sheetId="32" state="hidden" r:id="rId24"/>
    <sheet name="OSR_331 (2)_...7280af70_1P5SPLT" sheetId="33" state="hidden" r:id="rId25"/>
    <sheet name="OSR_333_69UF5U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...853a34aa_1UNC34K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)...32d16c57_IVJ1QO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08" sheetId="25" r:id="rId52"/>
    <sheet name="311" sheetId="65" r:id="rId53"/>
    <sheet name="324" sheetId="72" r:id="rId54"/>
    <sheet name="333" sheetId="34" r:id="rId55"/>
    <sheet name="307" sheetId="63" r:id="rId56"/>
    <sheet name="331" sheetId="28" r:id="rId57"/>
    <sheet name="315" sheetId="67" r:id="rId58"/>
    <sheet name="326" sheetId="74" r:id="rId59"/>
    <sheet name="332" sheetId="31" r:id="rId60"/>
    <sheet name="316" sheetId="68" r:id="rId61"/>
    <sheet name="Div 6" sheetId="51" r:id="rId62"/>
    <sheet name="317" sheetId="69" r:id="rId63"/>
    <sheet name="310" sheetId="21" r:id="rId64"/>
    <sheet name="309" sheetId="64" r:id="rId65"/>
    <sheet name="321" sheetId="71" r:id="rId66"/>
    <sheet name="325" sheetId="73" r:id="rId67"/>
    <sheet name="327" sheetId="75" r:id="rId68"/>
    <sheet name="Div 4" sheetId="36" r:id="rId69"/>
    <sheet name="310 &amp; 491" sheetId="39" r:id="rId70"/>
    <sheet name="491" sheetId="42" r:id="rId71"/>
    <sheet name="405" sheetId="76" r:id="rId72"/>
    <sheet name="406" sheetId="77" r:id="rId73"/>
    <sheet name="411" sheetId="78" r:id="rId74"/>
    <sheet name="412" sheetId="79" r:id="rId75"/>
    <sheet name="413" sheetId="80" r:id="rId76"/>
    <sheet name="414" sheetId="81" r:id="rId77"/>
    <sheet name="415" sheetId="82" r:id="rId78"/>
    <sheet name="418" sheetId="83" r:id="rId79"/>
    <sheet name="423" sheetId="84" r:id="rId80"/>
    <sheet name="424" sheetId="85" r:id="rId81"/>
    <sheet name="425" sheetId="86" r:id="rId82"/>
    <sheet name="492" sheetId="45" r:id="rId83"/>
    <sheet name="430" sheetId="87" r:id="rId84"/>
    <sheet name="433" sheetId="88" r:id="rId85"/>
    <sheet name="435" sheetId="89" r:id="rId86"/>
    <sheet name="444" sheetId="90" r:id="rId87"/>
    <sheet name="450" sheetId="91" r:id="rId88"/>
    <sheet name="Div 5" sheetId="48" r:id="rId89"/>
    <sheet name="501" sheetId="92" r:id="rId90"/>
    <sheet name="Dept" sheetId="93" state="hidden" r:id="rId91"/>
    <sheet name="OSR_Dept_Y0WUKY" sheetId="94" state="hidden" r:id="rId92"/>
    <sheet name="OSR_Summary (...56e5d78f_5JEYZH" sheetId="95" state="hidden" r:id="rId93"/>
  </sheets>
  <definedNames>
    <definedName name="OSRRefD13x_0" localSheetId="48">'300'!$D$13:$D$19</definedName>
    <definedName name="OSRRefD13x_0" localSheetId="49">'300 &amp; 317'!$D$13:$D$19</definedName>
    <definedName name="OSRRefD13x_0" localSheetId="55">'307'!$D$13:$D$16</definedName>
    <definedName name="OSRRefD13x_0" localSheetId="51">'308'!$D$13:$D$17</definedName>
    <definedName name="OSRRefD13x_0" localSheetId="63">'310'!$D$13:$D$16</definedName>
    <definedName name="OSRRefD13x_0" localSheetId="69">'310 &amp; 491'!$D$13:$D$18</definedName>
    <definedName name="OSRRefD13x_0" localSheetId="52">'311'!$D$13:$D$17</definedName>
    <definedName name="OSRRefD13x_0" localSheetId="57">'315'!$D$13:$D$17</definedName>
    <definedName name="OSRRefD13x_0" localSheetId="60">'316'!$D$13:$D$17</definedName>
    <definedName name="OSRRefD13x_0" localSheetId="62">'317'!$D$13:$D$17</definedName>
    <definedName name="OSRRefD13x_0" localSheetId="65">'321'!$D$13:$D$14</definedName>
    <definedName name="OSRRefD13x_0" localSheetId="53">'324'!$D$13:$D$14</definedName>
    <definedName name="OSRRefD13x_0" localSheetId="66">'325'!$D$13:$D$14</definedName>
    <definedName name="OSRRefD13x_0" localSheetId="58">'326'!$D$13:$D$16</definedName>
    <definedName name="OSRRefD13x_0" localSheetId="67">'327'!$D$13:$D$15</definedName>
    <definedName name="OSRRefD13x_0" localSheetId="56">'331'!$D$13:$D$17</definedName>
    <definedName name="OSRRefD13x_0" localSheetId="59">'332'!$D$13:$D$17</definedName>
    <definedName name="OSRRefD13x_0" localSheetId="54">'333'!$D$13:$D$17</definedName>
    <definedName name="OSRRefD13x_0" localSheetId="71">'405'!$D$13:$D$16</definedName>
    <definedName name="OSRRefD13x_0" localSheetId="77">'415'!$D$13:$D$16</definedName>
    <definedName name="OSRRefD13x_0" localSheetId="78">'418'!$D$13:$D$14</definedName>
    <definedName name="OSRRefD13x_0" localSheetId="81">'425'!$D$13</definedName>
    <definedName name="OSRRefD13x_0" localSheetId="84">'433'!$D$13:$D$16</definedName>
    <definedName name="OSRRefD13x_0" localSheetId="86">'444'!$D$13:$D$16</definedName>
    <definedName name="OSRRefD13x_0" localSheetId="87">'450'!$D$13:$D$16</definedName>
    <definedName name="OSRRefD13x_0" localSheetId="70">'491'!$D$13:$D$17</definedName>
    <definedName name="OSRRefD13x_0" localSheetId="82">'492'!$D$13:$D$16</definedName>
    <definedName name="OSRRefD13x_0" localSheetId="89">'501'!$D$13</definedName>
    <definedName name="OSRRefD13x_0" localSheetId="47">'Div 3'!$D$13:$D$21</definedName>
    <definedName name="OSRRefD13x_0" localSheetId="68">'Div 4'!$D$13:$D$18</definedName>
    <definedName name="OSRRefD13x_0" localSheetId="88">'Div 5'!$D$13</definedName>
    <definedName name="OSRRefD13x_0" localSheetId="61">'Div 6'!$D$13:$D$17</definedName>
    <definedName name="OSRRefD13x_0" localSheetId="2">Summary!$D$13:$D$23</definedName>
    <definedName name="OSRRefD16x_0" localSheetId="48">'300'!$D$22:$D$48</definedName>
    <definedName name="OSRRefD16x_0" localSheetId="49">'300 &amp; 317'!$D$22:$D$54</definedName>
    <definedName name="OSRRefD16x_0" localSheetId="50">'301'!$D$15</definedName>
    <definedName name="OSRRefD16x_0" localSheetId="55">'307'!$D$19:$D$28</definedName>
    <definedName name="OSRRefD16x_0" localSheetId="51">'308'!$D$20:$D$29</definedName>
    <definedName name="OSRRefD16x_0" localSheetId="64">'309'!$D$15</definedName>
    <definedName name="OSRRefD16x_0" localSheetId="63">'310'!$D$19:$D$21</definedName>
    <definedName name="OSRRefD16x_0" localSheetId="69">'310 &amp; 491'!$D$21:$D$23</definedName>
    <definedName name="OSRRefD16x_0" localSheetId="52">'311'!$D$20:$D$29</definedName>
    <definedName name="OSRRefD16x_0" localSheetId="57">'315'!$D$20:$D$38</definedName>
    <definedName name="OSRRefD16x_0" localSheetId="60">'316'!$D$20:$D$21</definedName>
    <definedName name="OSRRefD16x_0" localSheetId="62">'317'!$D$20:$D$29</definedName>
    <definedName name="OSRRefD16x_0" localSheetId="65">'321'!$D$17:$D$18</definedName>
    <definedName name="OSRRefD16x_0" localSheetId="53">'324'!$D$17</definedName>
    <definedName name="OSRRefD16x_0" localSheetId="66">'325'!$D$17:$D$19</definedName>
    <definedName name="OSRRefD16x_0" localSheetId="58">'326'!$D$19:$D$22</definedName>
    <definedName name="OSRRefD16x_0" localSheetId="67">'327'!$D$18:$D$20</definedName>
    <definedName name="OSRRefD16x_0" localSheetId="56">'331'!$D$20:$D$38</definedName>
    <definedName name="OSRRefD16x_0" localSheetId="59">'332'!$D$20:$D$21</definedName>
    <definedName name="OSRRefD16x_0" localSheetId="54">'333'!$D$20:$D$40</definedName>
    <definedName name="OSRRefD16x_0" localSheetId="71">'405'!$D$19:$D$21</definedName>
    <definedName name="OSRRefD16x_0" localSheetId="77">'415'!$D$19:$D$21</definedName>
    <definedName name="OSRRefD16x_0" localSheetId="78">'418'!$D$17:$D$18</definedName>
    <definedName name="OSRRefD16x_0" localSheetId="81">'425'!$D$16</definedName>
    <definedName name="OSRRefD16x_0" localSheetId="84">'433'!$D$19:$D$21</definedName>
    <definedName name="OSRRefD16x_0" localSheetId="86">'444'!$D$19:$D$21</definedName>
    <definedName name="OSRRefD16x_0" localSheetId="87">'450'!$D$19:$D$21</definedName>
    <definedName name="OSRRefD16x_0" localSheetId="70">'491'!$D$20:$D$22</definedName>
    <definedName name="OSRRefD16x_0" localSheetId="82">'492'!$D$19:$D$21</definedName>
    <definedName name="OSRRefD16x_0" localSheetId="47">'Div 3'!$D$24:$D$52</definedName>
    <definedName name="OSRRefD16x_0" localSheetId="68">'Div 4'!$D$21:$D$23</definedName>
    <definedName name="OSRRefD16x_0" localSheetId="61">'Div 6'!$D$20:$D$29</definedName>
    <definedName name="OSRRefD16x_0" localSheetId="2">Summary!$D$26:$D$60</definedName>
    <definedName name="OSRRefD22_0x_0" localSheetId="40">'200'!$D$20</definedName>
    <definedName name="OSRRefD22_0x_0" localSheetId="41">'201'!$D$20:$D$28</definedName>
    <definedName name="OSRRefD22_0x_0" localSheetId="42">'202'!$D$20:$D$28</definedName>
    <definedName name="OSRRefD22_0x_0" localSheetId="43">'203'!$D$20:$D$29</definedName>
    <definedName name="OSRRefD22_0x_0" localSheetId="44">'204'!$D$20:$D$28</definedName>
    <definedName name="OSRRefD22_0x_0" localSheetId="45">'205'!$D$20:$D$28</definedName>
    <definedName name="OSRRefD22_0x_0" localSheetId="46">'206'!$D$20:$D$28</definedName>
    <definedName name="OSRRefD22_0x_0" localSheetId="48">'300'!$D$54:$D$63</definedName>
    <definedName name="OSRRefD22_0x_0" localSheetId="49">'300 &amp; 317'!$D$60:$D$69</definedName>
    <definedName name="OSRRefD22_0x_0" localSheetId="50">'301'!$D$21:$D$30</definedName>
    <definedName name="OSRRefD22_0x_0" localSheetId="55">'307'!$D$34:$D$41</definedName>
    <definedName name="OSRRefD22_0x_0" localSheetId="51">'308'!$D$35:$D$44</definedName>
    <definedName name="OSRRefD22_0x_0" localSheetId="64">'309'!$D$21</definedName>
    <definedName name="OSRRefD22_0x_0" localSheetId="63">'310'!$D$27:$D$36</definedName>
    <definedName name="OSRRefD22_0x_0" localSheetId="69">'310 &amp; 491'!$D$29:$D$38</definedName>
    <definedName name="OSRRefD22_0x_0" localSheetId="52">'311'!$D$35:$D$44</definedName>
    <definedName name="OSRRefD22_0x_0" localSheetId="57">'315'!$D$44:$D$52</definedName>
    <definedName name="OSRRefD22_0x_0" localSheetId="60">'316'!$D$27:$D$35</definedName>
    <definedName name="OSRRefD22_0x_0" localSheetId="62">'317'!$D$35:$D$44</definedName>
    <definedName name="OSRRefD22_0x_0" localSheetId="65">'321'!$D$24:$D$33</definedName>
    <definedName name="OSRRefD22_0x_0" localSheetId="66">'325'!$D$25:$D$33</definedName>
    <definedName name="OSRRefD22_0x_0" localSheetId="58">'326'!$D$28:$D$36</definedName>
    <definedName name="OSRRefD22_0x_0" localSheetId="67">'327'!$D$26</definedName>
    <definedName name="OSRRefD22_0x_0" localSheetId="56">'331'!$D$44:$D$52</definedName>
    <definedName name="OSRRefD22_0x_0" localSheetId="59">'332'!$D$27:$D$35</definedName>
    <definedName name="OSRRefD22_0x_0" localSheetId="54">'333'!$D$46:$D$54</definedName>
    <definedName name="OSRRefD22_0x_0" localSheetId="71">'405'!$D$27:$D$35</definedName>
    <definedName name="OSRRefD22_0x_0" localSheetId="72">'406'!$D$20</definedName>
    <definedName name="OSRRefD22_0x_0" localSheetId="73">'411'!$D$20:$D$28</definedName>
    <definedName name="OSRRefD22_0x_0" localSheetId="74">'412'!$D$20</definedName>
    <definedName name="OSRRefD22_0x_0" localSheetId="75">'413'!$D$20</definedName>
    <definedName name="OSRRefD22_0x_0" localSheetId="76">'414'!$D$20</definedName>
    <definedName name="OSRRefD22_0x_0" localSheetId="77">'415'!$D$27:$D$35</definedName>
    <definedName name="OSRRefD22_0x_0" localSheetId="78">'418'!$D$24:$D$32</definedName>
    <definedName name="OSRRefD22_0x_0" localSheetId="79">'423'!$D$20:$D$27</definedName>
    <definedName name="OSRRefD22_0x_0" localSheetId="80">'424'!$D$20</definedName>
    <definedName name="OSRRefD22_0x_0" localSheetId="81">'425'!$D$22</definedName>
    <definedName name="OSRRefD22_0x_0" localSheetId="83">'430'!$D$20:$D$28</definedName>
    <definedName name="OSRRefD22_0x_0" localSheetId="84">'433'!$D$27:$D$36</definedName>
    <definedName name="OSRRefD22_0x_0" localSheetId="85">'435'!$D$20</definedName>
    <definedName name="OSRRefD22_0x_0" localSheetId="86">'444'!$D$27:$D$36</definedName>
    <definedName name="OSRRefD22_0x_0" localSheetId="87">'450'!$D$27:$D$36</definedName>
    <definedName name="OSRRefD22_0x_0" localSheetId="70">'491'!$D$28:$D$36</definedName>
    <definedName name="OSRRefD22_0x_0" localSheetId="82">'492'!$D$27:$D$36</definedName>
    <definedName name="OSRRefD22_0x_0" localSheetId="89">'501'!$D$21:$D$30</definedName>
    <definedName name="OSRRefD22_0x_0" localSheetId="39">'Div 2'!$D$20:$D$30</definedName>
    <definedName name="OSRRefD22_0x_0" localSheetId="47">'Div 3'!$D$58:$D$67</definedName>
    <definedName name="OSRRefD22_0x_0" localSheetId="68">'Div 4'!$D$29:$D$38</definedName>
    <definedName name="OSRRefD22_0x_0" localSheetId="88">'Div 5'!$D$21:$D$30</definedName>
    <definedName name="OSRRefD22_0x_0" localSheetId="61">'Div 6'!$D$35:$D$44</definedName>
    <definedName name="OSRRefD22_0x_0" localSheetId="2">Summary!$D$66:$D$75</definedName>
    <definedName name="OSRRefD22_10x_0" localSheetId="41">'201'!$D$59:$D$60</definedName>
    <definedName name="OSRRefD22_10x_0" localSheetId="42">'202'!$D$59</definedName>
    <definedName name="OSRRefD22_10x_0" localSheetId="43">'203'!$D$61</definedName>
    <definedName name="OSRRefD22_10x_0" localSheetId="44">'204'!$D$63</definedName>
    <definedName name="OSRRefD22_10x_0" localSheetId="48">'300'!$D$94:$D$95</definedName>
    <definedName name="OSRRefD22_10x_0" localSheetId="49">'300 &amp; 317'!$D$100:$D$101</definedName>
    <definedName name="OSRRefD22_10x_0" localSheetId="50">'301'!$D$61</definedName>
    <definedName name="OSRRefD22_10x_0" localSheetId="55">'307'!$D$72:$D$73</definedName>
    <definedName name="OSRRefD22_10x_0" localSheetId="51">'308'!$D$76:$D$77</definedName>
    <definedName name="OSRRefD22_10x_0" localSheetId="63">'310'!$D$66</definedName>
    <definedName name="OSRRefD22_10x_0" localSheetId="69">'310 &amp; 491'!$D$69</definedName>
    <definedName name="OSRRefD22_10x_0" localSheetId="52">'311'!$D$76:$D$77</definedName>
    <definedName name="OSRRefD22_10x_0" localSheetId="57">'315'!$D$82</definedName>
    <definedName name="OSRRefD22_10x_0" localSheetId="60">'316'!$D$70</definedName>
    <definedName name="OSRRefD22_10x_0" localSheetId="65">'321'!$D$67</definedName>
    <definedName name="OSRRefD22_10x_0" localSheetId="66">'325'!$D$63</definedName>
    <definedName name="OSRRefD22_10x_0" localSheetId="58">'326'!$D$66</definedName>
    <definedName name="OSRRefD22_10x_0" localSheetId="56">'331'!$D$83</definedName>
    <definedName name="OSRRefD22_10x_0" localSheetId="59">'332'!$D$70</definedName>
    <definedName name="OSRRefD22_10x_0" localSheetId="54">'333'!$D$86</definedName>
    <definedName name="OSRRefD22_10x_0" localSheetId="71">'405'!$D$66:$D$69</definedName>
    <definedName name="OSRRefD22_10x_0" localSheetId="73">'411'!$D$63:$D$64</definedName>
    <definedName name="OSRRefD22_10x_0" localSheetId="77">'415'!$D$65</definedName>
    <definedName name="OSRRefD22_10x_0" localSheetId="78">'418'!$D$67</definedName>
    <definedName name="OSRRefD22_10x_0" localSheetId="84">'433'!$D$65</definedName>
    <definedName name="OSRRefD22_10x_0" localSheetId="86">'444'!$D$65</definedName>
    <definedName name="OSRRefD22_10x_0" localSheetId="87">'450'!$D$65</definedName>
    <definedName name="OSRRefD22_10x_0" localSheetId="70">'491'!$D$67</definedName>
    <definedName name="OSRRefD22_10x_0" localSheetId="82">'492'!$D$65</definedName>
    <definedName name="OSRRefD22_10x_0" localSheetId="89">'501'!$D$62</definedName>
    <definedName name="OSRRefD22_10x_0" localSheetId="39">'Div 2'!$D$60</definedName>
    <definedName name="OSRRefD22_10x_0" localSheetId="47">'Div 3'!$D$98:$D$99</definedName>
    <definedName name="OSRRefD22_10x_0" localSheetId="68">'Div 4'!$D$69</definedName>
    <definedName name="OSRRefD22_10x_0" localSheetId="88">'Div 5'!$D$62</definedName>
    <definedName name="OSRRefD22_10x_0" localSheetId="2">Summary!$D$106:$D$107</definedName>
    <definedName name="OSRRefD22_11x_0" localSheetId="41">'201'!$D$62</definedName>
    <definedName name="OSRRefD22_11x_0" localSheetId="42">'202'!$D$61</definedName>
    <definedName name="OSRRefD22_11x_0" localSheetId="43">'203'!$D$63:$D$66</definedName>
    <definedName name="OSRRefD22_11x_0" localSheetId="48">'300'!$D$97:$D$98</definedName>
    <definedName name="OSRRefD22_11x_0" localSheetId="49">'300 &amp; 317'!$D$103:$D$104</definedName>
    <definedName name="OSRRefD22_11x_0" localSheetId="50">'301'!$D$63</definedName>
    <definedName name="OSRRefD22_11x_0" localSheetId="55">'307'!$D$75:$D$78</definedName>
    <definedName name="OSRRefD22_11x_0" localSheetId="51">'308'!$D$79:$D$80</definedName>
    <definedName name="OSRRefD22_11x_0" localSheetId="63">'310'!$D$68:$D$70</definedName>
    <definedName name="OSRRefD22_11x_0" localSheetId="69">'310 &amp; 491'!$D$71</definedName>
    <definedName name="OSRRefD22_11x_0" localSheetId="52">'311'!$D$79:$D$80</definedName>
    <definedName name="OSRRefD22_11x_0" localSheetId="57">'315'!$D$84</definedName>
    <definedName name="OSRRefD22_11x_0" localSheetId="65">'321'!$D$69</definedName>
    <definedName name="OSRRefD22_11x_0" localSheetId="66">'325'!$D$65:$D$67</definedName>
    <definedName name="OSRRefD22_11x_0" localSheetId="58">'326'!$D$68:$D$69</definedName>
    <definedName name="OSRRefD22_11x_0" localSheetId="56">'331'!$D$85</definedName>
    <definedName name="OSRRefD22_11x_0" localSheetId="54">'333'!$D$88</definedName>
    <definedName name="OSRRefD22_11x_0" localSheetId="71">'405'!$D$71</definedName>
    <definedName name="OSRRefD22_11x_0" localSheetId="73">'411'!$D$66</definedName>
    <definedName name="OSRRefD22_11x_0" localSheetId="77">'415'!$D$67:$D$68</definedName>
    <definedName name="OSRRefD22_11x_0" localSheetId="78">'418'!$D$69:$D$76</definedName>
    <definedName name="OSRRefD22_11x_0" localSheetId="84">'433'!$D$67:$D$69</definedName>
    <definedName name="OSRRefD22_11x_0" localSheetId="86">'444'!$D$67:$D$68</definedName>
    <definedName name="OSRRefD22_11x_0" localSheetId="87">'450'!$D$67:$D$69</definedName>
    <definedName name="OSRRefD22_11x_0" localSheetId="70">'491'!$D$69</definedName>
    <definedName name="OSRRefD22_11x_0" localSheetId="82">'492'!$D$67</definedName>
    <definedName name="OSRRefD22_11x_0" localSheetId="89">'501'!$D$64:$D$66</definedName>
    <definedName name="OSRRefD22_11x_0" localSheetId="39">'Div 2'!$D$62</definedName>
    <definedName name="OSRRefD22_11x_0" localSheetId="47">'Div 3'!$D$101:$D$102</definedName>
    <definedName name="OSRRefD22_11x_0" localSheetId="68">'Div 4'!$D$71</definedName>
    <definedName name="OSRRefD22_11x_0" localSheetId="88">'Div 5'!$D$64:$D$66</definedName>
    <definedName name="OSRRefD22_11x_0" localSheetId="2">Summary!$D$109:$D$111</definedName>
    <definedName name="OSRRefD22_12x_0" localSheetId="41">'201'!$D$64:$D$65</definedName>
    <definedName name="OSRRefD22_12x_0" localSheetId="42">'202'!$D$63</definedName>
    <definedName name="OSRRefD22_12x_0" localSheetId="43">'203'!$D$68</definedName>
    <definedName name="OSRRefD22_12x_0" localSheetId="48">'300'!$D$100</definedName>
    <definedName name="OSRRefD22_12x_0" localSheetId="49">'300 &amp; 317'!$D$106</definedName>
    <definedName name="OSRRefD22_12x_0" localSheetId="50">'301'!$D$65</definedName>
    <definedName name="OSRRefD22_12x_0" localSheetId="55">'307'!$D$80</definedName>
    <definedName name="OSRRefD22_12x_0" localSheetId="51">'308'!$D$82:$D$83</definedName>
    <definedName name="OSRRefD22_12x_0" localSheetId="63">'310'!$D$72</definedName>
    <definedName name="OSRRefD22_12x_0" localSheetId="69">'310 &amp; 491'!$D$73:$D$76</definedName>
    <definedName name="OSRRefD22_12x_0" localSheetId="52">'311'!$D$82:$D$83</definedName>
    <definedName name="OSRRefD22_12x_0" localSheetId="57">'315'!$D$86:$D$87</definedName>
    <definedName name="OSRRefD22_12x_0" localSheetId="66">'325'!$D$69:$D$71</definedName>
    <definedName name="OSRRefD22_12x_0" localSheetId="58">'326'!$D$71:$D$72</definedName>
    <definedName name="OSRRefD22_12x_0" localSheetId="56">'331'!$D$87</definedName>
    <definedName name="OSRRefD22_12x_0" localSheetId="54">'333'!$D$90</definedName>
    <definedName name="OSRRefD22_12x_0" localSheetId="71">'405'!$D$73:$D$80</definedName>
    <definedName name="OSRRefD22_12x_0" localSheetId="73">'411'!$D$68</definedName>
    <definedName name="OSRRefD22_12x_0" localSheetId="77">'415'!$D$70:$D$73</definedName>
    <definedName name="OSRRefD22_12x_0" localSheetId="78">'418'!$D$78:$D$79</definedName>
    <definedName name="OSRRefD22_12x_0" localSheetId="84">'433'!$D$71:$D$74</definedName>
    <definedName name="OSRRefD22_12x_0" localSheetId="86">'444'!$D$70:$D$73</definedName>
    <definedName name="OSRRefD22_12x_0" localSheetId="87">'450'!$D$71:$D$74</definedName>
    <definedName name="OSRRefD22_12x_0" localSheetId="70">'491'!$D$71:$D$74</definedName>
    <definedName name="OSRRefD22_12x_0" localSheetId="82">'492'!$D$69:$D$71</definedName>
    <definedName name="OSRRefD22_12x_0" localSheetId="89">'501'!$D$68</definedName>
    <definedName name="OSRRefD22_12x_0" localSheetId="39">'Div 2'!$D$64:$D$67</definedName>
    <definedName name="OSRRefD22_12x_0" localSheetId="47">'Div 3'!$D$104</definedName>
    <definedName name="OSRRefD22_12x_0" localSheetId="68">'Div 4'!$D$73</definedName>
    <definedName name="OSRRefD22_12x_0" localSheetId="88">'Div 5'!$D$68</definedName>
    <definedName name="OSRRefD22_12x_0" localSheetId="2">Summary!$D$113</definedName>
    <definedName name="OSRRefD22_13x_0" localSheetId="41">'201'!$D$67</definedName>
    <definedName name="OSRRefD22_13x_0" localSheetId="43">'203'!$D$70</definedName>
    <definedName name="OSRRefD22_13x_0" localSheetId="48">'300'!$D$102</definedName>
    <definedName name="OSRRefD22_13x_0" localSheetId="49">'300 &amp; 317'!$D$108</definedName>
    <definedName name="OSRRefD22_13x_0" localSheetId="50">'301'!$D$67</definedName>
    <definedName name="OSRRefD22_13x_0" localSheetId="51">'308'!$D$85</definedName>
    <definedName name="OSRRefD22_13x_0" localSheetId="63">'310'!$D$74:$D$76</definedName>
    <definedName name="OSRRefD22_13x_0" localSheetId="69">'310 &amp; 491'!$D$78:$D$79</definedName>
    <definedName name="OSRRefD22_13x_0" localSheetId="52">'311'!$D$85</definedName>
    <definedName name="OSRRefD22_13x_0" localSheetId="57">'315'!$D$89:$D$91</definedName>
    <definedName name="OSRRefD22_13x_0" localSheetId="66">'325'!$D$73:$D$77</definedName>
    <definedName name="OSRRefD22_13x_0" localSheetId="58">'326'!$D$74:$D$75</definedName>
    <definedName name="OSRRefD22_13x_0" localSheetId="56">'331'!$D$89</definedName>
    <definedName name="OSRRefD22_13x_0" localSheetId="54">'333'!$D$92</definedName>
    <definedName name="OSRRefD22_13x_0" localSheetId="71">'405'!$D$82</definedName>
    <definedName name="OSRRefD22_13x_0" localSheetId="73">'411'!$D$70</definedName>
    <definedName name="OSRRefD22_13x_0" localSheetId="77">'415'!$D$75</definedName>
    <definedName name="OSRRefD22_13x_0" localSheetId="78">'418'!$D$81</definedName>
    <definedName name="OSRRefD22_13x_0" localSheetId="84">'433'!$D$76:$D$83</definedName>
    <definedName name="OSRRefD22_13x_0" localSheetId="86">'444'!$D$75</definedName>
    <definedName name="OSRRefD22_13x_0" localSheetId="87">'450'!$D$76:$D$82</definedName>
    <definedName name="OSRRefD22_13x_0" localSheetId="70">'491'!$D$76</definedName>
    <definedName name="OSRRefD22_13x_0" localSheetId="82">'492'!$D$73:$D$76</definedName>
    <definedName name="OSRRefD22_13x_0" localSheetId="89">'501'!$D$70</definedName>
    <definedName name="OSRRefD22_13x_0" localSheetId="39">'Div 2'!$D$69:$D$72</definedName>
    <definedName name="OSRRefD22_13x_0" localSheetId="47">'Div 3'!$D$106</definedName>
    <definedName name="OSRRefD22_13x_0" localSheetId="68">'Div 4'!$D$75</definedName>
    <definedName name="OSRRefD22_13x_0" localSheetId="88">'Div 5'!$D$70</definedName>
    <definedName name="OSRRefD22_13x_0" localSheetId="2">Summary!$D$115</definedName>
    <definedName name="OSRRefD22_14x_0" localSheetId="41">'201'!$D$69</definedName>
    <definedName name="OSRRefD22_14x_0" localSheetId="43">'203'!$D$72</definedName>
    <definedName name="OSRRefD22_14x_0" localSheetId="48">'300'!$D$104</definedName>
    <definedName name="OSRRefD22_14x_0" localSheetId="49">'300 &amp; 317'!$D$110</definedName>
    <definedName name="OSRRefD22_14x_0" localSheetId="50">'301'!$D$69</definedName>
    <definedName name="OSRRefD22_14x_0" localSheetId="63">'310'!$D$78:$D$82</definedName>
    <definedName name="OSRRefD22_14x_0" localSheetId="69">'310 &amp; 491'!$D$81:$D$85</definedName>
    <definedName name="OSRRefD22_14x_0" localSheetId="57">'315'!$D$93:$D$94</definedName>
    <definedName name="OSRRefD22_14x_0" localSheetId="66">'325'!$D$79:$D$80</definedName>
    <definedName name="OSRRefD22_14x_0" localSheetId="58">'326'!$D$77:$D$79</definedName>
    <definedName name="OSRRefD22_14x_0" localSheetId="56">'331'!$D$91:$D$92</definedName>
    <definedName name="OSRRefD22_14x_0" localSheetId="54">'333'!$D$94:$D$95</definedName>
    <definedName name="OSRRefD22_14x_0" localSheetId="71">'405'!$D$84</definedName>
    <definedName name="OSRRefD22_14x_0" localSheetId="73">'411'!$D$72</definedName>
    <definedName name="OSRRefD22_14x_0" localSheetId="77">'415'!$D$77:$D$83</definedName>
    <definedName name="OSRRefD22_14x_0" localSheetId="78">'418'!$D$83</definedName>
    <definedName name="OSRRefD22_14x_0" localSheetId="84">'433'!$D$85</definedName>
    <definedName name="OSRRefD22_14x_0" localSheetId="86">'444'!$D$77:$D$84</definedName>
    <definedName name="OSRRefD22_14x_0" localSheetId="87">'450'!$D$84</definedName>
    <definedName name="OSRRefD22_14x_0" localSheetId="70">'491'!$D$78:$D$82</definedName>
    <definedName name="OSRRefD22_14x_0" localSheetId="82">'492'!$D$78</definedName>
    <definedName name="OSRRefD22_14x_0" localSheetId="39">'Div 2'!$D$74:$D$75</definedName>
    <definedName name="OSRRefD22_14x_0" localSheetId="47">'Div 3'!$D$108</definedName>
    <definedName name="OSRRefD22_14x_0" localSheetId="68">'Div 4'!$D$77:$D$80</definedName>
    <definedName name="OSRRefD22_14x_0" localSheetId="2">Summary!$D$117</definedName>
    <definedName name="OSRRefD22_15x_0" localSheetId="41">'201'!$D$71</definedName>
    <definedName name="OSRRefD22_15x_0" localSheetId="48">'300'!$D$106</definedName>
    <definedName name="OSRRefD22_15x_0" localSheetId="49">'300 &amp; 317'!$D$112</definedName>
    <definedName name="OSRRefD22_15x_0" localSheetId="50">'301'!$D$71:$D$74</definedName>
    <definedName name="OSRRefD22_15x_0" localSheetId="63">'310'!$D$84:$D$85</definedName>
    <definedName name="OSRRefD22_15x_0" localSheetId="69">'310 &amp; 491'!$D$87</definedName>
    <definedName name="OSRRefD22_15x_0" localSheetId="57">'315'!$D$96:$D$99</definedName>
    <definedName name="OSRRefD22_15x_0" localSheetId="66">'325'!$D$82</definedName>
    <definedName name="OSRRefD22_15x_0" localSheetId="58">'326'!$D$81</definedName>
    <definedName name="OSRRefD22_15x_0" localSheetId="56">'331'!$D$94:$D$96</definedName>
    <definedName name="OSRRefD22_15x_0" localSheetId="54">'333'!$D$97:$D$99</definedName>
    <definedName name="OSRRefD22_15x_0" localSheetId="71">'405'!$D$86</definedName>
    <definedName name="OSRRefD22_15x_0" localSheetId="77">'415'!$D$85:$D$86</definedName>
    <definedName name="OSRRefD22_15x_0" localSheetId="84">'433'!$D$87</definedName>
    <definedName name="OSRRefD22_15x_0" localSheetId="86">'444'!$D$86</definedName>
    <definedName name="OSRRefD22_15x_0" localSheetId="87">'450'!$D$86</definedName>
    <definedName name="OSRRefD22_15x_0" localSheetId="70">'491'!$D$84</definedName>
    <definedName name="OSRRefD22_15x_0" localSheetId="82">'492'!$D$80:$D$87</definedName>
    <definedName name="OSRRefD22_15x_0" localSheetId="39">'Div 2'!$D$77:$D$78</definedName>
    <definedName name="OSRRefD22_15x_0" localSheetId="47">'Div 3'!$D$110</definedName>
    <definedName name="OSRRefD22_15x_0" localSheetId="68">'Div 4'!$D$82</definedName>
    <definedName name="OSRRefD22_15x_0" localSheetId="2">Summary!$D$119</definedName>
    <definedName name="OSRRefD22_16x_0" localSheetId="48">'300'!$D$108:$D$111</definedName>
    <definedName name="OSRRefD22_16x_0" localSheetId="49">'300 &amp; 317'!$D$114:$D$117</definedName>
    <definedName name="OSRRefD22_16x_0" localSheetId="50">'301'!$D$76:$D$77</definedName>
    <definedName name="OSRRefD22_16x_0" localSheetId="63">'310'!$D$87</definedName>
    <definedName name="OSRRefD22_16x_0" localSheetId="69">'310 &amp; 491'!$D$89:$D$98</definedName>
    <definedName name="OSRRefD22_16x_0" localSheetId="57">'315'!$D$101</definedName>
    <definedName name="OSRRefD22_16x_0" localSheetId="58">'326'!$D$83:$D$84</definedName>
    <definedName name="OSRRefD22_16x_0" localSheetId="56">'331'!$D$98:$D$99</definedName>
    <definedName name="OSRRefD22_16x_0" localSheetId="54">'333'!$D$101:$D$103</definedName>
    <definedName name="OSRRefD22_16x_0" localSheetId="77">'415'!$D$88</definedName>
    <definedName name="OSRRefD22_16x_0" localSheetId="86">'444'!$D$88</definedName>
    <definedName name="OSRRefD22_16x_0" localSheetId="87">'450'!$D$88</definedName>
    <definedName name="OSRRefD22_16x_0" localSheetId="70">'491'!$D$86:$D$95</definedName>
    <definedName name="OSRRefD22_16x_0" localSheetId="82">'492'!$D$89:$D$90</definedName>
    <definedName name="OSRRefD22_16x_0" localSheetId="39">'Div 2'!$D$80:$D$85</definedName>
    <definedName name="OSRRefD22_16x_0" localSheetId="47">'Div 3'!$D$112</definedName>
    <definedName name="OSRRefD22_16x_0" localSheetId="68">'Div 4'!$D$84:$D$88</definedName>
    <definedName name="OSRRefD22_16x_0" localSheetId="2">Summary!$D$121</definedName>
    <definedName name="OSRRefD22_17x_0" localSheetId="48">'300'!$D$113:$D$116</definedName>
    <definedName name="OSRRefD22_17x_0" localSheetId="49">'300 &amp; 317'!$D$119:$D$122</definedName>
    <definedName name="OSRRefD22_17x_0" localSheetId="50">'301'!$D$79</definedName>
    <definedName name="OSRRefD22_17x_0" localSheetId="63">'310'!$D$89</definedName>
    <definedName name="OSRRefD22_17x_0" localSheetId="69">'310 &amp; 491'!$D$100:$D$101</definedName>
    <definedName name="OSRRefD22_17x_0" localSheetId="57">'315'!$D$103</definedName>
    <definedName name="OSRRefD22_17x_0" localSheetId="58">'326'!$D$86</definedName>
    <definedName name="OSRRefD22_17x_0" localSheetId="56">'331'!$D$101:$D$102</definedName>
    <definedName name="OSRRefD22_17x_0" localSheetId="54">'333'!$D$105:$D$106</definedName>
    <definedName name="OSRRefD22_17x_0" localSheetId="77">'415'!$D$90</definedName>
    <definedName name="OSRRefD22_17x_0" localSheetId="70">'491'!$D$97:$D$98</definedName>
    <definedName name="OSRRefD22_17x_0" localSheetId="82">'492'!$D$92</definedName>
    <definedName name="OSRRefD22_17x_0" localSheetId="39">'Div 2'!$D$87:$D$88</definedName>
    <definedName name="OSRRefD22_17x_0" localSheetId="47">'Div 3'!$D$114:$D$117</definedName>
    <definedName name="OSRRefD22_17x_0" localSheetId="68">'Div 4'!$D$90:$D$91</definedName>
    <definedName name="OSRRefD22_17x_0" localSheetId="2">Summary!$D$123</definedName>
    <definedName name="OSRRefD22_18x_0" localSheetId="48">'300'!$D$118:$D$120</definedName>
    <definedName name="OSRRefD22_18x_0" localSheetId="49">'300 &amp; 317'!$D$124:$D$126</definedName>
    <definedName name="OSRRefD22_18x_0" localSheetId="50">'301'!$D$81:$D$86</definedName>
    <definedName name="OSRRefD22_18x_0" localSheetId="69">'310 &amp; 491'!$D$103</definedName>
    <definedName name="OSRRefD22_18x_0" localSheetId="56">'331'!$D$104:$D$108</definedName>
    <definedName name="OSRRefD22_18x_0" localSheetId="54">'333'!$D$108:$D$113</definedName>
    <definedName name="OSRRefD22_18x_0" localSheetId="70">'491'!$D$100</definedName>
    <definedName name="OSRRefD22_18x_0" localSheetId="82">'492'!$D$94:$D$95</definedName>
    <definedName name="OSRRefD22_18x_0" localSheetId="39">'Div 2'!$D$90</definedName>
    <definedName name="OSRRefD22_18x_0" localSheetId="47">'Div 3'!$D$119:$D$122</definedName>
    <definedName name="OSRRefD22_18x_0" localSheetId="68">'Div 4'!$D$93:$D$102</definedName>
    <definedName name="OSRRefD22_18x_0" localSheetId="2">Summary!$D$125:$D$128</definedName>
    <definedName name="OSRRefD22_19x_0" localSheetId="48">'300'!$D$122:$D$123</definedName>
    <definedName name="OSRRefD22_19x_0" localSheetId="49">'300 &amp; 317'!$D$128:$D$129</definedName>
    <definedName name="OSRRefD22_19x_0" localSheetId="50">'301'!$D$88</definedName>
    <definedName name="OSRRefD22_19x_0" localSheetId="69">'310 &amp; 491'!$D$105</definedName>
    <definedName name="OSRRefD22_19x_0" localSheetId="56">'331'!$D$110</definedName>
    <definedName name="OSRRefD22_19x_0" localSheetId="54">'333'!$D$115</definedName>
    <definedName name="OSRRefD22_19x_0" localSheetId="70">'491'!$D$102</definedName>
    <definedName name="OSRRefD22_19x_0" localSheetId="39">'Div 2'!$D$92:$D$93</definedName>
    <definedName name="OSRRefD22_19x_0" localSheetId="47">'Div 3'!$D$124:$D$127</definedName>
    <definedName name="OSRRefD22_19x_0" localSheetId="68">'Div 4'!$D$104:$D$105</definedName>
    <definedName name="OSRRefD22_19x_0" localSheetId="2">Summary!$D$130:$D$133</definedName>
    <definedName name="OSRRefD22_1x_0" localSheetId="40">'200'!$D$22</definedName>
    <definedName name="OSRRefD22_1x_0" localSheetId="41">'201'!$D$30:$D$39</definedName>
    <definedName name="OSRRefD22_1x_0" localSheetId="42">'202'!$D$30:$D$39</definedName>
    <definedName name="OSRRefD22_1x_0" localSheetId="43">'203'!$D$31:$D$40</definedName>
    <definedName name="OSRRefD22_1x_0" localSheetId="44">'204'!$D$30:$D$39</definedName>
    <definedName name="OSRRefD22_1x_0" localSheetId="45">'205'!$D$30:$D$39</definedName>
    <definedName name="OSRRefD22_1x_0" localSheetId="46">'206'!$D$30:$D$39</definedName>
    <definedName name="OSRRefD22_1x_0" localSheetId="48">'300'!$D$65:$D$74</definedName>
    <definedName name="OSRRefD22_1x_0" localSheetId="49">'300 &amp; 317'!$D$71:$D$80</definedName>
    <definedName name="OSRRefD22_1x_0" localSheetId="50">'301'!$D$32:$D$41</definedName>
    <definedName name="OSRRefD22_1x_0" localSheetId="55">'307'!$D$43:$D$52</definedName>
    <definedName name="OSRRefD22_1x_0" localSheetId="51">'308'!$D$46:$D$55</definedName>
    <definedName name="OSRRefD22_1x_0" localSheetId="64">'309'!$D$23</definedName>
    <definedName name="OSRRefD22_1x_0" localSheetId="63">'310'!$D$38:$D$47</definedName>
    <definedName name="OSRRefD22_1x_0" localSheetId="69">'310 &amp; 491'!$D$40:$D$49</definedName>
    <definedName name="OSRRefD22_1x_0" localSheetId="52">'311'!$D$46:$D$55</definedName>
    <definedName name="OSRRefD22_1x_0" localSheetId="57">'315'!$D$54:$D$63</definedName>
    <definedName name="OSRRefD22_1x_0" localSheetId="60">'316'!$D$37:$D$46</definedName>
    <definedName name="OSRRefD22_1x_0" localSheetId="62">'317'!$D$46:$D$55</definedName>
    <definedName name="OSRRefD22_1x_0" localSheetId="65">'321'!$D$35:$D$44</definedName>
    <definedName name="OSRRefD22_1x_0" localSheetId="66">'325'!$D$35:$D$44</definedName>
    <definedName name="OSRRefD22_1x_0" localSheetId="58">'326'!$D$38:$D$47</definedName>
    <definedName name="OSRRefD22_1x_0" localSheetId="67">'327'!$D$28</definedName>
    <definedName name="OSRRefD22_1x_0" localSheetId="56">'331'!$D$54:$D$63</definedName>
    <definedName name="OSRRefD22_1x_0" localSheetId="59">'332'!$D$37:$D$46</definedName>
    <definedName name="OSRRefD22_1x_0" localSheetId="54">'333'!$D$56:$D$65</definedName>
    <definedName name="OSRRefD22_1x_0" localSheetId="71">'405'!$D$37:$D$46</definedName>
    <definedName name="OSRRefD22_1x_0" localSheetId="72">'406'!$D$22</definedName>
    <definedName name="OSRRefD22_1x_0" localSheetId="73">'411'!$D$30:$D$39</definedName>
    <definedName name="OSRRefD22_1x_0" localSheetId="74">'412'!$D$22</definedName>
    <definedName name="OSRRefD22_1x_0" localSheetId="75">'413'!$D$22</definedName>
    <definedName name="OSRRefD22_1x_0" localSheetId="76">'414'!$D$22</definedName>
    <definedName name="OSRRefD22_1x_0" localSheetId="77">'415'!$D$37:$D$46</definedName>
    <definedName name="OSRRefD22_1x_0" localSheetId="78">'418'!$D$34:$D$43</definedName>
    <definedName name="OSRRefD22_1x_0" localSheetId="79">'423'!$D$29:$D$38</definedName>
    <definedName name="OSRRefD22_1x_0" localSheetId="80">'424'!$D$22</definedName>
    <definedName name="OSRRefD22_1x_0" localSheetId="81">'425'!$D$24</definedName>
    <definedName name="OSRRefD22_1x_0" localSheetId="83">'430'!$D$30:$D$39</definedName>
    <definedName name="OSRRefD22_1x_0" localSheetId="84">'433'!$D$38:$D$47</definedName>
    <definedName name="OSRRefD22_1x_0" localSheetId="86">'444'!$D$38:$D$47</definedName>
    <definedName name="OSRRefD22_1x_0" localSheetId="87">'450'!$D$38:$D$47</definedName>
    <definedName name="OSRRefD22_1x_0" localSheetId="70">'491'!$D$38:$D$47</definedName>
    <definedName name="OSRRefD22_1x_0" localSheetId="82">'492'!$D$38:$D$47</definedName>
    <definedName name="OSRRefD22_1x_0" localSheetId="89">'501'!$D$32:$D$41</definedName>
    <definedName name="OSRRefD22_1x_0" localSheetId="39">'Div 2'!$D$32:$D$41</definedName>
    <definedName name="OSRRefD22_1x_0" localSheetId="47">'Div 3'!$D$69:$D$78</definedName>
    <definedName name="OSRRefD22_1x_0" localSheetId="68">'Div 4'!$D$40:$D$49</definedName>
    <definedName name="OSRRefD22_1x_0" localSheetId="88">'Div 5'!$D$32:$D$41</definedName>
    <definedName name="OSRRefD22_1x_0" localSheetId="61">'Div 6'!$D$46:$D$55</definedName>
    <definedName name="OSRRefD22_1x_0" localSheetId="2">Summary!$D$77:$D$86</definedName>
    <definedName name="OSRRefD22_20x_0" localSheetId="48">'300'!$D$125:$D$131</definedName>
    <definedName name="OSRRefD22_20x_0" localSheetId="49">'300 &amp; 317'!$D$131:$D$137</definedName>
    <definedName name="OSRRefD22_20x_0" localSheetId="50">'301'!$D$90</definedName>
    <definedName name="OSRRefD22_20x_0" localSheetId="69">'310 &amp; 491'!$D$107</definedName>
    <definedName name="OSRRefD22_20x_0" localSheetId="56">'331'!$D$112:$D$113</definedName>
    <definedName name="OSRRefD22_20x_0" localSheetId="54">'333'!$D$117:$D$118</definedName>
    <definedName name="OSRRefD22_20x_0" localSheetId="70">'491'!$D$104</definedName>
    <definedName name="OSRRefD22_20x_0" localSheetId="47">'Div 3'!$D$129:$D$130</definedName>
    <definedName name="OSRRefD22_20x_0" localSheetId="68">'Div 4'!$D$107</definedName>
    <definedName name="OSRRefD22_20x_0" localSheetId="2">Summary!$D$135:$D$139</definedName>
    <definedName name="OSRRefD22_21x_0" localSheetId="48">'300'!$D$133:$D$134</definedName>
    <definedName name="OSRRefD22_21x_0" localSheetId="49">'300 &amp; 317'!$D$139:$D$140</definedName>
    <definedName name="OSRRefD22_21x_0" localSheetId="50">'301'!$D$92:$D$93</definedName>
    <definedName name="OSRRefD22_21x_0" localSheetId="56">'331'!$D$115</definedName>
    <definedName name="OSRRefD22_21x_0" localSheetId="54">'333'!$D$120</definedName>
    <definedName name="OSRRefD22_21x_0" localSheetId="47">'Div 3'!$D$132:$D$138</definedName>
    <definedName name="OSRRefD22_21x_0" localSheetId="68">'Div 4'!$D$109:$D$110</definedName>
    <definedName name="OSRRefD22_21x_0" localSheetId="2">Summary!$D$141:$D$142</definedName>
    <definedName name="OSRRefD22_22x_0" localSheetId="48">'300'!$D$136</definedName>
    <definedName name="OSRRefD22_22x_0" localSheetId="49">'300 &amp; 317'!$D$142</definedName>
    <definedName name="OSRRefD22_22x_0" localSheetId="50">'301'!$D$95</definedName>
    <definedName name="OSRRefD22_22x_0" localSheetId="47">'Div 3'!$D$140:$D$141</definedName>
    <definedName name="OSRRefD22_22x_0" localSheetId="68">'Div 4'!$D$112</definedName>
    <definedName name="OSRRefD22_22x_0" localSheetId="2">Summary!$D$144:$D$153</definedName>
    <definedName name="OSRRefD22_23x_0" localSheetId="48">'300'!$D$138:$D$140</definedName>
    <definedName name="OSRRefD22_23x_0" localSheetId="49">'300 &amp; 317'!$D$144:$D$146</definedName>
    <definedName name="OSRRefD22_23x_0" localSheetId="47">'Div 3'!$D$143</definedName>
    <definedName name="OSRRefD22_23x_0" localSheetId="2">Summary!$D$155:$D$156</definedName>
    <definedName name="OSRRefD22_24x_0" localSheetId="48">'300'!$D$142</definedName>
    <definedName name="OSRRefD22_24x_0" localSheetId="49">'300 &amp; 317'!$D$148</definedName>
    <definedName name="OSRRefD22_24x_0" localSheetId="47">'Div 3'!$D$145:$D$147</definedName>
    <definedName name="OSRRefD22_24x_0" localSheetId="2">Summary!$D$158</definedName>
    <definedName name="OSRRefD22_25x_0" localSheetId="47">'Div 3'!$D$149</definedName>
    <definedName name="OSRRefD22_25x_0" localSheetId="2">Summary!$D$160:$D$162</definedName>
    <definedName name="OSRRefD22_26x_0" localSheetId="2">Summary!$D$164</definedName>
    <definedName name="OSRRefD22_2x_0" localSheetId="40">'200'!$D$24</definedName>
    <definedName name="OSRRefD22_2x_0" localSheetId="41">'201'!$D$41</definedName>
    <definedName name="OSRRefD22_2x_0" localSheetId="42">'202'!$D$41</definedName>
    <definedName name="OSRRefD22_2x_0" localSheetId="43">'203'!$D$42</definedName>
    <definedName name="OSRRefD22_2x_0" localSheetId="44">'204'!$D$41</definedName>
    <definedName name="OSRRefD22_2x_0" localSheetId="45">'205'!$D$41</definedName>
    <definedName name="OSRRefD22_2x_0" localSheetId="46">'206'!$D$41</definedName>
    <definedName name="OSRRefD22_2x_0" localSheetId="48">'300'!$D$76</definedName>
    <definedName name="OSRRefD22_2x_0" localSheetId="49">'300 &amp; 317'!$D$82</definedName>
    <definedName name="OSRRefD22_2x_0" localSheetId="50">'301'!$D$43</definedName>
    <definedName name="OSRRefD22_2x_0" localSheetId="55">'307'!$D$54</definedName>
    <definedName name="OSRRefD22_2x_0" localSheetId="51">'308'!$D$57</definedName>
    <definedName name="OSRRefD22_2x_0" localSheetId="64">'309'!$D$25</definedName>
    <definedName name="OSRRefD22_2x_0" localSheetId="63">'310'!$D$49</definedName>
    <definedName name="OSRRefD22_2x_0" localSheetId="69">'310 &amp; 491'!$D$51</definedName>
    <definedName name="OSRRefD22_2x_0" localSheetId="52">'311'!$D$57</definedName>
    <definedName name="OSRRefD22_2x_0" localSheetId="57">'315'!$D$65</definedName>
    <definedName name="OSRRefD22_2x_0" localSheetId="60">'316'!$D$48</definedName>
    <definedName name="OSRRefD22_2x_0" localSheetId="62">'317'!$D$57</definedName>
    <definedName name="OSRRefD22_2x_0" localSheetId="65">'321'!$D$46</definedName>
    <definedName name="OSRRefD22_2x_0" localSheetId="66">'325'!$D$46</definedName>
    <definedName name="OSRRefD22_2x_0" localSheetId="58">'326'!$D$49</definedName>
    <definedName name="OSRRefD22_2x_0" localSheetId="56">'331'!$D$65</definedName>
    <definedName name="OSRRefD22_2x_0" localSheetId="59">'332'!$D$48</definedName>
    <definedName name="OSRRefD22_2x_0" localSheetId="54">'333'!$D$67</definedName>
    <definedName name="OSRRefD22_2x_0" localSheetId="71">'405'!$D$48</definedName>
    <definedName name="OSRRefD22_2x_0" localSheetId="73">'411'!$D$41</definedName>
    <definedName name="OSRRefD22_2x_0" localSheetId="74">'412'!$D$24</definedName>
    <definedName name="OSRRefD22_2x_0" localSheetId="75">'413'!$D$24</definedName>
    <definedName name="OSRRefD22_2x_0" localSheetId="76">'414'!$D$24</definedName>
    <definedName name="OSRRefD22_2x_0" localSheetId="77">'415'!$D$48</definedName>
    <definedName name="OSRRefD22_2x_0" localSheetId="78">'418'!$D$45</definedName>
    <definedName name="OSRRefD22_2x_0" localSheetId="79">'423'!$D$40</definedName>
    <definedName name="OSRRefD22_2x_0" localSheetId="80">'424'!$D$24</definedName>
    <definedName name="OSRRefD22_2x_0" localSheetId="81">'425'!$D$26</definedName>
    <definedName name="OSRRefD22_2x_0" localSheetId="83">'430'!$D$41</definedName>
    <definedName name="OSRRefD22_2x_0" localSheetId="84">'433'!$D$49</definedName>
    <definedName name="OSRRefD22_2x_0" localSheetId="86">'444'!$D$49</definedName>
    <definedName name="OSRRefD22_2x_0" localSheetId="87">'450'!$D$49</definedName>
    <definedName name="OSRRefD22_2x_0" localSheetId="70">'491'!$D$49</definedName>
    <definedName name="OSRRefD22_2x_0" localSheetId="82">'492'!$D$49</definedName>
    <definedName name="OSRRefD22_2x_0" localSheetId="89">'501'!$D$43</definedName>
    <definedName name="OSRRefD22_2x_0" localSheetId="39">'Div 2'!$D$43</definedName>
    <definedName name="OSRRefD22_2x_0" localSheetId="47">'Div 3'!$D$80</definedName>
    <definedName name="OSRRefD22_2x_0" localSheetId="68">'Div 4'!$D$51</definedName>
    <definedName name="OSRRefD22_2x_0" localSheetId="88">'Div 5'!$D$43</definedName>
    <definedName name="OSRRefD22_2x_0" localSheetId="61">'Div 6'!$D$57</definedName>
    <definedName name="OSRRefD22_2x_0" localSheetId="2">Summary!$D$88</definedName>
    <definedName name="OSRRefD22_3x_0" localSheetId="40">'200'!$D$26:$D$27</definedName>
    <definedName name="OSRRefD22_3x_0" localSheetId="41">'201'!$D$43</definedName>
    <definedName name="OSRRefD22_3x_0" localSheetId="42">'202'!$D$43</definedName>
    <definedName name="OSRRefD22_3x_0" localSheetId="43">'203'!$D$44</definedName>
    <definedName name="OSRRefD22_3x_0" localSheetId="44">'204'!$D$43:$D$44</definedName>
    <definedName name="OSRRefD22_3x_0" localSheetId="45">'205'!$D$43</definedName>
    <definedName name="OSRRefD22_3x_0" localSheetId="46">'206'!$D$43</definedName>
    <definedName name="OSRRefD22_3x_0" localSheetId="48">'300'!$D$78</definedName>
    <definedName name="OSRRefD22_3x_0" localSheetId="49">'300 &amp; 317'!$D$84</definedName>
    <definedName name="OSRRefD22_3x_0" localSheetId="50">'301'!$D$45</definedName>
    <definedName name="OSRRefD22_3x_0" localSheetId="55">'307'!$D$56</definedName>
    <definedName name="OSRRefD22_3x_0" localSheetId="51">'308'!$D$59</definedName>
    <definedName name="OSRRefD22_3x_0" localSheetId="64">'309'!$D$27</definedName>
    <definedName name="OSRRefD22_3x_0" localSheetId="63">'310'!$D$51</definedName>
    <definedName name="OSRRefD22_3x_0" localSheetId="69">'310 &amp; 491'!$D$53</definedName>
    <definedName name="OSRRefD22_3x_0" localSheetId="52">'311'!$D$59</definedName>
    <definedName name="OSRRefD22_3x_0" localSheetId="57">'315'!$D$67</definedName>
    <definedName name="OSRRefD22_3x_0" localSheetId="60">'316'!$D$50</definedName>
    <definedName name="OSRRefD22_3x_0" localSheetId="62">'317'!$D$59</definedName>
    <definedName name="OSRRefD22_3x_0" localSheetId="65">'321'!$D$48</definedName>
    <definedName name="OSRRefD22_3x_0" localSheetId="66">'325'!$D$48</definedName>
    <definedName name="OSRRefD22_3x_0" localSheetId="58">'326'!$D$51</definedName>
    <definedName name="OSRRefD22_3x_0" localSheetId="56">'331'!$D$67</definedName>
    <definedName name="OSRRefD22_3x_0" localSheetId="59">'332'!$D$50</definedName>
    <definedName name="OSRRefD22_3x_0" localSheetId="54">'333'!$D$69</definedName>
    <definedName name="OSRRefD22_3x_0" localSheetId="71">'405'!$D$50</definedName>
    <definedName name="OSRRefD22_3x_0" localSheetId="73">'411'!$D$43:$D$44</definedName>
    <definedName name="OSRRefD22_3x_0" localSheetId="74">'412'!$D$26</definedName>
    <definedName name="OSRRefD22_3x_0" localSheetId="77">'415'!$D$50</definedName>
    <definedName name="OSRRefD22_3x_0" localSheetId="78">'418'!$D$47</definedName>
    <definedName name="OSRRefD22_3x_0" localSheetId="79">'423'!$D$42</definedName>
    <definedName name="OSRRefD22_3x_0" localSheetId="81">'425'!$D$28</definedName>
    <definedName name="OSRRefD22_3x_0" localSheetId="83">'430'!$D$43</definedName>
    <definedName name="OSRRefD22_3x_0" localSheetId="84">'433'!$D$51</definedName>
    <definedName name="OSRRefD22_3x_0" localSheetId="86">'444'!$D$51</definedName>
    <definedName name="OSRRefD22_3x_0" localSheetId="87">'450'!$D$51</definedName>
    <definedName name="OSRRefD22_3x_0" localSheetId="70">'491'!$D$51</definedName>
    <definedName name="OSRRefD22_3x_0" localSheetId="82">'492'!$D$51</definedName>
    <definedName name="OSRRefD22_3x_0" localSheetId="89">'501'!$D$45</definedName>
    <definedName name="OSRRefD22_3x_0" localSheetId="39">'Div 2'!$D$45</definedName>
    <definedName name="OSRRefD22_3x_0" localSheetId="47">'Div 3'!$D$82</definedName>
    <definedName name="OSRRefD22_3x_0" localSheetId="68">'Div 4'!$D$53</definedName>
    <definedName name="OSRRefD22_3x_0" localSheetId="88">'Div 5'!$D$45</definedName>
    <definedName name="OSRRefD22_3x_0" localSheetId="61">'Div 6'!$D$59</definedName>
    <definedName name="OSRRefD22_3x_0" localSheetId="2">Summary!$D$90</definedName>
    <definedName name="OSRRefD22_4x_0" localSheetId="41">'201'!$D$45</definedName>
    <definedName name="OSRRefD22_4x_0" localSheetId="42">'202'!$D$45</definedName>
    <definedName name="OSRRefD22_4x_0" localSheetId="43">'203'!$D$46</definedName>
    <definedName name="OSRRefD22_4x_0" localSheetId="44">'204'!$D$46</definedName>
    <definedName name="OSRRefD22_4x_0" localSheetId="45">'205'!$D$45:$D$46</definedName>
    <definedName name="OSRRefD22_4x_0" localSheetId="46">'206'!$D$45:$D$46</definedName>
    <definedName name="OSRRefD22_4x_0" localSheetId="48">'300'!$D$80</definedName>
    <definedName name="OSRRefD22_4x_0" localSheetId="49">'300 &amp; 317'!$D$86</definedName>
    <definedName name="OSRRefD22_4x_0" localSheetId="50">'301'!$D$47</definedName>
    <definedName name="OSRRefD22_4x_0" localSheetId="55">'307'!$D$58</definedName>
    <definedName name="OSRRefD22_4x_0" localSheetId="51">'308'!$D$61</definedName>
    <definedName name="OSRRefD22_4x_0" localSheetId="64">'309'!$D$29</definedName>
    <definedName name="OSRRefD22_4x_0" localSheetId="63">'310'!$D$53</definedName>
    <definedName name="OSRRefD22_4x_0" localSheetId="69">'310 &amp; 491'!$D$55</definedName>
    <definedName name="OSRRefD22_4x_0" localSheetId="52">'311'!$D$61</definedName>
    <definedName name="OSRRefD22_4x_0" localSheetId="57">'315'!$D$69</definedName>
    <definedName name="OSRRefD22_4x_0" localSheetId="60">'316'!$D$52</definedName>
    <definedName name="OSRRefD22_4x_0" localSheetId="62">'317'!$D$61</definedName>
    <definedName name="OSRRefD22_4x_0" localSheetId="65">'321'!$D$50</definedName>
    <definedName name="OSRRefD22_4x_0" localSheetId="66">'325'!$D$50</definedName>
    <definedName name="OSRRefD22_4x_0" localSheetId="58">'326'!$D$53</definedName>
    <definedName name="OSRRefD22_4x_0" localSheetId="56">'331'!$D$69</definedName>
    <definedName name="OSRRefD22_4x_0" localSheetId="59">'332'!$D$52</definedName>
    <definedName name="OSRRefD22_4x_0" localSheetId="54">'333'!$D$71</definedName>
    <definedName name="OSRRefD22_4x_0" localSheetId="71">'405'!$D$52</definedName>
    <definedName name="OSRRefD22_4x_0" localSheetId="73">'411'!$D$46</definedName>
    <definedName name="OSRRefD22_4x_0" localSheetId="77">'415'!$D$52</definedName>
    <definedName name="OSRRefD22_4x_0" localSheetId="78">'418'!$D$49:$D$50</definedName>
    <definedName name="OSRRefD22_4x_0" localSheetId="79">'423'!$D$44</definedName>
    <definedName name="OSRRefD22_4x_0" localSheetId="81">'425'!$D$30</definedName>
    <definedName name="OSRRefD22_4x_0" localSheetId="83">'430'!$D$45</definedName>
    <definedName name="OSRRefD22_4x_0" localSheetId="84">'433'!$D$53</definedName>
    <definedName name="OSRRefD22_4x_0" localSheetId="86">'444'!$D$53</definedName>
    <definedName name="OSRRefD22_4x_0" localSheetId="87">'450'!$D$53</definedName>
    <definedName name="OSRRefD22_4x_0" localSheetId="70">'491'!$D$53</definedName>
    <definedName name="OSRRefD22_4x_0" localSheetId="82">'492'!$D$53</definedName>
    <definedName name="OSRRefD22_4x_0" localSheetId="89">'501'!$D$47</definedName>
    <definedName name="OSRRefD22_4x_0" localSheetId="39">'Div 2'!$D$47</definedName>
    <definedName name="OSRRefD22_4x_0" localSheetId="47">'Div 3'!$D$84</definedName>
    <definedName name="OSRRefD22_4x_0" localSheetId="68">'Div 4'!$D$55</definedName>
    <definedName name="OSRRefD22_4x_0" localSheetId="88">'Div 5'!$D$47</definedName>
    <definedName name="OSRRefD22_4x_0" localSheetId="61">'Div 6'!$D$61</definedName>
    <definedName name="OSRRefD22_4x_0" localSheetId="2">Summary!$D$92</definedName>
    <definedName name="OSRRefD22_5x_0" localSheetId="41">'201'!$D$47</definedName>
    <definedName name="OSRRefD22_5x_0" localSheetId="42">'202'!$D$47</definedName>
    <definedName name="OSRRefD22_5x_0" localSheetId="43">'203'!$D$48</definedName>
    <definedName name="OSRRefD22_5x_0" localSheetId="44">'204'!$D$48:$D$51</definedName>
    <definedName name="OSRRefD22_5x_0" localSheetId="45">'205'!$D$48</definedName>
    <definedName name="OSRRefD22_5x_0" localSheetId="46">'206'!$D$48</definedName>
    <definedName name="OSRRefD22_5x_0" localSheetId="48">'300'!$D$82:$D$83</definedName>
    <definedName name="OSRRefD22_5x_0" localSheetId="49">'300 &amp; 317'!$D$88:$D$89</definedName>
    <definedName name="OSRRefD22_5x_0" localSheetId="50">'301'!$D$49:$D$50</definedName>
    <definedName name="OSRRefD22_5x_0" localSheetId="55">'307'!$D$60:$D$61</definedName>
    <definedName name="OSRRefD22_5x_0" localSheetId="51">'308'!$D$63</definedName>
    <definedName name="OSRRefD22_5x_0" localSheetId="64">'309'!$D$31:$D$32</definedName>
    <definedName name="OSRRefD22_5x_0" localSheetId="63">'310'!$D$55:$D$56</definedName>
    <definedName name="OSRRefD22_5x_0" localSheetId="69">'310 &amp; 491'!$D$57:$D$58</definedName>
    <definedName name="OSRRefD22_5x_0" localSheetId="52">'311'!$D$63</definedName>
    <definedName name="OSRRefD22_5x_0" localSheetId="57">'315'!$D$71</definedName>
    <definedName name="OSRRefD22_5x_0" localSheetId="60">'316'!$D$54:$D$55</definedName>
    <definedName name="OSRRefD22_5x_0" localSheetId="62">'317'!$D$63</definedName>
    <definedName name="OSRRefD22_5x_0" localSheetId="65">'321'!$D$52</definedName>
    <definedName name="OSRRefD22_5x_0" localSheetId="66">'325'!$D$52:$D$53</definedName>
    <definedName name="OSRRefD22_5x_0" localSheetId="58">'326'!$D$55</definedName>
    <definedName name="OSRRefD22_5x_0" localSheetId="56">'331'!$D$71</definedName>
    <definedName name="OSRRefD22_5x_0" localSheetId="59">'332'!$D$54:$D$55</definedName>
    <definedName name="OSRRefD22_5x_0" localSheetId="54">'333'!$D$73:$D$74</definedName>
    <definedName name="OSRRefD22_5x_0" localSheetId="71">'405'!$D$54:$D$55</definedName>
    <definedName name="OSRRefD22_5x_0" localSheetId="73">'411'!$D$48</definedName>
    <definedName name="OSRRefD22_5x_0" localSheetId="77">'415'!$D$54:$D$55</definedName>
    <definedName name="OSRRefD22_5x_0" localSheetId="78">'418'!$D$52</definedName>
    <definedName name="OSRRefD22_5x_0" localSheetId="79">'423'!$D$46</definedName>
    <definedName name="OSRRefD22_5x_0" localSheetId="81">'425'!$D$32</definedName>
    <definedName name="OSRRefD22_5x_0" localSheetId="83">'430'!$D$47:$D$48</definedName>
    <definedName name="OSRRefD22_5x_0" localSheetId="84">'433'!$D$55</definedName>
    <definedName name="OSRRefD22_5x_0" localSheetId="86">'444'!$D$55</definedName>
    <definedName name="OSRRefD22_5x_0" localSheetId="87">'450'!$D$55</definedName>
    <definedName name="OSRRefD22_5x_0" localSheetId="70">'491'!$D$55:$D$56</definedName>
    <definedName name="OSRRefD22_5x_0" localSheetId="82">'492'!$D$55</definedName>
    <definedName name="OSRRefD22_5x_0" localSheetId="89">'501'!$D$49:$D$50</definedName>
    <definedName name="OSRRefD22_5x_0" localSheetId="39">'Div 2'!$D$49:$D$50</definedName>
    <definedName name="OSRRefD22_5x_0" localSheetId="47">'Div 3'!$D$86:$D$87</definedName>
    <definedName name="OSRRefD22_5x_0" localSheetId="68">'Div 4'!$D$57:$D$58</definedName>
    <definedName name="OSRRefD22_5x_0" localSheetId="88">'Div 5'!$D$49:$D$50</definedName>
    <definedName name="OSRRefD22_5x_0" localSheetId="61">'Div 6'!$D$63</definedName>
    <definedName name="OSRRefD22_5x_0" localSheetId="2">Summary!$D$94:$D$95</definedName>
    <definedName name="OSRRefD22_6x_0" localSheetId="41">'201'!$D$49</definedName>
    <definedName name="OSRRefD22_6x_0" localSheetId="42">'202'!$D$49</definedName>
    <definedName name="OSRRefD22_6x_0" localSheetId="43">'203'!$D$50</definedName>
    <definedName name="OSRRefD22_6x_0" localSheetId="44">'204'!$D$53:$D$54</definedName>
    <definedName name="OSRRefD22_6x_0" localSheetId="45">'205'!$D$50:$D$52</definedName>
    <definedName name="OSRRefD22_6x_0" localSheetId="46">'206'!$D$50:$D$51</definedName>
    <definedName name="OSRRefD22_6x_0" localSheetId="48">'300'!$D$85:$D$86</definedName>
    <definedName name="OSRRefD22_6x_0" localSheetId="49">'300 &amp; 317'!$D$91:$D$92</definedName>
    <definedName name="OSRRefD22_6x_0" localSheetId="50">'301'!$D$52:$D$53</definedName>
    <definedName name="OSRRefD22_6x_0" localSheetId="55">'307'!$D$63</definedName>
    <definedName name="OSRRefD22_6x_0" localSheetId="51">'308'!$D$65:$D$66</definedName>
    <definedName name="OSRRefD22_6x_0" localSheetId="64">'309'!$D$34:$D$35</definedName>
    <definedName name="OSRRefD22_6x_0" localSheetId="63">'310'!$D$58</definedName>
    <definedName name="OSRRefD22_6x_0" localSheetId="69">'310 &amp; 491'!$D$60</definedName>
    <definedName name="OSRRefD22_6x_0" localSheetId="52">'311'!$D$65:$D$66</definedName>
    <definedName name="OSRRefD22_6x_0" localSheetId="57">'315'!$D$73</definedName>
    <definedName name="OSRRefD22_6x_0" localSheetId="60">'316'!$D$57</definedName>
    <definedName name="OSRRefD22_6x_0" localSheetId="62">'317'!$D$65</definedName>
    <definedName name="OSRRefD22_6x_0" localSheetId="65">'321'!$D$54:$D$55</definedName>
    <definedName name="OSRRefD22_6x_0" localSheetId="66">'325'!$D$55</definedName>
    <definedName name="OSRRefD22_6x_0" localSheetId="58">'326'!$D$57:$D$58</definedName>
    <definedName name="OSRRefD22_6x_0" localSheetId="56">'331'!$D$73</definedName>
    <definedName name="OSRRefD22_6x_0" localSheetId="59">'332'!$D$57</definedName>
    <definedName name="OSRRefD22_6x_0" localSheetId="54">'333'!$D$76</definedName>
    <definedName name="OSRRefD22_6x_0" localSheetId="71">'405'!$D$57</definedName>
    <definedName name="OSRRefD22_6x_0" localSheetId="73">'411'!$D$50</definedName>
    <definedName name="OSRRefD22_6x_0" localSheetId="77">'415'!$D$57</definedName>
    <definedName name="OSRRefD22_6x_0" localSheetId="78">'418'!$D$54</definedName>
    <definedName name="OSRRefD22_6x_0" localSheetId="83">'430'!$D$50:$D$51</definedName>
    <definedName name="OSRRefD22_6x_0" localSheetId="84">'433'!$D$57</definedName>
    <definedName name="OSRRefD22_6x_0" localSheetId="86">'444'!$D$57</definedName>
    <definedName name="OSRRefD22_6x_0" localSheetId="87">'450'!$D$57</definedName>
    <definedName name="OSRRefD22_6x_0" localSheetId="70">'491'!$D$58</definedName>
    <definedName name="OSRRefD22_6x_0" localSheetId="82">'492'!$D$57</definedName>
    <definedName name="OSRRefD22_6x_0" localSheetId="89">'501'!$D$52</definedName>
    <definedName name="OSRRefD22_6x_0" localSheetId="39">'Div 2'!$D$52</definedName>
    <definedName name="OSRRefD22_6x_0" localSheetId="47">'Div 3'!$D$89:$D$90</definedName>
    <definedName name="OSRRefD22_6x_0" localSheetId="68">'Div 4'!$D$60</definedName>
    <definedName name="OSRRefD22_6x_0" localSheetId="88">'Div 5'!$D$52</definedName>
    <definedName name="OSRRefD22_6x_0" localSheetId="61">'Div 6'!$D$65</definedName>
    <definedName name="OSRRefD22_6x_0" localSheetId="2">Summary!$D$97:$D$98</definedName>
    <definedName name="OSRRefD22_7x_0" localSheetId="41">'201'!$D$51</definedName>
    <definedName name="OSRRefD22_7x_0" localSheetId="42">'202'!$D$51:$D$53</definedName>
    <definedName name="OSRRefD22_7x_0" localSheetId="43">'203'!$D$52</definedName>
    <definedName name="OSRRefD22_7x_0" localSheetId="44">'204'!$D$56</definedName>
    <definedName name="OSRRefD22_7x_0" localSheetId="45">'205'!$D$54</definedName>
    <definedName name="OSRRefD22_7x_0" localSheetId="46">'206'!$D$53</definedName>
    <definedName name="OSRRefD22_7x_0" localSheetId="48">'300'!$D$88</definedName>
    <definedName name="OSRRefD22_7x_0" localSheetId="49">'300 &amp; 317'!$D$94</definedName>
    <definedName name="OSRRefD22_7x_0" localSheetId="50">'301'!$D$55</definedName>
    <definedName name="OSRRefD22_7x_0" localSheetId="55">'307'!$D$65</definedName>
    <definedName name="OSRRefD22_7x_0" localSheetId="51">'308'!$D$68</definedName>
    <definedName name="OSRRefD22_7x_0" localSheetId="64">'309'!$D$37:$D$38</definedName>
    <definedName name="OSRRefD22_7x_0" localSheetId="63">'310'!$D$60</definedName>
    <definedName name="OSRRefD22_7x_0" localSheetId="69">'310 &amp; 491'!$D$62</definedName>
    <definedName name="OSRRefD22_7x_0" localSheetId="52">'311'!$D$68</definedName>
    <definedName name="OSRRefD22_7x_0" localSheetId="57">'315'!$D$75</definedName>
    <definedName name="OSRRefD22_7x_0" localSheetId="60">'316'!$D$59:$D$61</definedName>
    <definedName name="OSRRefD22_7x_0" localSheetId="62">'317'!$D$67</definedName>
    <definedName name="OSRRefD22_7x_0" localSheetId="65">'321'!$D$57</definedName>
    <definedName name="OSRRefD22_7x_0" localSheetId="66">'325'!$D$57</definedName>
    <definedName name="OSRRefD22_7x_0" localSheetId="58">'326'!$D$60</definedName>
    <definedName name="OSRRefD22_7x_0" localSheetId="56">'331'!$D$75</definedName>
    <definedName name="OSRRefD22_7x_0" localSheetId="59">'332'!$D$59:$D$61</definedName>
    <definedName name="OSRRefD22_7x_0" localSheetId="54">'333'!$D$78</definedName>
    <definedName name="OSRRefD22_7x_0" localSheetId="71">'405'!$D$59</definedName>
    <definedName name="OSRRefD22_7x_0" localSheetId="73">'411'!$D$52</definedName>
    <definedName name="OSRRefD22_7x_0" localSheetId="77">'415'!$D$59</definedName>
    <definedName name="OSRRefD22_7x_0" localSheetId="78">'418'!$D$56:$D$57</definedName>
    <definedName name="OSRRefD22_7x_0" localSheetId="83">'430'!$D$53</definedName>
    <definedName name="OSRRefD22_7x_0" localSheetId="84">'433'!$D$59</definedName>
    <definedName name="OSRRefD22_7x_0" localSheetId="86">'444'!$D$59</definedName>
    <definedName name="OSRRefD22_7x_0" localSheetId="87">'450'!$D$59</definedName>
    <definedName name="OSRRefD22_7x_0" localSheetId="70">'491'!$D$60</definedName>
    <definedName name="OSRRefD22_7x_0" localSheetId="82">'492'!$D$59</definedName>
    <definedName name="OSRRefD22_7x_0" localSheetId="89">'501'!$D$54</definedName>
    <definedName name="OSRRefD22_7x_0" localSheetId="39">'Div 2'!$D$54</definedName>
    <definedName name="OSRRefD22_7x_0" localSheetId="47">'Div 3'!$D$92</definedName>
    <definedName name="OSRRefD22_7x_0" localSheetId="68">'Div 4'!$D$62</definedName>
    <definedName name="OSRRefD22_7x_0" localSheetId="88">'Div 5'!$D$54</definedName>
    <definedName name="OSRRefD22_7x_0" localSheetId="61">'Div 6'!$D$67</definedName>
    <definedName name="OSRRefD22_7x_0" localSheetId="2">Summary!$D$100</definedName>
    <definedName name="OSRRefD22_8x_0" localSheetId="41">'201'!$D$53</definedName>
    <definedName name="OSRRefD22_8x_0" localSheetId="42">'202'!$D$55</definedName>
    <definedName name="OSRRefD22_8x_0" localSheetId="43">'203'!$D$54:$D$56</definedName>
    <definedName name="OSRRefD22_8x_0" localSheetId="44">'204'!$D$58:$D$59</definedName>
    <definedName name="OSRRefD22_8x_0" localSheetId="48">'300'!$D$90</definedName>
    <definedName name="OSRRefD22_8x_0" localSheetId="49">'300 &amp; 317'!$D$96</definedName>
    <definedName name="OSRRefD22_8x_0" localSheetId="50">'301'!$D$57</definedName>
    <definedName name="OSRRefD22_8x_0" localSheetId="55">'307'!$D$67</definedName>
    <definedName name="OSRRefD22_8x_0" localSheetId="51">'308'!$D$70</definedName>
    <definedName name="OSRRefD22_8x_0" localSheetId="64">'309'!$D$40</definedName>
    <definedName name="OSRRefD22_8x_0" localSheetId="63">'310'!$D$62</definedName>
    <definedName name="OSRRefD22_8x_0" localSheetId="69">'310 &amp; 491'!$D$64:$D$65</definedName>
    <definedName name="OSRRefD22_8x_0" localSheetId="52">'311'!$D$70</definedName>
    <definedName name="OSRRefD22_8x_0" localSheetId="57">'315'!$D$77:$D$78</definedName>
    <definedName name="OSRRefD22_8x_0" localSheetId="60">'316'!$D$63</definedName>
    <definedName name="OSRRefD22_8x_0" localSheetId="62">'317'!$D$69:$D$70</definedName>
    <definedName name="OSRRefD22_8x_0" localSheetId="65">'321'!$D$59:$D$60</definedName>
    <definedName name="OSRRefD22_8x_0" localSheetId="66">'325'!$D$59</definedName>
    <definedName name="OSRRefD22_8x_0" localSheetId="58">'326'!$D$62</definedName>
    <definedName name="OSRRefD22_8x_0" localSheetId="56">'331'!$D$77:$D$78</definedName>
    <definedName name="OSRRefD22_8x_0" localSheetId="59">'332'!$D$63</definedName>
    <definedName name="OSRRefD22_8x_0" localSheetId="54">'333'!$D$80:$D$81</definedName>
    <definedName name="OSRRefD22_8x_0" localSheetId="71">'405'!$D$61</definedName>
    <definedName name="OSRRefD22_8x_0" localSheetId="73">'411'!$D$54:$D$57</definedName>
    <definedName name="OSRRefD22_8x_0" localSheetId="77">'415'!$D$61</definedName>
    <definedName name="OSRRefD22_8x_0" localSheetId="78">'418'!$D$59:$D$60</definedName>
    <definedName name="OSRRefD22_8x_0" localSheetId="83">'430'!$D$55</definedName>
    <definedName name="OSRRefD22_8x_0" localSheetId="84">'433'!$D$61</definedName>
    <definedName name="OSRRefD22_8x_0" localSheetId="86">'444'!$D$61</definedName>
    <definedName name="OSRRefD22_8x_0" localSheetId="87">'450'!$D$61</definedName>
    <definedName name="OSRRefD22_8x_0" localSheetId="70">'491'!$D$62:$D$63</definedName>
    <definedName name="OSRRefD22_8x_0" localSheetId="82">'492'!$D$61</definedName>
    <definedName name="OSRRefD22_8x_0" localSheetId="89">'501'!$D$56</definedName>
    <definedName name="OSRRefD22_8x_0" localSheetId="39">'Div 2'!$D$56</definedName>
    <definedName name="OSRRefD22_8x_0" localSheetId="47">'Div 3'!$D$94</definedName>
    <definedName name="OSRRefD22_8x_0" localSheetId="68">'Div 4'!$D$64</definedName>
    <definedName name="OSRRefD22_8x_0" localSheetId="88">'Div 5'!$D$56</definedName>
    <definedName name="OSRRefD22_8x_0" localSheetId="61">'Div 6'!$D$69:$D$70</definedName>
    <definedName name="OSRRefD22_8x_0" localSheetId="2">Summary!$D$102</definedName>
    <definedName name="OSRRefD22_9x_0" localSheetId="41">'201'!$D$55:$D$57</definedName>
    <definedName name="OSRRefD22_9x_0" localSheetId="42">'202'!$D$57</definedName>
    <definedName name="OSRRefD22_9x_0" localSheetId="43">'203'!$D$58:$D$59</definedName>
    <definedName name="OSRRefD22_9x_0" localSheetId="44">'204'!$D$61</definedName>
    <definedName name="OSRRefD22_9x_0" localSheetId="48">'300'!$D$92</definedName>
    <definedName name="OSRRefD22_9x_0" localSheetId="49">'300 &amp; 317'!$D$98</definedName>
    <definedName name="OSRRefD22_9x_0" localSheetId="50">'301'!$D$59</definedName>
    <definedName name="OSRRefD22_9x_0" localSheetId="55">'307'!$D$69:$D$70</definedName>
    <definedName name="OSRRefD22_9x_0" localSheetId="51">'308'!$D$72:$D$74</definedName>
    <definedName name="OSRRefD22_9x_0" localSheetId="63">'310'!$D$64</definedName>
    <definedName name="OSRRefD22_9x_0" localSheetId="69">'310 &amp; 491'!$D$67</definedName>
    <definedName name="OSRRefD22_9x_0" localSheetId="52">'311'!$D$72:$D$74</definedName>
    <definedName name="OSRRefD22_9x_0" localSheetId="57">'315'!$D$80</definedName>
    <definedName name="OSRRefD22_9x_0" localSheetId="60">'316'!$D$65:$D$68</definedName>
    <definedName name="OSRRefD22_9x_0" localSheetId="62">'317'!$D$72</definedName>
    <definedName name="OSRRefD22_9x_0" localSheetId="65">'321'!$D$62:$D$65</definedName>
    <definedName name="OSRRefD22_9x_0" localSheetId="66">'325'!$D$61</definedName>
    <definedName name="OSRRefD22_9x_0" localSheetId="58">'326'!$D$64</definedName>
    <definedName name="OSRRefD22_9x_0" localSheetId="56">'331'!$D$80:$D$81</definedName>
    <definedName name="OSRRefD22_9x_0" localSheetId="59">'332'!$D$65:$D$68</definedName>
    <definedName name="OSRRefD22_9x_0" localSheetId="54">'333'!$D$83:$D$84</definedName>
    <definedName name="OSRRefD22_9x_0" localSheetId="71">'405'!$D$63:$D$64</definedName>
    <definedName name="OSRRefD22_9x_0" localSheetId="73">'411'!$D$59:$D$61</definedName>
    <definedName name="OSRRefD22_9x_0" localSheetId="77">'415'!$D$63</definedName>
    <definedName name="OSRRefD22_9x_0" localSheetId="78">'418'!$D$62:$D$65</definedName>
    <definedName name="OSRRefD22_9x_0" localSheetId="84">'433'!$D$63</definedName>
    <definedName name="OSRRefD22_9x_0" localSheetId="86">'444'!$D$63</definedName>
    <definedName name="OSRRefD22_9x_0" localSheetId="87">'450'!$D$63</definedName>
    <definedName name="OSRRefD22_9x_0" localSheetId="70">'491'!$D$65</definedName>
    <definedName name="OSRRefD22_9x_0" localSheetId="82">'492'!$D$63</definedName>
    <definedName name="OSRRefD22_9x_0" localSheetId="89">'501'!$D$58:$D$60</definedName>
    <definedName name="OSRRefD22_9x_0" localSheetId="39">'Div 2'!$D$58</definedName>
    <definedName name="OSRRefD22_9x_0" localSheetId="47">'Div 3'!$D$96</definedName>
    <definedName name="OSRRefD22_9x_0" localSheetId="68">'Div 4'!$D$66:$D$67</definedName>
    <definedName name="OSRRefD22_9x_0" localSheetId="88">'Div 5'!$D$58:$D$60</definedName>
    <definedName name="OSRRefD22_9x_0" localSheetId="61">'Div 6'!$D$72</definedName>
    <definedName name="OSRRefD22_9x_0" localSheetId="2">Summary!$D$104</definedName>
    <definedName name="OSRRefD22x_0" localSheetId="40">'200'!$D$20,'200'!$D$22,'200'!$D$24,'200'!$D$26:$D$27</definedName>
    <definedName name="OSRRefD22x_0" localSheetId="41">'201'!$D$20:$D$28,'201'!$D$30:$D$39,'201'!$D$41,'201'!$D$43,'201'!$D$45,'201'!$D$47,'201'!$D$49,'201'!$D$51,'201'!$D$53,'201'!$D$55:$D$57,'201'!$D$59:$D$60,'201'!$D$62,'201'!$D$64:$D$65,'201'!$D$67,'201'!$D$69,'201'!$D$71</definedName>
    <definedName name="OSRRefD22x_0" localSheetId="42">'202'!$D$20:$D$28,'202'!$D$30:$D$39,'202'!$D$41,'202'!$D$43,'202'!$D$45,'202'!$D$47,'202'!$D$49,'202'!$D$51:$D$53,'202'!$D$55,'202'!$D$57,'202'!$D$59,'202'!$D$61,'202'!$D$63</definedName>
    <definedName name="OSRRefD22x_0" localSheetId="43">'203'!$D$20:$D$29,'203'!$D$31:$D$40,'203'!$D$42,'203'!$D$44,'203'!$D$46,'203'!$D$48,'203'!$D$50,'203'!$D$52,'203'!$D$54:$D$56,'203'!$D$58:$D$59,'203'!$D$61,'203'!$D$63:$D$66,'203'!$D$68,'203'!$D$70,'203'!$D$72</definedName>
    <definedName name="OSRRefD22x_0" localSheetId="44">'204'!$D$20:$D$28,'204'!$D$30:$D$39,'204'!$D$41,'204'!$D$43:$D$44,'204'!$D$46,'204'!$D$48:$D$51,'204'!$D$53:$D$54,'204'!$D$56,'204'!$D$58:$D$59,'204'!$D$61,'204'!$D$63</definedName>
    <definedName name="OSRRefD22x_0" localSheetId="45">'205'!$D$20:$D$28,'205'!$D$30:$D$39,'205'!$D$41,'205'!$D$43,'205'!$D$45:$D$46,'205'!$D$48,'205'!$D$50:$D$52,'205'!$D$54</definedName>
    <definedName name="OSRRefD22x_0" localSheetId="46">'206'!$D$20:$D$28,'206'!$D$30:$D$39,'206'!$D$41,'206'!$D$43,'206'!$D$45:$D$46,'206'!$D$48,'206'!$D$50:$D$51,'206'!$D$53</definedName>
    <definedName name="OSRRefD22x_0" localSheetId="48">'300'!$D$54:$D$63,'300'!$D$65:$D$74,'300'!$D$76,'300'!$D$78,'300'!$D$80,'300'!$D$82:$D$83,'300'!$D$85:$D$86,'300'!$D$88,'300'!$D$90,'300'!$D$92,'300'!$D$94:$D$95,'300'!$D$97:$D$98,'300'!$D$100,'300'!$D$102,'300'!$D$104,'300'!$D$106,'300'!$D$108:$D$111,'300'!$D$113:$D$116,'300'!$D$118:$D$120,'300'!$D$122:$D$123,'300'!$D$125:$D$131,'300'!$D$133:$D$134,'300'!$D$136,'300'!$D$138:$D$140,'300'!$D$142</definedName>
    <definedName name="OSRRefD22x_0" localSheetId="49">'300 &amp; 317'!$D$60:$D$69,'300 &amp; 317'!$D$71:$D$80,'300 &amp; 317'!$D$82,'300 &amp; 317'!$D$84,'300 &amp; 317'!$D$86,'300 &amp; 317'!$D$88:$D$89,'300 &amp; 317'!$D$91:$D$92,'300 &amp; 317'!$D$94,'300 &amp; 317'!$D$96,'300 &amp; 317'!$D$98,'300 &amp; 317'!$D$100:$D$101,'300 &amp; 317'!$D$103:$D$104,'300 &amp; 317'!$D$106,'300 &amp; 317'!$D$108,'300 &amp; 317'!$D$110,'300 &amp; 317'!$D$112,'300 &amp; 317'!$D$114:$D$117,'300 &amp; 317'!$D$119:$D$122,'300 &amp; 317'!$D$124:$D$126,'300 &amp; 317'!$D$128:$D$129,'300 &amp; 317'!$D$131:$D$137,'300 &amp; 317'!$D$139:$D$140,'300 &amp; 317'!$D$142,'300 &amp; 317'!$D$144:$D$146,'300 &amp; 317'!$D$148</definedName>
    <definedName name="OSRRefD22x_0" localSheetId="50">'301'!$D$21:$D$30,'301'!$D$32:$D$41,'301'!$D$43,'301'!$D$45,'301'!$D$47,'301'!$D$49:$D$50,'301'!$D$52:$D$53,'301'!$D$55,'301'!$D$57,'301'!$D$59,'301'!$D$61,'301'!$D$63,'301'!$D$65,'301'!$D$67,'301'!$D$69,'301'!$D$71:$D$74,'301'!$D$76:$D$77,'301'!$D$79,'301'!$D$81:$D$86,'301'!$D$88,'301'!$D$90,'301'!$D$92:$D$93,'301'!$D$95</definedName>
    <definedName name="OSRRefD22x_0" localSheetId="55">'307'!$D$34:$D$41,'307'!$D$43:$D$52,'307'!$D$54,'307'!$D$56,'307'!$D$58,'307'!$D$60:$D$61,'307'!$D$63,'307'!$D$65,'307'!$D$67,'307'!$D$69:$D$70,'307'!$D$72:$D$73,'307'!$D$75:$D$78,'307'!$D$80</definedName>
    <definedName name="OSRRefD22x_0" localSheetId="51">'308'!$D$35:$D$44,'308'!$D$46:$D$55,'308'!$D$57,'308'!$D$59,'308'!$D$61,'308'!$D$63,'308'!$D$65:$D$66,'308'!$D$68,'308'!$D$70,'308'!$D$72:$D$74,'308'!$D$76:$D$77,'308'!$D$79:$D$80,'308'!$D$82:$D$83,'308'!$D$85</definedName>
    <definedName name="OSRRefD22x_0" localSheetId="64">'309'!$D$21,'309'!$D$23,'309'!$D$25,'309'!$D$27,'309'!$D$29,'309'!$D$31:$D$32,'309'!$D$34:$D$35,'309'!$D$37:$D$38,'309'!$D$40</definedName>
    <definedName name="OSRRefD22x_0" localSheetId="63">'310'!$D$27:$D$36,'310'!$D$38:$D$47,'310'!$D$49,'310'!$D$51,'310'!$D$53,'310'!$D$55:$D$56,'310'!$D$58,'310'!$D$60,'310'!$D$62,'310'!$D$64,'310'!$D$66,'310'!$D$68:$D$70,'310'!$D$72,'310'!$D$74:$D$76,'310'!$D$78:$D$82,'310'!$D$84:$D$85,'310'!$D$87,'310'!$D$89</definedName>
    <definedName name="OSRRefD22x_0" localSheetId="69">'310 &amp; 491'!$D$29:$D$38,'310 &amp; 491'!$D$40:$D$49,'310 &amp; 491'!$D$51,'310 &amp; 491'!$D$53,'310 &amp; 491'!$D$55,'310 &amp; 491'!$D$57:$D$58,'310 &amp; 491'!$D$60,'310 &amp; 491'!$D$62,'310 &amp; 491'!$D$64:$D$65,'310 &amp; 491'!$D$67,'310 &amp; 491'!$D$69,'310 &amp; 491'!$D$71,'310 &amp; 491'!$D$73:$D$76,'310 &amp; 491'!$D$78:$D$79,'310 &amp; 491'!$D$81:$D$85,'310 &amp; 491'!$D$87,'310 &amp; 491'!$D$89:$D$98,'310 &amp; 491'!$D$100:$D$101,'310 &amp; 491'!$D$103,'310 &amp; 491'!$D$105,'310 &amp; 491'!$D$107</definedName>
    <definedName name="OSRRefD22x_0" localSheetId="52">'311'!$D$35:$D$44,'311'!$D$46:$D$55,'311'!$D$57,'311'!$D$59,'311'!$D$61,'311'!$D$63,'311'!$D$65:$D$66,'311'!$D$68,'311'!$D$70,'311'!$D$72:$D$74,'311'!$D$76:$D$77,'311'!$D$79:$D$80,'311'!$D$82:$D$83,'311'!$D$85</definedName>
    <definedName name="OSRRefD22x_0" localSheetId="57">'315'!$D$44:$D$52,'315'!$D$54:$D$63,'315'!$D$65,'315'!$D$67,'315'!$D$69,'315'!$D$71,'315'!$D$73,'315'!$D$75,'315'!$D$77:$D$78,'315'!$D$80,'315'!$D$82,'315'!$D$84,'315'!$D$86:$D$87,'315'!$D$89:$D$91,'315'!$D$93:$D$94,'315'!$D$96:$D$99,'315'!$D$101,'315'!$D$103</definedName>
    <definedName name="OSRRefD22x_0" localSheetId="60">'316'!$D$27:$D$35,'316'!$D$37:$D$46,'316'!$D$48,'316'!$D$50,'316'!$D$52,'316'!$D$54:$D$55,'316'!$D$57,'316'!$D$59:$D$61,'316'!$D$63,'316'!$D$65:$D$68,'316'!$D$70</definedName>
    <definedName name="OSRRefD22x_0" localSheetId="62">'317'!$D$35:$D$44,'317'!$D$46:$D$55,'317'!$D$57,'317'!$D$59,'317'!$D$61,'317'!$D$63,'317'!$D$65,'317'!$D$67,'317'!$D$69:$D$70,'317'!$D$72</definedName>
    <definedName name="OSRRefD22x_0" localSheetId="65">'321'!$D$24:$D$33,'321'!$D$35:$D$44,'321'!$D$46,'321'!$D$48,'321'!$D$50,'321'!$D$52,'321'!$D$54:$D$55,'321'!$D$57,'321'!$D$59:$D$60,'321'!$D$62:$D$65,'321'!$D$67,'321'!$D$69</definedName>
    <definedName name="OSRRefD22x_0" localSheetId="66">'325'!$D$25:$D$33,'325'!$D$35:$D$44,'325'!$D$46,'325'!$D$48,'325'!$D$50,'325'!$D$52:$D$53,'325'!$D$55,'325'!$D$57,'325'!$D$59,'325'!$D$61,'325'!$D$63,'325'!$D$65:$D$67,'325'!$D$69:$D$71,'325'!$D$73:$D$77,'325'!$D$79:$D$80,'325'!$D$82</definedName>
    <definedName name="OSRRefD22x_0" localSheetId="58">'326'!$D$28:$D$36,'326'!$D$38:$D$47,'326'!$D$49,'326'!$D$51,'326'!$D$53,'326'!$D$55,'326'!$D$57:$D$58,'326'!$D$60,'326'!$D$62,'326'!$D$64,'326'!$D$66,'326'!$D$68:$D$69,'326'!$D$71:$D$72,'326'!$D$74:$D$75,'326'!$D$77:$D$79,'326'!$D$81,'326'!$D$83:$D$84,'326'!$D$86</definedName>
    <definedName name="OSRRefD22x_0" localSheetId="67">'327'!$D$26,'327'!$D$28</definedName>
    <definedName name="OSRRefD22x_0" localSheetId="56">'331'!$D$44:$D$52,'331'!$D$54:$D$63,'331'!$D$65,'331'!$D$67,'331'!$D$69,'331'!$D$71,'331'!$D$73,'331'!$D$75,'331'!$D$77:$D$78,'331'!$D$80:$D$81,'331'!$D$83,'331'!$D$85,'331'!$D$87,'331'!$D$89,'331'!$D$91:$D$92,'331'!$D$94:$D$96,'331'!$D$98:$D$99,'331'!$D$101:$D$102,'331'!$D$104:$D$108,'331'!$D$110,'331'!$D$112:$D$113,'331'!$D$115</definedName>
    <definedName name="OSRRefD22x_0" localSheetId="59">'332'!$D$27:$D$35,'332'!$D$37:$D$46,'332'!$D$48,'332'!$D$50,'332'!$D$52,'332'!$D$54:$D$55,'332'!$D$57,'332'!$D$59:$D$61,'332'!$D$63,'332'!$D$65:$D$68,'332'!$D$70</definedName>
    <definedName name="OSRRefD22x_0" localSheetId="54">'333'!$D$46:$D$54,'333'!$D$56:$D$65,'333'!$D$67,'333'!$D$69,'333'!$D$71,'333'!$D$73:$D$74,'333'!$D$76,'333'!$D$78,'333'!$D$80:$D$81,'333'!$D$83:$D$84,'333'!$D$86,'333'!$D$88,'333'!$D$90,'333'!$D$92,'333'!$D$94:$D$95,'333'!$D$97:$D$99,'333'!$D$101:$D$103,'333'!$D$105:$D$106,'333'!$D$108:$D$113,'333'!$D$115,'333'!$D$117:$D$118,'333'!$D$120</definedName>
    <definedName name="OSRRefD22x_0" localSheetId="71">'405'!$D$27:$D$35,'405'!$D$37:$D$46,'405'!$D$48,'405'!$D$50,'405'!$D$52,'405'!$D$54:$D$55,'405'!$D$57,'405'!$D$59,'405'!$D$61,'405'!$D$63:$D$64,'405'!$D$66:$D$69,'405'!$D$71,'405'!$D$73:$D$80,'405'!$D$82,'405'!$D$84,'405'!$D$86</definedName>
    <definedName name="OSRRefD22x_0" localSheetId="72">'406'!$D$20,'406'!$D$22</definedName>
    <definedName name="OSRRefD22x_0" localSheetId="73">'411'!$D$20:$D$28,'411'!$D$30:$D$39,'411'!$D$41,'411'!$D$43:$D$44,'411'!$D$46,'411'!$D$48,'411'!$D$50,'411'!$D$52,'411'!$D$54:$D$57,'411'!$D$59:$D$61,'411'!$D$63:$D$64,'411'!$D$66,'411'!$D$68,'411'!$D$70,'411'!$D$72</definedName>
    <definedName name="OSRRefD22x_0" localSheetId="74">'412'!$D$20,'412'!$D$22,'412'!$D$24,'412'!$D$26</definedName>
    <definedName name="OSRRefD22x_0" localSheetId="75">'413'!$D$20,'413'!$D$22,'413'!$D$24</definedName>
    <definedName name="OSRRefD22x_0" localSheetId="76">'414'!$D$20,'414'!$D$22,'414'!$D$24</definedName>
    <definedName name="OSRRefD22x_0" localSheetId="77">'415'!$D$27:$D$35,'415'!$D$37:$D$46,'415'!$D$48,'415'!$D$50,'415'!$D$52,'415'!$D$54:$D$55,'415'!$D$57,'415'!$D$59,'415'!$D$61,'415'!$D$63,'415'!$D$65,'415'!$D$67:$D$68,'415'!$D$70:$D$73,'415'!$D$75,'415'!$D$77:$D$83,'415'!$D$85:$D$86,'415'!$D$88,'415'!$D$90</definedName>
    <definedName name="OSRRefD22x_0" localSheetId="78">'418'!$D$24:$D$32,'418'!$D$34:$D$43,'418'!$D$45,'418'!$D$47,'418'!$D$49:$D$50,'418'!$D$52,'418'!$D$54,'418'!$D$56:$D$57,'418'!$D$59:$D$60,'418'!$D$62:$D$65,'418'!$D$67,'418'!$D$69:$D$76,'418'!$D$78:$D$79,'418'!$D$81,'418'!$D$83</definedName>
    <definedName name="OSRRefD22x_0" localSheetId="79">'423'!$D$20:$D$27,'423'!$D$29:$D$38,'423'!$D$40,'423'!$D$42,'423'!$D$44,'423'!$D$46</definedName>
    <definedName name="OSRRefD22x_0" localSheetId="80">'424'!$D$20,'424'!$D$22,'424'!$D$24</definedName>
    <definedName name="OSRRefD22x_0" localSheetId="81">'425'!$D$22,'425'!$D$24,'425'!$D$26,'425'!$D$28,'425'!$D$30,'425'!$D$32</definedName>
    <definedName name="OSRRefD22x_0" localSheetId="83">'430'!$D$20:$D$28,'430'!$D$30:$D$39,'430'!$D$41,'430'!$D$43,'430'!$D$45,'430'!$D$47:$D$48,'430'!$D$50:$D$51,'430'!$D$53,'430'!$D$55</definedName>
    <definedName name="OSRRefD22x_0" localSheetId="84">'433'!$D$27:$D$36,'433'!$D$38:$D$47,'433'!$D$49,'433'!$D$51,'433'!$D$53,'433'!$D$55,'433'!$D$57,'433'!$D$59,'433'!$D$61,'433'!$D$63,'433'!$D$65,'433'!$D$67:$D$69,'433'!$D$71:$D$74,'433'!$D$76:$D$83,'433'!$D$85,'433'!$D$87</definedName>
    <definedName name="OSRRefD22x_0" localSheetId="85">'435'!$D$20</definedName>
    <definedName name="OSRRefD22x_0" localSheetId="86">'444'!$D$27:$D$36,'444'!$D$38:$D$47,'444'!$D$49,'444'!$D$51,'444'!$D$53,'444'!$D$55,'444'!$D$57,'444'!$D$59,'444'!$D$61,'444'!$D$63,'444'!$D$65,'444'!$D$67:$D$68,'444'!$D$70:$D$73,'444'!$D$75,'444'!$D$77:$D$84,'444'!$D$86,'444'!$D$88</definedName>
    <definedName name="OSRRefD22x_0" localSheetId="87">'450'!$D$27:$D$36,'450'!$D$38:$D$47,'450'!$D$49,'450'!$D$51,'450'!$D$53,'450'!$D$55,'450'!$D$57,'450'!$D$59,'450'!$D$61,'450'!$D$63,'450'!$D$65,'450'!$D$67:$D$69,'450'!$D$71:$D$74,'450'!$D$76:$D$82,'450'!$D$84,'450'!$D$86,'450'!$D$88</definedName>
    <definedName name="OSRRefD22x_0" localSheetId="70">'491'!$D$28:$D$36,'491'!$D$38:$D$47,'491'!$D$49,'491'!$D$51,'491'!$D$53,'491'!$D$55:$D$56,'491'!$D$58,'491'!$D$60,'491'!$D$62:$D$63,'491'!$D$65,'491'!$D$67,'491'!$D$69,'491'!$D$71:$D$74,'491'!$D$76,'491'!$D$78:$D$82,'491'!$D$84,'491'!$D$86:$D$95,'491'!$D$97:$D$98,'491'!$D$100,'491'!$D$102,'491'!$D$104</definedName>
    <definedName name="OSRRefD22x_0" localSheetId="82">'492'!$D$27:$D$36,'492'!$D$38:$D$47,'492'!$D$49,'492'!$D$51,'492'!$D$53,'492'!$D$55,'492'!$D$57,'492'!$D$59,'492'!$D$61,'492'!$D$63,'492'!$D$65,'492'!$D$67,'492'!$D$69:$D$71,'492'!$D$73:$D$76,'492'!$D$78,'492'!$D$80:$D$87,'492'!$D$89:$D$90,'492'!$D$92,'492'!$D$94:$D$95</definedName>
    <definedName name="OSRRefD22x_0" localSheetId="89">'501'!$D$21:$D$30,'501'!$D$32:$D$41,'501'!$D$43,'501'!$D$45,'501'!$D$47,'501'!$D$49:$D$50,'501'!$D$52,'501'!$D$54,'501'!$D$56,'501'!$D$58:$D$60,'501'!$D$62,'501'!$D$64:$D$66,'501'!$D$68,'501'!$D$70</definedName>
    <definedName name="OSRRefD22x_0" localSheetId="39">'Div 2'!$D$20:$D$30,'Div 2'!$D$32:$D$41,'Div 2'!$D$43,'Div 2'!$D$45,'Div 2'!$D$47,'Div 2'!$D$49:$D$50,'Div 2'!$D$52,'Div 2'!$D$54,'Div 2'!$D$56,'Div 2'!$D$58,'Div 2'!$D$60,'Div 2'!$D$62,'Div 2'!$D$64:$D$67,'Div 2'!$D$69:$D$72,'Div 2'!$D$74:$D$75,'Div 2'!$D$77:$D$78,'Div 2'!$D$80:$D$85,'Div 2'!$D$87:$D$88,'Div 2'!$D$90,'Div 2'!$D$92:$D$93</definedName>
    <definedName name="OSRRefD22x_0" localSheetId="47">'Div 3'!$D$58:$D$67,'Div 3'!$D$69:$D$78,'Div 3'!$D$80,'Div 3'!$D$82,'Div 3'!$D$84,'Div 3'!$D$86:$D$87,'Div 3'!$D$89:$D$90,'Div 3'!$D$92,'Div 3'!$D$94,'Div 3'!$D$96,'Div 3'!$D$98:$D$99,'Div 3'!$D$101:$D$102,'Div 3'!$D$104,'Div 3'!$D$106,'Div 3'!$D$108,'Div 3'!$D$110,'Div 3'!$D$112,'Div 3'!$D$114:$D$117,'Div 3'!$D$119:$D$122,'Div 3'!$D$124:$D$127,'Div 3'!$D$129:$D$130,'Div 3'!$D$132:$D$138,'Div 3'!$D$140:$D$141,'Div 3'!$D$143,'Div 3'!$D$145:$D$147,'Div 3'!$D$149</definedName>
    <definedName name="OSRRefD22x_0" localSheetId="68">'Div 4'!$D$29:$D$38,'Div 4'!$D$40:$D$49,'Div 4'!$D$51,'Div 4'!$D$53,'Div 4'!$D$55,'Div 4'!$D$57:$D$58,'Div 4'!$D$60,'Div 4'!$D$62,'Div 4'!$D$64,'Div 4'!$D$66:$D$67,'Div 4'!$D$69,'Div 4'!$D$71,'Div 4'!$D$73,'Div 4'!$D$75,'Div 4'!$D$77:$D$80,'Div 4'!$D$82,'Div 4'!$D$84:$D$88,'Div 4'!$D$90:$D$91,'Div 4'!$D$93:$D$102,'Div 4'!$D$104:$D$105,'Div 4'!$D$107,'Div 4'!$D$109:$D$110,'Div 4'!$D$112</definedName>
    <definedName name="OSRRefD22x_0" localSheetId="88">'Div 5'!$D$21:$D$30,'Div 5'!$D$32:$D$41,'Div 5'!$D$43,'Div 5'!$D$45,'Div 5'!$D$47,'Div 5'!$D$49:$D$50,'Div 5'!$D$52,'Div 5'!$D$54,'Div 5'!$D$56,'Div 5'!$D$58:$D$60,'Div 5'!$D$62,'Div 5'!$D$64:$D$66,'Div 5'!$D$68,'Div 5'!$D$70</definedName>
    <definedName name="OSRRefD22x_0" localSheetId="61">'Div 6'!$D$35:$D$44,'Div 6'!$D$46:$D$55,'Div 6'!$D$57,'Div 6'!$D$59,'Div 6'!$D$61,'Div 6'!$D$63,'Div 6'!$D$65,'Div 6'!$D$67,'Div 6'!$D$69:$D$70,'Div 6'!$D$72</definedName>
    <definedName name="OSRRefD22x_0" localSheetId="2">Summary!$D$66:$D$75,Summary!$D$77:$D$86,Summary!$D$88,Summary!$D$90,Summary!$D$92,Summary!$D$94:$D$95,Summary!$D$97:$D$98,Summary!$D$100,Summary!$D$102,Summary!$D$104,Summary!$D$106:$D$107,Summary!$D$109:$D$111,Summary!$D$113,Summary!$D$115,Summary!$D$117,Summary!$D$119,Summary!$D$121,Summary!$D$123,Summary!$D$125:$D$128,Summary!$D$130:$D$133,Summary!$D$135:$D$139,Summary!$D$141:$D$142,Summary!$D$144:$D$153,Summary!$D$155:$D$156,Summary!$D$158,Summary!$D$160:$D$162,Summary!$D$164</definedName>
    <definedName name="OSRRefD25x_0" localSheetId="48">'300'!$D$145:$D$149</definedName>
    <definedName name="OSRRefD25x_0" localSheetId="49">'300 &amp; 317'!$D$151:$D$157</definedName>
    <definedName name="OSRRefD25x_0" localSheetId="50">'301'!$D$98:$D$99</definedName>
    <definedName name="OSRRefD25x_0" localSheetId="51">'308'!$D$88:$D$91</definedName>
    <definedName name="OSRRefD25x_0" localSheetId="69">'310 &amp; 491'!$D$110:$D$113</definedName>
    <definedName name="OSRRefD25x_0" localSheetId="52">'311'!$D$88:$D$91</definedName>
    <definedName name="OSRRefD25x_0" localSheetId="57">'315'!$D$106:$D$108</definedName>
    <definedName name="OSRRefD25x_0" localSheetId="60">'316'!$D$73</definedName>
    <definedName name="OSRRefD25x_0" localSheetId="62">'317'!$D$75:$D$77</definedName>
    <definedName name="OSRRefD25x_0" localSheetId="56">'331'!$D$118:$D$120</definedName>
    <definedName name="OSRRefD25x_0" localSheetId="59">'332'!$D$73</definedName>
    <definedName name="OSRRefD25x_0" localSheetId="54">'333'!$D$123:$D$125</definedName>
    <definedName name="OSRRefD25x_0" localSheetId="71">'405'!$D$89</definedName>
    <definedName name="OSRRefD25x_0" localSheetId="73">'411'!$D$75</definedName>
    <definedName name="OSRRefD25x_0" localSheetId="77">'415'!$D$93</definedName>
    <definedName name="OSRRefD25x_0" localSheetId="78">'418'!$D$86</definedName>
    <definedName name="OSRRefD25x_0" localSheetId="79">'423'!$D$49:$D$51</definedName>
    <definedName name="OSRRefD25x_0" localSheetId="70">'491'!$D$107:$D$110</definedName>
    <definedName name="OSRRefD25x_0" localSheetId="89">'501'!$D$73</definedName>
    <definedName name="OSRRefD25x_0" localSheetId="47">'Div 3'!$D$152:$D$156</definedName>
    <definedName name="OSRRefD25x_0" localSheetId="68">'Div 4'!$D$115:$D$118</definedName>
    <definedName name="OSRRefD25x_0" localSheetId="88">'Div 5'!$D$73</definedName>
    <definedName name="OSRRefD25x_0" localSheetId="61">'Div 6'!$D$75:$D$77</definedName>
    <definedName name="OSRRefD25x_0" localSheetId="2">Summary!$D$167:$D$174</definedName>
    <definedName name="OSRRefH13x_0" localSheetId="48">'300'!$H$13:$H$19</definedName>
    <definedName name="OSRRefH13x_0" localSheetId="49">'300 &amp; 317'!$H$13:$H$19</definedName>
    <definedName name="OSRRefH13x_0" localSheetId="55">'307'!$H$13:$H$16</definedName>
    <definedName name="OSRRefH13x_0" localSheetId="51">'308'!$H$13:$H$17</definedName>
    <definedName name="OSRRefH13x_0" localSheetId="63">'310'!$H$13:$H$16</definedName>
    <definedName name="OSRRefH13x_0" localSheetId="69">'310 &amp; 491'!$H$13:$H$18</definedName>
    <definedName name="OSRRefH13x_0" localSheetId="52">'311'!$H$13:$H$17</definedName>
    <definedName name="OSRRefH13x_0" localSheetId="57">'315'!$H$13:$H$17</definedName>
    <definedName name="OSRRefH13x_0" localSheetId="60">'316'!$H$13:$H$17</definedName>
    <definedName name="OSRRefH13x_0" localSheetId="62">'317'!$H$13:$H$17</definedName>
    <definedName name="OSRRefH13x_0" localSheetId="65">'321'!$H$13:$H$14</definedName>
    <definedName name="OSRRefH13x_0" localSheetId="53">'324'!$H$13:$H$14</definedName>
    <definedName name="OSRRefH13x_0" localSheetId="66">'325'!$H$13:$H$14</definedName>
    <definedName name="OSRRefH13x_0" localSheetId="58">'326'!$H$13:$H$16</definedName>
    <definedName name="OSRRefH13x_0" localSheetId="67">'327'!$H$13:$H$15</definedName>
    <definedName name="OSRRefH13x_0" localSheetId="56">'331'!$H$13:$H$17</definedName>
    <definedName name="OSRRefH13x_0" localSheetId="59">'332'!$H$13:$H$17</definedName>
    <definedName name="OSRRefH13x_0" localSheetId="54">'333'!$H$13:$H$17</definedName>
    <definedName name="OSRRefH13x_0" localSheetId="71">'405'!$H$13:$H$16</definedName>
    <definedName name="OSRRefH13x_0" localSheetId="77">'415'!$H$13:$H$16</definedName>
    <definedName name="OSRRefH13x_0" localSheetId="78">'418'!$H$13:$H$14</definedName>
    <definedName name="OSRRefH13x_0" localSheetId="81">'425'!$H$13</definedName>
    <definedName name="OSRRefH13x_0" localSheetId="84">'433'!$H$13:$H$16</definedName>
    <definedName name="OSRRefH13x_0" localSheetId="86">'444'!$H$13:$H$16</definedName>
    <definedName name="OSRRefH13x_0" localSheetId="87">'450'!$H$13:$H$16</definedName>
    <definedName name="OSRRefH13x_0" localSheetId="70">'491'!$H$13:$H$17</definedName>
    <definedName name="OSRRefH13x_0" localSheetId="82">'492'!$H$13:$H$16</definedName>
    <definedName name="OSRRefH13x_0" localSheetId="89">'501'!$H$13</definedName>
    <definedName name="OSRRefH13x_0" localSheetId="47">'Div 3'!$H$13:$H$21</definedName>
    <definedName name="OSRRefH13x_0" localSheetId="68">'Div 4'!$H$13:$H$18</definedName>
    <definedName name="OSRRefH13x_0" localSheetId="88">'Div 5'!$H$13</definedName>
    <definedName name="OSRRefH13x_0" localSheetId="61">'Div 6'!$H$13:$H$17</definedName>
    <definedName name="OSRRefH13x_0" localSheetId="2">Summary!$H$13:$H$23</definedName>
    <definedName name="OSRRefH16x_0" localSheetId="48">'300'!$H$22:$H$48</definedName>
    <definedName name="OSRRefH16x_0" localSheetId="49">'300 &amp; 317'!$H$22:$H$54</definedName>
    <definedName name="OSRRefH16x_0" localSheetId="50">'301'!$H$15</definedName>
    <definedName name="OSRRefH16x_0" localSheetId="55">'307'!$H$19:$H$28</definedName>
    <definedName name="OSRRefH16x_0" localSheetId="51">'308'!$H$20:$H$29</definedName>
    <definedName name="OSRRefH16x_0" localSheetId="64">'309'!$H$15</definedName>
    <definedName name="OSRRefH16x_0" localSheetId="63">'310'!$H$19:$H$21</definedName>
    <definedName name="OSRRefH16x_0" localSheetId="69">'310 &amp; 491'!$H$21:$H$23</definedName>
    <definedName name="OSRRefH16x_0" localSheetId="52">'311'!$H$20:$H$29</definedName>
    <definedName name="OSRRefH16x_0" localSheetId="57">'315'!$H$20:$H$38</definedName>
    <definedName name="OSRRefH16x_0" localSheetId="60">'316'!$H$20:$H$21</definedName>
    <definedName name="OSRRefH16x_0" localSheetId="62">'317'!$H$20:$H$29</definedName>
    <definedName name="OSRRefH16x_0" localSheetId="65">'321'!$H$17:$H$18</definedName>
    <definedName name="OSRRefH16x_0" localSheetId="53">'324'!$H$17</definedName>
    <definedName name="OSRRefH16x_0" localSheetId="66">'325'!$H$17:$H$19</definedName>
    <definedName name="OSRRefH16x_0" localSheetId="58">'326'!$H$19:$H$22</definedName>
    <definedName name="OSRRefH16x_0" localSheetId="67">'327'!$H$18:$H$20</definedName>
    <definedName name="OSRRefH16x_0" localSheetId="56">'331'!$H$20:$H$38</definedName>
    <definedName name="OSRRefH16x_0" localSheetId="59">'332'!$H$20:$H$21</definedName>
    <definedName name="OSRRefH16x_0" localSheetId="54">'333'!$H$20:$H$40</definedName>
    <definedName name="OSRRefH16x_0" localSheetId="71">'405'!$H$19:$H$21</definedName>
    <definedName name="OSRRefH16x_0" localSheetId="77">'415'!$H$19:$H$21</definedName>
    <definedName name="OSRRefH16x_0" localSheetId="78">'418'!$H$17:$H$18</definedName>
    <definedName name="OSRRefH16x_0" localSheetId="81">'425'!$H$16</definedName>
    <definedName name="OSRRefH16x_0" localSheetId="84">'433'!$H$19:$H$21</definedName>
    <definedName name="OSRRefH16x_0" localSheetId="86">'444'!$H$19:$H$21</definedName>
    <definedName name="OSRRefH16x_0" localSheetId="87">'450'!$H$19:$H$21</definedName>
    <definedName name="OSRRefH16x_0" localSheetId="70">'491'!$H$20:$H$22</definedName>
    <definedName name="OSRRefH16x_0" localSheetId="82">'492'!$H$19:$H$21</definedName>
    <definedName name="OSRRefH16x_0" localSheetId="47">'Div 3'!$H$24:$H$52</definedName>
    <definedName name="OSRRefH16x_0" localSheetId="68">'Div 4'!$H$21:$H$23</definedName>
    <definedName name="OSRRefH16x_0" localSheetId="61">'Div 6'!$H$20:$H$29</definedName>
    <definedName name="OSRRefH16x_0" localSheetId="2">Summary!$H$26:$H$60</definedName>
    <definedName name="OSRRefH22_0x_0" localSheetId="40">'200'!$H$20</definedName>
    <definedName name="OSRRefH22_0x_0" localSheetId="41">'201'!$H$20:$H$28</definedName>
    <definedName name="OSRRefH22_0x_0" localSheetId="42">'202'!$H$20:$H$28</definedName>
    <definedName name="OSRRefH22_0x_0" localSheetId="43">'203'!$H$20:$H$29</definedName>
    <definedName name="OSRRefH22_0x_0" localSheetId="44">'204'!$H$20:$H$28</definedName>
    <definedName name="OSRRefH22_0x_0" localSheetId="45">'205'!$H$20:$H$28</definedName>
    <definedName name="OSRRefH22_0x_0" localSheetId="46">'206'!$H$20:$H$28</definedName>
    <definedName name="OSRRefH22_0x_0" localSheetId="48">'300'!$H$54:$H$63</definedName>
    <definedName name="OSRRefH22_0x_0" localSheetId="49">'300 &amp; 317'!$H$60:$H$69</definedName>
    <definedName name="OSRRefH22_0x_0" localSheetId="50">'301'!$H$21:$H$30</definedName>
    <definedName name="OSRRefH22_0x_0" localSheetId="55">'307'!$H$34:$H$41</definedName>
    <definedName name="OSRRefH22_0x_0" localSheetId="51">'308'!$H$35:$H$44</definedName>
    <definedName name="OSRRefH22_0x_0" localSheetId="64">'309'!$H$21</definedName>
    <definedName name="OSRRefH22_0x_0" localSheetId="63">'310'!$H$27:$H$36</definedName>
    <definedName name="OSRRefH22_0x_0" localSheetId="69">'310 &amp; 491'!$H$29:$H$38</definedName>
    <definedName name="OSRRefH22_0x_0" localSheetId="52">'311'!$H$35:$H$44</definedName>
    <definedName name="OSRRefH22_0x_0" localSheetId="57">'315'!$H$44:$H$52</definedName>
    <definedName name="OSRRefH22_0x_0" localSheetId="60">'316'!$H$27:$H$35</definedName>
    <definedName name="OSRRefH22_0x_0" localSheetId="62">'317'!$H$35:$H$44</definedName>
    <definedName name="OSRRefH22_0x_0" localSheetId="65">'321'!$H$24:$H$33</definedName>
    <definedName name="OSRRefH22_0x_0" localSheetId="66">'325'!$H$25:$H$33</definedName>
    <definedName name="OSRRefH22_0x_0" localSheetId="58">'326'!$H$28:$H$36</definedName>
    <definedName name="OSRRefH22_0x_0" localSheetId="67">'327'!$H$26</definedName>
    <definedName name="OSRRefH22_0x_0" localSheetId="56">'331'!$H$44:$H$52</definedName>
    <definedName name="OSRRefH22_0x_0" localSheetId="59">'332'!$H$27:$H$35</definedName>
    <definedName name="OSRRefH22_0x_0" localSheetId="54">'333'!$H$46:$H$54</definedName>
    <definedName name="OSRRefH22_0x_0" localSheetId="71">'405'!$H$27:$H$35</definedName>
    <definedName name="OSRRefH22_0x_0" localSheetId="72">'406'!$H$20</definedName>
    <definedName name="OSRRefH22_0x_0" localSheetId="73">'411'!$H$20:$H$28</definedName>
    <definedName name="OSRRefH22_0x_0" localSheetId="74">'412'!$H$20</definedName>
    <definedName name="OSRRefH22_0x_0" localSheetId="75">'413'!$H$20</definedName>
    <definedName name="OSRRefH22_0x_0" localSheetId="76">'414'!$H$20</definedName>
    <definedName name="OSRRefH22_0x_0" localSheetId="77">'415'!$H$27:$H$35</definedName>
    <definedName name="OSRRefH22_0x_0" localSheetId="78">'418'!$H$24:$H$32</definedName>
    <definedName name="OSRRefH22_0x_0" localSheetId="79">'423'!$H$20:$H$27</definedName>
    <definedName name="OSRRefH22_0x_0" localSheetId="80">'424'!$H$20</definedName>
    <definedName name="OSRRefH22_0x_0" localSheetId="81">'425'!$H$22</definedName>
    <definedName name="OSRRefH22_0x_0" localSheetId="83">'430'!$H$20:$H$28</definedName>
    <definedName name="OSRRefH22_0x_0" localSheetId="84">'433'!$H$27:$H$36</definedName>
    <definedName name="OSRRefH22_0x_0" localSheetId="85">'435'!$H$20</definedName>
    <definedName name="OSRRefH22_0x_0" localSheetId="86">'444'!$H$27:$H$36</definedName>
    <definedName name="OSRRefH22_0x_0" localSheetId="87">'450'!$H$27:$H$36</definedName>
    <definedName name="OSRRefH22_0x_0" localSheetId="70">'491'!$H$28:$H$36</definedName>
    <definedName name="OSRRefH22_0x_0" localSheetId="82">'492'!$H$27:$H$36</definedName>
    <definedName name="OSRRefH22_0x_0" localSheetId="89">'501'!$H$21:$H$30</definedName>
    <definedName name="OSRRefH22_0x_0" localSheetId="39">'Div 2'!$H$20:$H$30</definedName>
    <definedName name="OSRRefH22_0x_0" localSheetId="47">'Div 3'!$H$58:$H$67</definedName>
    <definedName name="OSRRefH22_0x_0" localSheetId="68">'Div 4'!$H$29:$H$38</definedName>
    <definedName name="OSRRefH22_0x_0" localSheetId="88">'Div 5'!$H$21:$H$30</definedName>
    <definedName name="OSRRefH22_0x_0" localSheetId="61">'Div 6'!$H$35:$H$44</definedName>
    <definedName name="OSRRefH22_0x_0" localSheetId="2">Summary!$H$66:$H$75</definedName>
    <definedName name="OSRRefH22_10x_0" localSheetId="41">'201'!$H$59:$H$60</definedName>
    <definedName name="OSRRefH22_10x_0" localSheetId="42">'202'!$H$59</definedName>
    <definedName name="OSRRefH22_10x_0" localSheetId="43">'203'!$H$61</definedName>
    <definedName name="OSRRefH22_10x_0" localSheetId="44">'204'!$H$63</definedName>
    <definedName name="OSRRefH22_10x_0" localSheetId="48">'300'!$H$94:$H$95</definedName>
    <definedName name="OSRRefH22_10x_0" localSheetId="49">'300 &amp; 317'!$H$100:$H$101</definedName>
    <definedName name="OSRRefH22_10x_0" localSheetId="50">'301'!$H$61</definedName>
    <definedName name="OSRRefH22_10x_0" localSheetId="55">'307'!$H$72:$H$73</definedName>
    <definedName name="OSRRefH22_10x_0" localSheetId="51">'308'!$H$76:$H$77</definedName>
    <definedName name="OSRRefH22_10x_0" localSheetId="63">'310'!$H$66</definedName>
    <definedName name="OSRRefH22_10x_0" localSheetId="69">'310 &amp; 491'!$H$69</definedName>
    <definedName name="OSRRefH22_10x_0" localSheetId="52">'311'!$H$76:$H$77</definedName>
    <definedName name="OSRRefH22_10x_0" localSheetId="57">'315'!$H$82</definedName>
    <definedName name="OSRRefH22_10x_0" localSheetId="60">'316'!$H$70</definedName>
    <definedName name="OSRRefH22_10x_0" localSheetId="65">'321'!$H$67</definedName>
    <definedName name="OSRRefH22_10x_0" localSheetId="66">'325'!$H$63</definedName>
    <definedName name="OSRRefH22_10x_0" localSheetId="58">'326'!$H$66</definedName>
    <definedName name="OSRRefH22_10x_0" localSheetId="56">'331'!$H$83</definedName>
    <definedName name="OSRRefH22_10x_0" localSheetId="59">'332'!$H$70</definedName>
    <definedName name="OSRRefH22_10x_0" localSheetId="54">'333'!$H$86</definedName>
    <definedName name="OSRRefH22_10x_0" localSheetId="71">'405'!$H$66:$H$69</definedName>
    <definedName name="OSRRefH22_10x_0" localSheetId="73">'411'!$H$63:$H$64</definedName>
    <definedName name="OSRRefH22_10x_0" localSheetId="77">'415'!$H$65</definedName>
    <definedName name="OSRRefH22_10x_0" localSheetId="78">'418'!$H$67</definedName>
    <definedName name="OSRRefH22_10x_0" localSheetId="84">'433'!$H$65</definedName>
    <definedName name="OSRRefH22_10x_0" localSheetId="86">'444'!$H$65</definedName>
    <definedName name="OSRRefH22_10x_0" localSheetId="87">'450'!$H$65</definedName>
    <definedName name="OSRRefH22_10x_0" localSheetId="70">'491'!$H$67</definedName>
    <definedName name="OSRRefH22_10x_0" localSheetId="82">'492'!$H$65</definedName>
    <definedName name="OSRRefH22_10x_0" localSheetId="89">'501'!$H$62</definedName>
    <definedName name="OSRRefH22_10x_0" localSheetId="39">'Div 2'!$H$60</definedName>
    <definedName name="OSRRefH22_10x_0" localSheetId="47">'Div 3'!$H$98:$H$99</definedName>
    <definedName name="OSRRefH22_10x_0" localSheetId="68">'Div 4'!$H$69</definedName>
    <definedName name="OSRRefH22_10x_0" localSheetId="88">'Div 5'!$H$62</definedName>
    <definedName name="OSRRefH22_10x_0" localSheetId="2">Summary!$H$106:$H$107</definedName>
    <definedName name="OSRRefH22_11x_0" localSheetId="41">'201'!$H$62</definedName>
    <definedName name="OSRRefH22_11x_0" localSheetId="42">'202'!$H$61</definedName>
    <definedName name="OSRRefH22_11x_0" localSheetId="43">'203'!$H$63:$H$66</definedName>
    <definedName name="OSRRefH22_11x_0" localSheetId="48">'300'!$H$97:$H$98</definedName>
    <definedName name="OSRRefH22_11x_0" localSheetId="49">'300 &amp; 317'!$H$103:$H$104</definedName>
    <definedName name="OSRRefH22_11x_0" localSheetId="50">'301'!$H$63</definedName>
    <definedName name="OSRRefH22_11x_0" localSheetId="55">'307'!$H$75:$H$78</definedName>
    <definedName name="OSRRefH22_11x_0" localSheetId="51">'308'!$H$79:$H$80</definedName>
    <definedName name="OSRRefH22_11x_0" localSheetId="63">'310'!$H$68:$H$70</definedName>
    <definedName name="OSRRefH22_11x_0" localSheetId="69">'310 &amp; 491'!$H$71</definedName>
    <definedName name="OSRRefH22_11x_0" localSheetId="52">'311'!$H$79:$H$80</definedName>
    <definedName name="OSRRefH22_11x_0" localSheetId="57">'315'!$H$84</definedName>
    <definedName name="OSRRefH22_11x_0" localSheetId="65">'321'!$H$69</definedName>
    <definedName name="OSRRefH22_11x_0" localSheetId="66">'325'!$H$65:$H$67</definedName>
    <definedName name="OSRRefH22_11x_0" localSheetId="58">'326'!$H$68:$H$69</definedName>
    <definedName name="OSRRefH22_11x_0" localSheetId="56">'331'!$H$85</definedName>
    <definedName name="OSRRefH22_11x_0" localSheetId="54">'333'!$H$88</definedName>
    <definedName name="OSRRefH22_11x_0" localSheetId="71">'405'!$H$71</definedName>
    <definedName name="OSRRefH22_11x_0" localSheetId="73">'411'!$H$66</definedName>
    <definedName name="OSRRefH22_11x_0" localSheetId="77">'415'!$H$67:$H$68</definedName>
    <definedName name="OSRRefH22_11x_0" localSheetId="78">'418'!$H$69:$H$76</definedName>
    <definedName name="OSRRefH22_11x_0" localSheetId="84">'433'!$H$67:$H$69</definedName>
    <definedName name="OSRRefH22_11x_0" localSheetId="86">'444'!$H$67:$H$68</definedName>
    <definedName name="OSRRefH22_11x_0" localSheetId="87">'450'!$H$67:$H$69</definedName>
    <definedName name="OSRRefH22_11x_0" localSheetId="70">'491'!$H$69</definedName>
    <definedName name="OSRRefH22_11x_0" localSheetId="82">'492'!$H$67</definedName>
    <definedName name="OSRRefH22_11x_0" localSheetId="89">'501'!$H$64:$H$66</definedName>
    <definedName name="OSRRefH22_11x_0" localSheetId="39">'Div 2'!$H$62</definedName>
    <definedName name="OSRRefH22_11x_0" localSheetId="47">'Div 3'!$H$101:$H$102</definedName>
    <definedName name="OSRRefH22_11x_0" localSheetId="68">'Div 4'!$H$71</definedName>
    <definedName name="OSRRefH22_11x_0" localSheetId="88">'Div 5'!$H$64:$H$66</definedName>
    <definedName name="OSRRefH22_11x_0" localSheetId="2">Summary!$H$109:$H$111</definedName>
    <definedName name="OSRRefH22_12x_0" localSheetId="41">'201'!$H$64:$H$65</definedName>
    <definedName name="OSRRefH22_12x_0" localSheetId="42">'202'!$H$63</definedName>
    <definedName name="OSRRefH22_12x_0" localSheetId="43">'203'!$H$68</definedName>
    <definedName name="OSRRefH22_12x_0" localSheetId="48">'300'!$H$100</definedName>
    <definedName name="OSRRefH22_12x_0" localSheetId="49">'300 &amp; 317'!$H$106</definedName>
    <definedName name="OSRRefH22_12x_0" localSheetId="50">'301'!$H$65</definedName>
    <definedName name="OSRRefH22_12x_0" localSheetId="55">'307'!$H$80</definedName>
    <definedName name="OSRRefH22_12x_0" localSheetId="51">'308'!$H$82:$H$83</definedName>
    <definedName name="OSRRefH22_12x_0" localSheetId="63">'310'!$H$72</definedName>
    <definedName name="OSRRefH22_12x_0" localSheetId="69">'310 &amp; 491'!$H$73:$H$76</definedName>
    <definedName name="OSRRefH22_12x_0" localSheetId="52">'311'!$H$82:$H$83</definedName>
    <definedName name="OSRRefH22_12x_0" localSheetId="57">'315'!$H$86:$H$87</definedName>
    <definedName name="OSRRefH22_12x_0" localSheetId="66">'325'!$H$69:$H$71</definedName>
    <definedName name="OSRRefH22_12x_0" localSheetId="58">'326'!$H$71:$H$72</definedName>
    <definedName name="OSRRefH22_12x_0" localSheetId="56">'331'!$H$87</definedName>
    <definedName name="OSRRefH22_12x_0" localSheetId="54">'333'!$H$90</definedName>
    <definedName name="OSRRefH22_12x_0" localSheetId="71">'405'!$H$73:$H$80</definedName>
    <definedName name="OSRRefH22_12x_0" localSheetId="73">'411'!$H$68</definedName>
    <definedName name="OSRRefH22_12x_0" localSheetId="77">'415'!$H$70:$H$73</definedName>
    <definedName name="OSRRefH22_12x_0" localSheetId="78">'418'!$H$78:$H$79</definedName>
    <definedName name="OSRRefH22_12x_0" localSheetId="84">'433'!$H$71:$H$74</definedName>
    <definedName name="OSRRefH22_12x_0" localSheetId="86">'444'!$H$70:$H$73</definedName>
    <definedName name="OSRRefH22_12x_0" localSheetId="87">'450'!$H$71:$H$74</definedName>
    <definedName name="OSRRefH22_12x_0" localSheetId="70">'491'!$H$71:$H$74</definedName>
    <definedName name="OSRRefH22_12x_0" localSheetId="82">'492'!$H$69:$H$71</definedName>
    <definedName name="OSRRefH22_12x_0" localSheetId="89">'501'!$H$68</definedName>
    <definedName name="OSRRefH22_12x_0" localSheetId="39">'Div 2'!$H$64:$H$67</definedName>
    <definedName name="OSRRefH22_12x_0" localSheetId="47">'Div 3'!$H$104</definedName>
    <definedName name="OSRRefH22_12x_0" localSheetId="68">'Div 4'!$H$73</definedName>
    <definedName name="OSRRefH22_12x_0" localSheetId="88">'Div 5'!$H$68</definedName>
    <definedName name="OSRRefH22_12x_0" localSheetId="2">Summary!$H$113</definedName>
    <definedName name="OSRRefH22_13x_0" localSheetId="41">'201'!$H$67</definedName>
    <definedName name="OSRRefH22_13x_0" localSheetId="43">'203'!$H$70</definedName>
    <definedName name="OSRRefH22_13x_0" localSheetId="48">'300'!$H$102</definedName>
    <definedName name="OSRRefH22_13x_0" localSheetId="49">'300 &amp; 317'!$H$108</definedName>
    <definedName name="OSRRefH22_13x_0" localSheetId="50">'301'!$H$67</definedName>
    <definedName name="OSRRefH22_13x_0" localSheetId="51">'308'!$H$85</definedName>
    <definedName name="OSRRefH22_13x_0" localSheetId="63">'310'!$H$74:$H$76</definedName>
    <definedName name="OSRRefH22_13x_0" localSheetId="69">'310 &amp; 491'!$H$78:$H$79</definedName>
    <definedName name="OSRRefH22_13x_0" localSheetId="52">'311'!$H$85</definedName>
    <definedName name="OSRRefH22_13x_0" localSheetId="57">'315'!$H$89:$H$91</definedName>
    <definedName name="OSRRefH22_13x_0" localSheetId="66">'325'!$H$73:$H$77</definedName>
    <definedName name="OSRRefH22_13x_0" localSheetId="58">'326'!$H$74:$H$75</definedName>
    <definedName name="OSRRefH22_13x_0" localSheetId="56">'331'!$H$89</definedName>
    <definedName name="OSRRefH22_13x_0" localSheetId="54">'333'!$H$92</definedName>
    <definedName name="OSRRefH22_13x_0" localSheetId="71">'405'!$H$82</definedName>
    <definedName name="OSRRefH22_13x_0" localSheetId="73">'411'!$H$70</definedName>
    <definedName name="OSRRefH22_13x_0" localSheetId="77">'415'!$H$75</definedName>
    <definedName name="OSRRefH22_13x_0" localSheetId="78">'418'!$H$81</definedName>
    <definedName name="OSRRefH22_13x_0" localSheetId="84">'433'!$H$76:$H$83</definedName>
    <definedName name="OSRRefH22_13x_0" localSheetId="86">'444'!$H$75</definedName>
    <definedName name="OSRRefH22_13x_0" localSheetId="87">'450'!$H$76:$H$82</definedName>
    <definedName name="OSRRefH22_13x_0" localSheetId="70">'491'!$H$76</definedName>
    <definedName name="OSRRefH22_13x_0" localSheetId="82">'492'!$H$73:$H$76</definedName>
    <definedName name="OSRRefH22_13x_0" localSheetId="89">'501'!$H$70</definedName>
    <definedName name="OSRRefH22_13x_0" localSheetId="39">'Div 2'!$H$69:$H$72</definedName>
    <definedName name="OSRRefH22_13x_0" localSheetId="47">'Div 3'!$H$106</definedName>
    <definedName name="OSRRefH22_13x_0" localSheetId="68">'Div 4'!$H$75</definedName>
    <definedName name="OSRRefH22_13x_0" localSheetId="88">'Div 5'!$H$70</definedName>
    <definedName name="OSRRefH22_13x_0" localSheetId="2">Summary!$H$115</definedName>
    <definedName name="OSRRefH22_14x_0" localSheetId="41">'201'!$H$69</definedName>
    <definedName name="OSRRefH22_14x_0" localSheetId="43">'203'!$H$72</definedName>
    <definedName name="OSRRefH22_14x_0" localSheetId="48">'300'!$H$104</definedName>
    <definedName name="OSRRefH22_14x_0" localSheetId="49">'300 &amp; 317'!$H$110</definedName>
    <definedName name="OSRRefH22_14x_0" localSheetId="50">'301'!$H$69</definedName>
    <definedName name="OSRRefH22_14x_0" localSheetId="63">'310'!$H$78:$H$82</definedName>
    <definedName name="OSRRefH22_14x_0" localSheetId="69">'310 &amp; 491'!$H$81:$H$85</definedName>
    <definedName name="OSRRefH22_14x_0" localSheetId="57">'315'!$H$93:$H$94</definedName>
    <definedName name="OSRRefH22_14x_0" localSheetId="66">'325'!$H$79:$H$80</definedName>
    <definedName name="OSRRefH22_14x_0" localSheetId="58">'326'!$H$77:$H$79</definedName>
    <definedName name="OSRRefH22_14x_0" localSheetId="56">'331'!$H$91:$H$92</definedName>
    <definedName name="OSRRefH22_14x_0" localSheetId="54">'333'!$H$94:$H$95</definedName>
    <definedName name="OSRRefH22_14x_0" localSheetId="71">'405'!$H$84</definedName>
    <definedName name="OSRRefH22_14x_0" localSheetId="73">'411'!$H$72</definedName>
    <definedName name="OSRRefH22_14x_0" localSheetId="77">'415'!$H$77:$H$83</definedName>
    <definedName name="OSRRefH22_14x_0" localSheetId="78">'418'!$H$83</definedName>
    <definedName name="OSRRefH22_14x_0" localSheetId="84">'433'!$H$85</definedName>
    <definedName name="OSRRefH22_14x_0" localSheetId="86">'444'!$H$77:$H$84</definedName>
    <definedName name="OSRRefH22_14x_0" localSheetId="87">'450'!$H$84</definedName>
    <definedName name="OSRRefH22_14x_0" localSheetId="70">'491'!$H$78:$H$82</definedName>
    <definedName name="OSRRefH22_14x_0" localSheetId="82">'492'!$H$78</definedName>
    <definedName name="OSRRefH22_14x_0" localSheetId="39">'Div 2'!$H$74:$H$75</definedName>
    <definedName name="OSRRefH22_14x_0" localSheetId="47">'Div 3'!$H$108</definedName>
    <definedName name="OSRRefH22_14x_0" localSheetId="68">'Div 4'!$H$77:$H$80</definedName>
    <definedName name="OSRRefH22_14x_0" localSheetId="2">Summary!$H$117</definedName>
    <definedName name="OSRRefH22_15x_0" localSheetId="41">'201'!$H$71</definedName>
    <definedName name="OSRRefH22_15x_0" localSheetId="48">'300'!$H$106</definedName>
    <definedName name="OSRRefH22_15x_0" localSheetId="49">'300 &amp; 317'!$H$112</definedName>
    <definedName name="OSRRefH22_15x_0" localSheetId="50">'301'!$H$71:$H$74</definedName>
    <definedName name="OSRRefH22_15x_0" localSheetId="63">'310'!$H$84:$H$85</definedName>
    <definedName name="OSRRefH22_15x_0" localSheetId="69">'310 &amp; 491'!$H$87</definedName>
    <definedName name="OSRRefH22_15x_0" localSheetId="57">'315'!$H$96:$H$99</definedName>
    <definedName name="OSRRefH22_15x_0" localSheetId="66">'325'!$H$82</definedName>
    <definedName name="OSRRefH22_15x_0" localSheetId="58">'326'!$H$81</definedName>
    <definedName name="OSRRefH22_15x_0" localSheetId="56">'331'!$H$94:$H$96</definedName>
    <definedName name="OSRRefH22_15x_0" localSheetId="54">'333'!$H$97:$H$99</definedName>
    <definedName name="OSRRefH22_15x_0" localSheetId="71">'405'!$H$86</definedName>
    <definedName name="OSRRefH22_15x_0" localSheetId="77">'415'!$H$85:$H$86</definedName>
    <definedName name="OSRRefH22_15x_0" localSheetId="84">'433'!$H$87</definedName>
    <definedName name="OSRRefH22_15x_0" localSheetId="86">'444'!$H$86</definedName>
    <definedName name="OSRRefH22_15x_0" localSheetId="87">'450'!$H$86</definedName>
    <definedName name="OSRRefH22_15x_0" localSheetId="70">'491'!$H$84</definedName>
    <definedName name="OSRRefH22_15x_0" localSheetId="82">'492'!$H$80:$H$87</definedName>
    <definedName name="OSRRefH22_15x_0" localSheetId="39">'Div 2'!$H$77:$H$78</definedName>
    <definedName name="OSRRefH22_15x_0" localSheetId="47">'Div 3'!$H$110</definedName>
    <definedName name="OSRRefH22_15x_0" localSheetId="68">'Div 4'!$H$82</definedName>
    <definedName name="OSRRefH22_15x_0" localSheetId="2">Summary!$H$119</definedName>
    <definedName name="OSRRefH22_16x_0" localSheetId="48">'300'!$H$108:$H$111</definedName>
    <definedName name="OSRRefH22_16x_0" localSheetId="49">'300 &amp; 317'!$H$114:$H$117</definedName>
    <definedName name="OSRRefH22_16x_0" localSheetId="50">'301'!$H$76:$H$77</definedName>
    <definedName name="OSRRefH22_16x_0" localSheetId="63">'310'!$H$87</definedName>
    <definedName name="OSRRefH22_16x_0" localSheetId="69">'310 &amp; 491'!$H$89:$H$98</definedName>
    <definedName name="OSRRefH22_16x_0" localSheetId="57">'315'!$H$101</definedName>
    <definedName name="OSRRefH22_16x_0" localSheetId="58">'326'!$H$83:$H$84</definedName>
    <definedName name="OSRRefH22_16x_0" localSheetId="56">'331'!$H$98:$H$99</definedName>
    <definedName name="OSRRefH22_16x_0" localSheetId="54">'333'!$H$101:$H$103</definedName>
    <definedName name="OSRRefH22_16x_0" localSheetId="77">'415'!$H$88</definedName>
    <definedName name="OSRRefH22_16x_0" localSheetId="86">'444'!$H$88</definedName>
    <definedName name="OSRRefH22_16x_0" localSheetId="87">'450'!$H$88</definedName>
    <definedName name="OSRRefH22_16x_0" localSheetId="70">'491'!$H$86:$H$95</definedName>
    <definedName name="OSRRefH22_16x_0" localSheetId="82">'492'!$H$89:$H$90</definedName>
    <definedName name="OSRRefH22_16x_0" localSheetId="39">'Div 2'!$H$80:$H$85</definedName>
    <definedName name="OSRRefH22_16x_0" localSheetId="47">'Div 3'!$H$112</definedName>
    <definedName name="OSRRefH22_16x_0" localSheetId="68">'Div 4'!$H$84:$H$88</definedName>
    <definedName name="OSRRefH22_16x_0" localSheetId="2">Summary!$H$121</definedName>
    <definedName name="OSRRefH22_17x_0" localSheetId="48">'300'!$H$113:$H$116</definedName>
    <definedName name="OSRRefH22_17x_0" localSheetId="49">'300 &amp; 317'!$H$119:$H$122</definedName>
    <definedName name="OSRRefH22_17x_0" localSheetId="50">'301'!$H$79</definedName>
    <definedName name="OSRRefH22_17x_0" localSheetId="63">'310'!$H$89</definedName>
    <definedName name="OSRRefH22_17x_0" localSheetId="69">'310 &amp; 491'!$H$100:$H$101</definedName>
    <definedName name="OSRRefH22_17x_0" localSheetId="57">'315'!$H$103</definedName>
    <definedName name="OSRRefH22_17x_0" localSheetId="58">'326'!$H$86</definedName>
    <definedName name="OSRRefH22_17x_0" localSheetId="56">'331'!$H$101:$H$102</definedName>
    <definedName name="OSRRefH22_17x_0" localSheetId="54">'333'!$H$105:$H$106</definedName>
    <definedName name="OSRRefH22_17x_0" localSheetId="77">'415'!$H$90</definedName>
    <definedName name="OSRRefH22_17x_0" localSheetId="70">'491'!$H$97:$H$98</definedName>
    <definedName name="OSRRefH22_17x_0" localSheetId="82">'492'!$H$92</definedName>
    <definedName name="OSRRefH22_17x_0" localSheetId="39">'Div 2'!$H$87:$H$88</definedName>
    <definedName name="OSRRefH22_17x_0" localSheetId="47">'Div 3'!$H$114:$H$117</definedName>
    <definedName name="OSRRefH22_17x_0" localSheetId="68">'Div 4'!$H$90:$H$91</definedName>
    <definedName name="OSRRefH22_17x_0" localSheetId="2">Summary!$H$123</definedName>
    <definedName name="OSRRefH22_18x_0" localSheetId="48">'300'!$H$118:$H$120</definedName>
    <definedName name="OSRRefH22_18x_0" localSheetId="49">'300 &amp; 317'!$H$124:$H$126</definedName>
    <definedName name="OSRRefH22_18x_0" localSheetId="50">'301'!$H$81:$H$86</definedName>
    <definedName name="OSRRefH22_18x_0" localSheetId="69">'310 &amp; 491'!$H$103</definedName>
    <definedName name="OSRRefH22_18x_0" localSheetId="56">'331'!$H$104:$H$108</definedName>
    <definedName name="OSRRefH22_18x_0" localSheetId="54">'333'!$H$108:$H$113</definedName>
    <definedName name="OSRRefH22_18x_0" localSheetId="70">'491'!$H$100</definedName>
    <definedName name="OSRRefH22_18x_0" localSheetId="82">'492'!$H$94:$H$95</definedName>
    <definedName name="OSRRefH22_18x_0" localSheetId="39">'Div 2'!$H$90</definedName>
    <definedName name="OSRRefH22_18x_0" localSheetId="47">'Div 3'!$H$119:$H$122</definedName>
    <definedName name="OSRRefH22_18x_0" localSheetId="68">'Div 4'!$H$93:$H$102</definedName>
    <definedName name="OSRRefH22_18x_0" localSheetId="2">Summary!$H$125:$H$128</definedName>
    <definedName name="OSRRefH22_19x_0" localSheetId="48">'300'!$H$122:$H$123</definedName>
    <definedName name="OSRRefH22_19x_0" localSheetId="49">'300 &amp; 317'!$H$128:$H$129</definedName>
    <definedName name="OSRRefH22_19x_0" localSheetId="50">'301'!$H$88</definedName>
    <definedName name="OSRRefH22_19x_0" localSheetId="69">'310 &amp; 491'!$H$105</definedName>
    <definedName name="OSRRefH22_19x_0" localSheetId="56">'331'!$H$110</definedName>
    <definedName name="OSRRefH22_19x_0" localSheetId="54">'333'!$H$115</definedName>
    <definedName name="OSRRefH22_19x_0" localSheetId="70">'491'!$H$102</definedName>
    <definedName name="OSRRefH22_19x_0" localSheetId="39">'Div 2'!$H$92:$H$93</definedName>
    <definedName name="OSRRefH22_19x_0" localSheetId="47">'Div 3'!$H$124:$H$127</definedName>
    <definedName name="OSRRefH22_19x_0" localSheetId="68">'Div 4'!$H$104:$H$105</definedName>
    <definedName name="OSRRefH22_19x_0" localSheetId="2">Summary!$H$130:$H$133</definedName>
    <definedName name="OSRRefH22_1x_0" localSheetId="40">'200'!$H$22</definedName>
    <definedName name="OSRRefH22_1x_0" localSheetId="41">'201'!$H$30:$H$39</definedName>
    <definedName name="OSRRefH22_1x_0" localSheetId="42">'202'!$H$30:$H$39</definedName>
    <definedName name="OSRRefH22_1x_0" localSheetId="43">'203'!$H$31:$H$40</definedName>
    <definedName name="OSRRefH22_1x_0" localSheetId="44">'204'!$H$30:$H$39</definedName>
    <definedName name="OSRRefH22_1x_0" localSheetId="45">'205'!$H$30:$H$39</definedName>
    <definedName name="OSRRefH22_1x_0" localSheetId="46">'206'!$H$30:$H$39</definedName>
    <definedName name="OSRRefH22_1x_0" localSheetId="48">'300'!$H$65:$H$74</definedName>
    <definedName name="OSRRefH22_1x_0" localSheetId="49">'300 &amp; 317'!$H$71:$H$80</definedName>
    <definedName name="OSRRefH22_1x_0" localSheetId="50">'301'!$H$32:$H$41</definedName>
    <definedName name="OSRRefH22_1x_0" localSheetId="55">'307'!$H$43:$H$52</definedName>
    <definedName name="OSRRefH22_1x_0" localSheetId="51">'308'!$H$46:$H$55</definedName>
    <definedName name="OSRRefH22_1x_0" localSheetId="64">'309'!$H$23</definedName>
    <definedName name="OSRRefH22_1x_0" localSheetId="63">'310'!$H$38:$H$47</definedName>
    <definedName name="OSRRefH22_1x_0" localSheetId="69">'310 &amp; 491'!$H$40:$H$49</definedName>
    <definedName name="OSRRefH22_1x_0" localSheetId="52">'311'!$H$46:$H$55</definedName>
    <definedName name="OSRRefH22_1x_0" localSheetId="57">'315'!$H$54:$H$63</definedName>
    <definedName name="OSRRefH22_1x_0" localSheetId="60">'316'!$H$37:$H$46</definedName>
    <definedName name="OSRRefH22_1x_0" localSheetId="62">'317'!$H$46:$H$55</definedName>
    <definedName name="OSRRefH22_1x_0" localSheetId="65">'321'!$H$35:$H$44</definedName>
    <definedName name="OSRRefH22_1x_0" localSheetId="66">'325'!$H$35:$H$44</definedName>
    <definedName name="OSRRefH22_1x_0" localSheetId="58">'326'!$H$38:$H$47</definedName>
    <definedName name="OSRRefH22_1x_0" localSheetId="67">'327'!$H$28</definedName>
    <definedName name="OSRRefH22_1x_0" localSheetId="56">'331'!$H$54:$H$63</definedName>
    <definedName name="OSRRefH22_1x_0" localSheetId="59">'332'!$H$37:$H$46</definedName>
    <definedName name="OSRRefH22_1x_0" localSheetId="54">'333'!$H$56:$H$65</definedName>
    <definedName name="OSRRefH22_1x_0" localSheetId="71">'405'!$H$37:$H$46</definedName>
    <definedName name="OSRRefH22_1x_0" localSheetId="72">'406'!$H$22</definedName>
    <definedName name="OSRRefH22_1x_0" localSheetId="73">'411'!$H$30:$H$39</definedName>
    <definedName name="OSRRefH22_1x_0" localSheetId="74">'412'!$H$22</definedName>
    <definedName name="OSRRefH22_1x_0" localSheetId="75">'413'!$H$22</definedName>
    <definedName name="OSRRefH22_1x_0" localSheetId="76">'414'!$H$22</definedName>
    <definedName name="OSRRefH22_1x_0" localSheetId="77">'415'!$H$37:$H$46</definedName>
    <definedName name="OSRRefH22_1x_0" localSheetId="78">'418'!$H$34:$H$43</definedName>
    <definedName name="OSRRefH22_1x_0" localSheetId="79">'423'!$H$29:$H$38</definedName>
    <definedName name="OSRRefH22_1x_0" localSheetId="80">'424'!$H$22</definedName>
    <definedName name="OSRRefH22_1x_0" localSheetId="81">'425'!$H$24</definedName>
    <definedName name="OSRRefH22_1x_0" localSheetId="83">'430'!$H$30:$H$39</definedName>
    <definedName name="OSRRefH22_1x_0" localSheetId="84">'433'!$H$38:$H$47</definedName>
    <definedName name="OSRRefH22_1x_0" localSheetId="86">'444'!$H$38:$H$47</definedName>
    <definedName name="OSRRefH22_1x_0" localSheetId="87">'450'!$H$38:$H$47</definedName>
    <definedName name="OSRRefH22_1x_0" localSheetId="70">'491'!$H$38:$H$47</definedName>
    <definedName name="OSRRefH22_1x_0" localSheetId="82">'492'!$H$38:$H$47</definedName>
    <definedName name="OSRRefH22_1x_0" localSheetId="89">'501'!$H$32:$H$41</definedName>
    <definedName name="OSRRefH22_1x_0" localSheetId="39">'Div 2'!$H$32:$H$41</definedName>
    <definedName name="OSRRefH22_1x_0" localSheetId="47">'Div 3'!$H$69:$H$78</definedName>
    <definedName name="OSRRefH22_1x_0" localSheetId="68">'Div 4'!$H$40:$H$49</definedName>
    <definedName name="OSRRefH22_1x_0" localSheetId="88">'Div 5'!$H$32:$H$41</definedName>
    <definedName name="OSRRefH22_1x_0" localSheetId="61">'Div 6'!$H$46:$H$55</definedName>
    <definedName name="OSRRefH22_1x_0" localSheetId="2">Summary!$H$77:$H$86</definedName>
    <definedName name="OSRRefH22_20x_0" localSheetId="48">'300'!$H$125:$H$131</definedName>
    <definedName name="OSRRefH22_20x_0" localSheetId="49">'300 &amp; 317'!$H$131:$H$137</definedName>
    <definedName name="OSRRefH22_20x_0" localSheetId="50">'301'!$H$90</definedName>
    <definedName name="OSRRefH22_20x_0" localSheetId="69">'310 &amp; 491'!$H$107</definedName>
    <definedName name="OSRRefH22_20x_0" localSheetId="56">'331'!$H$112:$H$113</definedName>
    <definedName name="OSRRefH22_20x_0" localSheetId="54">'333'!$H$117:$H$118</definedName>
    <definedName name="OSRRefH22_20x_0" localSheetId="70">'491'!$H$104</definedName>
    <definedName name="OSRRefH22_20x_0" localSheetId="47">'Div 3'!$H$129:$H$130</definedName>
    <definedName name="OSRRefH22_20x_0" localSheetId="68">'Div 4'!$H$107</definedName>
    <definedName name="OSRRefH22_20x_0" localSheetId="2">Summary!$H$135:$H$139</definedName>
    <definedName name="OSRRefH22_21x_0" localSheetId="48">'300'!$H$133:$H$134</definedName>
    <definedName name="OSRRefH22_21x_0" localSheetId="49">'300 &amp; 317'!$H$139:$H$140</definedName>
    <definedName name="OSRRefH22_21x_0" localSheetId="50">'301'!$H$92:$H$93</definedName>
    <definedName name="OSRRefH22_21x_0" localSheetId="56">'331'!$H$115</definedName>
    <definedName name="OSRRefH22_21x_0" localSheetId="54">'333'!$H$120</definedName>
    <definedName name="OSRRefH22_21x_0" localSheetId="47">'Div 3'!$H$132:$H$138</definedName>
    <definedName name="OSRRefH22_21x_0" localSheetId="68">'Div 4'!$H$109:$H$110</definedName>
    <definedName name="OSRRefH22_21x_0" localSheetId="2">Summary!$H$141:$H$142</definedName>
    <definedName name="OSRRefH22_22x_0" localSheetId="48">'300'!$H$136</definedName>
    <definedName name="OSRRefH22_22x_0" localSheetId="49">'300 &amp; 317'!$H$142</definedName>
    <definedName name="OSRRefH22_22x_0" localSheetId="50">'301'!$H$95</definedName>
    <definedName name="OSRRefH22_22x_0" localSheetId="47">'Div 3'!$H$140:$H$141</definedName>
    <definedName name="OSRRefH22_22x_0" localSheetId="68">'Div 4'!$H$112</definedName>
    <definedName name="OSRRefH22_22x_0" localSheetId="2">Summary!$H$144:$H$153</definedName>
    <definedName name="OSRRefH22_23x_0" localSheetId="48">'300'!$H$138:$H$140</definedName>
    <definedName name="OSRRefH22_23x_0" localSheetId="49">'300 &amp; 317'!$H$144:$H$146</definedName>
    <definedName name="OSRRefH22_23x_0" localSheetId="47">'Div 3'!$H$143</definedName>
    <definedName name="OSRRefH22_23x_0" localSheetId="2">Summary!$H$155:$H$156</definedName>
    <definedName name="OSRRefH22_24x_0" localSheetId="48">'300'!$H$142</definedName>
    <definedName name="OSRRefH22_24x_0" localSheetId="49">'300 &amp; 317'!$H$148</definedName>
    <definedName name="OSRRefH22_24x_0" localSheetId="47">'Div 3'!$H$145:$H$147</definedName>
    <definedName name="OSRRefH22_24x_0" localSheetId="2">Summary!$H$158</definedName>
    <definedName name="OSRRefH22_25x_0" localSheetId="47">'Div 3'!$H$149</definedName>
    <definedName name="OSRRefH22_25x_0" localSheetId="2">Summary!$H$160:$H$162</definedName>
    <definedName name="OSRRefH22_26x_0" localSheetId="2">Summary!$H$164</definedName>
    <definedName name="OSRRefH22_2x_0" localSheetId="40">'200'!$H$24</definedName>
    <definedName name="OSRRefH22_2x_0" localSheetId="41">'201'!$H$41</definedName>
    <definedName name="OSRRefH22_2x_0" localSheetId="42">'202'!$H$41</definedName>
    <definedName name="OSRRefH22_2x_0" localSheetId="43">'203'!$H$42</definedName>
    <definedName name="OSRRefH22_2x_0" localSheetId="44">'204'!$H$41</definedName>
    <definedName name="OSRRefH22_2x_0" localSheetId="45">'205'!$H$41</definedName>
    <definedName name="OSRRefH22_2x_0" localSheetId="46">'206'!$H$41</definedName>
    <definedName name="OSRRefH22_2x_0" localSheetId="48">'300'!$H$76</definedName>
    <definedName name="OSRRefH22_2x_0" localSheetId="49">'300 &amp; 317'!$H$82</definedName>
    <definedName name="OSRRefH22_2x_0" localSheetId="50">'301'!$H$43</definedName>
    <definedName name="OSRRefH22_2x_0" localSheetId="55">'307'!$H$54</definedName>
    <definedName name="OSRRefH22_2x_0" localSheetId="51">'308'!$H$57</definedName>
    <definedName name="OSRRefH22_2x_0" localSheetId="64">'309'!$H$25</definedName>
    <definedName name="OSRRefH22_2x_0" localSheetId="63">'310'!$H$49</definedName>
    <definedName name="OSRRefH22_2x_0" localSheetId="69">'310 &amp; 491'!$H$51</definedName>
    <definedName name="OSRRefH22_2x_0" localSheetId="52">'311'!$H$57</definedName>
    <definedName name="OSRRefH22_2x_0" localSheetId="57">'315'!$H$65</definedName>
    <definedName name="OSRRefH22_2x_0" localSheetId="60">'316'!$H$48</definedName>
    <definedName name="OSRRefH22_2x_0" localSheetId="62">'317'!$H$57</definedName>
    <definedName name="OSRRefH22_2x_0" localSheetId="65">'321'!$H$46</definedName>
    <definedName name="OSRRefH22_2x_0" localSheetId="66">'325'!$H$46</definedName>
    <definedName name="OSRRefH22_2x_0" localSheetId="58">'326'!$H$49</definedName>
    <definedName name="OSRRefH22_2x_0" localSheetId="56">'331'!$H$65</definedName>
    <definedName name="OSRRefH22_2x_0" localSheetId="59">'332'!$H$48</definedName>
    <definedName name="OSRRefH22_2x_0" localSheetId="54">'333'!$H$67</definedName>
    <definedName name="OSRRefH22_2x_0" localSheetId="71">'405'!$H$48</definedName>
    <definedName name="OSRRefH22_2x_0" localSheetId="73">'411'!$H$41</definedName>
    <definedName name="OSRRefH22_2x_0" localSheetId="74">'412'!$H$24</definedName>
    <definedName name="OSRRefH22_2x_0" localSheetId="75">'413'!$H$24</definedName>
    <definedName name="OSRRefH22_2x_0" localSheetId="76">'414'!$H$24</definedName>
    <definedName name="OSRRefH22_2x_0" localSheetId="77">'415'!$H$48</definedName>
    <definedName name="OSRRefH22_2x_0" localSheetId="78">'418'!$H$45</definedName>
    <definedName name="OSRRefH22_2x_0" localSheetId="79">'423'!$H$40</definedName>
    <definedName name="OSRRefH22_2x_0" localSheetId="80">'424'!$H$24</definedName>
    <definedName name="OSRRefH22_2x_0" localSheetId="81">'425'!$H$26</definedName>
    <definedName name="OSRRefH22_2x_0" localSheetId="83">'430'!$H$41</definedName>
    <definedName name="OSRRefH22_2x_0" localSheetId="84">'433'!$H$49</definedName>
    <definedName name="OSRRefH22_2x_0" localSheetId="86">'444'!$H$49</definedName>
    <definedName name="OSRRefH22_2x_0" localSheetId="87">'450'!$H$49</definedName>
    <definedName name="OSRRefH22_2x_0" localSheetId="70">'491'!$H$49</definedName>
    <definedName name="OSRRefH22_2x_0" localSheetId="82">'492'!$H$49</definedName>
    <definedName name="OSRRefH22_2x_0" localSheetId="89">'501'!$H$43</definedName>
    <definedName name="OSRRefH22_2x_0" localSheetId="39">'Div 2'!$H$43</definedName>
    <definedName name="OSRRefH22_2x_0" localSheetId="47">'Div 3'!$H$80</definedName>
    <definedName name="OSRRefH22_2x_0" localSheetId="68">'Div 4'!$H$51</definedName>
    <definedName name="OSRRefH22_2x_0" localSheetId="88">'Div 5'!$H$43</definedName>
    <definedName name="OSRRefH22_2x_0" localSheetId="61">'Div 6'!$H$57</definedName>
    <definedName name="OSRRefH22_2x_0" localSheetId="2">Summary!$H$88</definedName>
    <definedName name="OSRRefH22_3x_0" localSheetId="40">'200'!$H$26:$H$27</definedName>
    <definedName name="OSRRefH22_3x_0" localSheetId="41">'201'!$H$43</definedName>
    <definedName name="OSRRefH22_3x_0" localSheetId="42">'202'!$H$43</definedName>
    <definedName name="OSRRefH22_3x_0" localSheetId="43">'203'!$H$44</definedName>
    <definedName name="OSRRefH22_3x_0" localSheetId="44">'204'!$H$43:$H$44</definedName>
    <definedName name="OSRRefH22_3x_0" localSheetId="45">'205'!$H$43</definedName>
    <definedName name="OSRRefH22_3x_0" localSheetId="46">'206'!$H$43</definedName>
    <definedName name="OSRRefH22_3x_0" localSheetId="48">'300'!$H$78</definedName>
    <definedName name="OSRRefH22_3x_0" localSheetId="49">'300 &amp; 317'!$H$84</definedName>
    <definedName name="OSRRefH22_3x_0" localSheetId="50">'301'!$H$45</definedName>
    <definedName name="OSRRefH22_3x_0" localSheetId="55">'307'!$H$56</definedName>
    <definedName name="OSRRefH22_3x_0" localSheetId="51">'308'!$H$59</definedName>
    <definedName name="OSRRefH22_3x_0" localSheetId="64">'309'!$H$27</definedName>
    <definedName name="OSRRefH22_3x_0" localSheetId="63">'310'!$H$51</definedName>
    <definedName name="OSRRefH22_3x_0" localSheetId="69">'310 &amp; 491'!$H$53</definedName>
    <definedName name="OSRRefH22_3x_0" localSheetId="52">'311'!$H$59</definedName>
    <definedName name="OSRRefH22_3x_0" localSheetId="57">'315'!$H$67</definedName>
    <definedName name="OSRRefH22_3x_0" localSheetId="60">'316'!$H$50</definedName>
    <definedName name="OSRRefH22_3x_0" localSheetId="62">'317'!$H$59</definedName>
    <definedName name="OSRRefH22_3x_0" localSheetId="65">'321'!$H$48</definedName>
    <definedName name="OSRRefH22_3x_0" localSheetId="66">'325'!$H$48</definedName>
    <definedName name="OSRRefH22_3x_0" localSheetId="58">'326'!$H$51</definedName>
    <definedName name="OSRRefH22_3x_0" localSheetId="56">'331'!$H$67</definedName>
    <definedName name="OSRRefH22_3x_0" localSheetId="59">'332'!$H$50</definedName>
    <definedName name="OSRRefH22_3x_0" localSheetId="54">'333'!$H$69</definedName>
    <definedName name="OSRRefH22_3x_0" localSheetId="71">'405'!$H$50</definedName>
    <definedName name="OSRRefH22_3x_0" localSheetId="73">'411'!$H$43:$H$44</definedName>
    <definedName name="OSRRefH22_3x_0" localSheetId="74">'412'!$H$26</definedName>
    <definedName name="OSRRefH22_3x_0" localSheetId="77">'415'!$H$50</definedName>
    <definedName name="OSRRefH22_3x_0" localSheetId="78">'418'!$H$47</definedName>
    <definedName name="OSRRefH22_3x_0" localSheetId="79">'423'!$H$42</definedName>
    <definedName name="OSRRefH22_3x_0" localSheetId="81">'425'!$H$28</definedName>
    <definedName name="OSRRefH22_3x_0" localSheetId="83">'430'!$H$43</definedName>
    <definedName name="OSRRefH22_3x_0" localSheetId="84">'433'!$H$51</definedName>
    <definedName name="OSRRefH22_3x_0" localSheetId="86">'444'!$H$51</definedName>
    <definedName name="OSRRefH22_3x_0" localSheetId="87">'450'!$H$51</definedName>
    <definedName name="OSRRefH22_3x_0" localSheetId="70">'491'!$H$51</definedName>
    <definedName name="OSRRefH22_3x_0" localSheetId="82">'492'!$H$51</definedName>
    <definedName name="OSRRefH22_3x_0" localSheetId="89">'501'!$H$45</definedName>
    <definedName name="OSRRefH22_3x_0" localSheetId="39">'Div 2'!$H$45</definedName>
    <definedName name="OSRRefH22_3x_0" localSheetId="47">'Div 3'!$H$82</definedName>
    <definedName name="OSRRefH22_3x_0" localSheetId="68">'Div 4'!$H$53</definedName>
    <definedName name="OSRRefH22_3x_0" localSheetId="88">'Div 5'!$H$45</definedName>
    <definedName name="OSRRefH22_3x_0" localSheetId="61">'Div 6'!$H$59</definedName>
    <definedName name="OSRRefH22_3x_0" localSheetId="2">Summary!$H$90</definedName>
    <definedName name="OSRRefH22_4x_0" localSheetId="41">'201'!$H$45</definedName>
    <definedName name="OSRRefH22_4x_0" localSheetId="42">'202'!$H$45</definedName>
    <definedName name="OSRRefH22_4x_0" localSheetId="43">'203'!$H$46</definedName>
    <definedName name="OSRRefH22_4x_0" localSheetId="44">'204'!$H$46</definedName>
    <definedName name="OSRRefH22_4x_0" localSheetId="45">'205'!$H$45:$H$46</definedName>
    <definedName name="OSRRefH22_4x_0" localSheetId="46">'206'!$H$45:$H$46</definedName>
    <definedName name="OSRRefH22_4x_0" localSheetId="48">'300'!$H$80</definedName>
    <definedName name="OSRRefH22_4x_0" localSheetId="49">'300 &amp; 317'!$H$86</definedName>
    <definedName name="OSRRefH22_4x_0" localSheetId="50">'301'!$H$47</definedName>
    <definedName name="OSRRefH22_4x_0" localSheetId="55">'307'!$H$58</definedName>
    <definedName name="OSRRefH22_4x_0" localSheetId="51">'308'!$H$61</definedName>
    <definedName name="OSRRefH22_4x_0" localSheetId="64">'309'!$H$29</definedName>
    <definedName name="OSRRefH22_4x_0" localSheetId="63">'310'!$H$53</definedName>
    <definedName name="OSRRefH22_4x_0" localSheetId="69">'310 &amp; 491'!$H$55</definedName>
    <definedName name="OSRRefH22_4x_0" localSheetId="52">'311'!$H$61</definedName>
    <definedName name="OSRRefH22_4x_0" localSheetId="57">'315'!$H$69</definedName>
    <definedName name="OSRRefH22_4x_0" localSheetId="60">'316'!$H$52</definedName>
    <definedName name="OSRRefH22_4x_0" localSheetId="62">'317'!$H$61</definedName>
    <definedName name="OSRRefH22_4x_0" localSheetId="65">'321'!$H$50</definedName>
    <definedName name="OSRRefH22_4x_0" localSheetId="66">'325'!$H$50</definedName>
    <definedName name="OSRRefH22_4x_0" localSheetId="58">'326'!$H$53</definedName>
    <definedName name="OSRRefH22_4x_0" localSheetId="56">'331'!$H$69</definedName>
    <definedName name="OSRRefH22_4x_0" localSheetId="59">'332'!$H$52</definedName>
    <definedName name="OSRRefH22_4x_0" localSheetId="54">'333'!$H$71</definedName>
    <definedName name="OSRRefH22_4x_0" localSheetId="71">'405'!$H$52</definedName>
    <definedName name="OSRRefH22_4x_0" localSheetId="73">'411'!$H$46</definedName>
    <definedName name="OSRRefH22_4x_0" localSheetId="77">'415'!$H$52</definedName>
    <definedName name="OSRRefH22_4x_0" localSheetId="78">'418'!$H$49:$H$50</definedName>
    <definedName name="OSRRefH22_4x_0" localSheetId="79">'423'!$H$44</definedName>
    <definedName name="OSRRefH22_4x_0" localSheetId="81">'425'!$H$30</definedName>
    <definedName name="OSRRefH22_4x_0" localSheetId="83">'430'!$H$45</definedName>
    <definedName name="OSRRefH22_4x_0" localSheetId="84">'433'!$H$53</definedName>
    <definedName name="OSRRefH22_4x_0" localSheetId="86">'444'!$H$53</definedName>
    <definedName name="OSRRefH22_4x_0" localSheetId="87">'450'!$H$53</definedName>
    <definedName name="OSRRefH22_4x_0" localSheetId="70">'491'!$H$53</definedName>
    <definedName name="OSRRefH22_4x_0" localSheetId="82">'492'!$H$53</definedName>
    <definedName name="OSRRefH22_4x_0" localSheetId="89">'501'!$H$47</definedName>
    <definedName name="OSRRefH22_4x_0" localSheetId="39">'Div 2'!$H$47</definedName>
    <definedName name="OSRRefH22_4x_0" localSheetId="47">'Div 3'!$H$84</definedName>
    <definedName name="OSRRefH22_4x_0" localSheetId="68">'Div 4'!$H$55</definedName>
    <definedName name="OSRRefH22_4x_0" localSheetId="88">'Div 5'!$H$47</definedName>
    <definedName name="OSRRefH22_4x_0" localSheetId="61">'Div 6'!$H$61</definedName>
    <definedName name="OSRRefH22_4x_0" localSheetId="2">Summary!$H$92</definedName>
    <definedName name="OSRRefH22_5x_0" localSheetId="41">'201'!$H$47</definedName>
    <definedName name="OSRRefH22_5x_0" localSheetId="42">'202'!$H$47</definedName>
    <definedName name="OSRRefH22_5x_0" localSheetId="43">'203'!$H$48</definedName>
    <definedName name="OSRRefH22_5x_0" localSheetId="44">'204'!$H$48:$H$51</definedName>
    <definedName name="OSRRefH22_5x_0" localSheetId="45">'205'!$H$48</definedName>
    <definedName name="OSRRefH22_5x_0" localSheetId="46">'206'!$H$48</definedName>
    <definedName name="OSRRefH22_5x_0" localSheetId="48">'300'!$H$82:$H$83</definedName>
    <definedName name="OSRRefH22_5x_0" localSheetId="49">'300 &amp; 317'!$H$88:$H$89</definedName>
    <definedName name="OSRRefH22_5x_0" localSheetId="50">'301'!$H$49:$H$50</definedName>
    <definedName name="OSRRefH22_5x_0" localSheetId="55">'307'!$H$60:$H$61</definedName>
    <definedName name="OSRRefH22_5x_0" localSheetId="51">'308'!$H$63</definedName>
    <definedName name="OSRRefH22_5x_0" localSheetId="64">'309'!$H$31:$H$32</definedName>
    <definedName name="OSRRefH22_5x_0" localSheetId="63">'310'!$H$55:$H$56</definedName>
    <definedName name="OSRRefH22_5x_0" localSheetId="69">'310 &amp; 491'!$H$57:$H$58</definedName>
    <definedName name="OSRRefH22_5x_0" localSheetId="52">'311'!$H$63</definedName>
    <definedName name="OSRRefH22_5x_0" localSheetId="57">'315'!$H$71</definedName>
    <definedName name="OSRRefH22_5x_0" localSheetId="60">'316'!$H$54:$H$55</definedName>
    <definedName name="OSRRefH22_5x_0" localSheetId="62">'317'!$H$63</definedName>
    <definedName name="OSRRefH22_5x_0" localSheetId="65">'321'!$H$52</definedName>
    <definedName name="OSRRefH22_5x_0" localSheetId="66">'325'!$H$52:$H$53</definedName>
    <definedName name="OSRRefH22_5x_0" localSheetId="58">'326'!$H$55</definedName>
    <definedName name="OSRRefH22_5x_0" localSheetId="56">'331'!$H$71</definedName>
    <definedName name="OSRRefH22_5x_0" localSheetId="59">'332'!$H$54:$H$55</definedName>
    <definedName name="OSRRefH22_5x_0" localSheetId="54">'333'!$H$73:$H$74</definedName>
    <definedName name="OSRRefH22_5x_0" localSheetId="71">'405'!$H$54:$H$55</definedName>
    <definedName name="OSRRefH22_5x_0" localSheetId="73">'411'!$H$48</definedName>
    <definedName name="OSRRefH22_5x_0" localSheetId="77">'415'!$H$54:$H$55</definedName>
    <definedName name="OSRRefH22_5x_0" localSheetId="78">'418'!$H$52</definedName>
    <definedName name="OSRRefH22_5x_0" localSheetId="79">'423'!$H$46</definedName>
    <definedName name="OSRRefH22_5x_0" localSheetId="81">'425'!$H$32</definedName>
    <definedName name="OSRRefH22_5x_0" localSheetId="83">'430'!$H$47:$H$48</definedName>
    <definedName name="OSRRefH22_5x_0" localSheetId="84">'433'!$H$55</definedName>
    <definedName name="OSRRefH22_5x_0" localSheetId="86">'444'!$H$55</definedName>
    <definedName name="OSRRefH22_5x_0" localSheetId="87">'450'!$H$55</definedName>
    <definedName name="OSRRefH22_5x_0" localSheetId="70">'491'!$H$55:$H$56</definedName>
    <definedName name="OSRRefH22_5x_0" localSheetId="82">'492'!$H$55</definedName>
    <definedName name="OSRRefH22_5x_0" localSheetId="89">'501'!$H$49:$H$50</definedName>
    <definedName name="OSRRefH22_5x_0" localSheetId="39">'Div 2'!$H$49:$H$50</definedName>
    <definedName name="OSRRefH22_5x_0" localSheetId="47">'Div 3'!$H$86:$H$87</definedName>
    <definedName name="OSRRefH22_5x_0" localSheetId="68">'Div 4'!$H$57:$H$58</definedName>
    <definedName name="OSRRefH22_5x_0" localSheetId="88">'Div 5'!$H$49:$H$50</definedName>
    <definedName name="OSRRefH22_5x_0" localSheetId="61">'Div 6'!$H$63</definedName>
    <definedName name="OSRRefH22_5x_0" localSheetId="2">Summary!$H$94:$H$95</definedName>
    <definedName name="OSRRefH22_6x_0" localSheetId="41">'201'!$H$49</definedName>
    <definedName name="OSRRefH22_6x_0" localSheetId="42">'202'!$H$49</definedName>
    <definedName name="OSRRefH22_6x_0" localSheetId="43">'203'!$H$50</definedName>
    <definedName name="OSRRefH22_6x_0" localSheetId="44">'204'!$H$53:$H$54</definedName>
    <definedName name="OSRRefH22_6x_0" localSheetId="45">'205'!$H$50:$H$52</definedName>
    <definedName name="OSRRefH22_6x_0" localSheetId="46">'206'!$H$50:$H$51</definedName>
    <definedName name="OSRRefH22_6x_0" localSheetId="48">'300'!$H$85:$H$86</definedName>
    <definedName name="OSRRefH22_6x_0" localSheetId="49">'300 &amp; 317'!$H$91:$H$92</definedName>
    <definedName name="OSRRefH22_6x_0" localSheetId="50">'301'!$H$52:$H$53</definedName>
    <definedName name="OSRRefH22_6x_0" localSheetId="55">'307'!$H$63</definedName>
    <definedName name="OSRRefH22_6x_0" localSheetId="51">'308'!$H$65:$H$66</definedName>
    <definedName name="OSRRefH22_6x_0" localSheetId="64">'309'!$H$34:$H$35</definedName>
    <definedName name="OSRRefH22_6x_0" localSheetId="63">'310'!$H$58</definedName>
    <definedName name="OSRRefH22_6x_0" localSheetId="69">'310 &amp; 491'!$H$60</definedName>
    <definedName name="OSRRefH22_6x_0" localSheetId="52">'311'!$H$65:$H$66</definedName>
    <definedName name="OSRRefH22_6x_0" localSheetId="57">'315'!$H$73</definedName>
    <definedName name="OSRRefH22_6x_0" localSheetId="60">'316'!$H$57</definedName>
    <definedName name="OSRRefH22_6x_0" localSheetId="62">'317'!$H$65</definedName>
    <definedName name="OSRRefH22_6x_0" localSheetId="65">'321'!$H$54:$H$55</definedName>
    <definedName name="OSRRefH22_6x_0" localSheetId="66">'325'!$H$55</definedName>
    <definedName name="OSRRefH22_6x_0" localSheetId="58">'326'!$H$57:$H$58</definedName>
    <definedName name="OSRRefH22_6x_0" localSheetId="56">'331'!$H$73</definedName>
    <definedName name="OSRRefH22_6x_0" localSheetId="59">'332'!$H$57</definedName>
    <definedName name="OSRRefH22_6x_0" localSheetId="54">'333'!$H$76</definedName>
    <definedName name="OSRRefH22_6x_0" localSheetId="71">'405'!$H$57</definedName>
    <definedName name="OSRRefH22_6x_0" localSheetId="73">'411'!$H$50</definedName>
    <definedName name="OSRRefH22_6x_0" localSheetId="77">'415'!$H$57</definedName>
    <definedName name="OSRRefH22_6x_0" localSheetId="78">'418'!$H$54</definedName>
    <definedName name="OSRRefH22_6x_0" localSheetId="83">'430'!$H$50:$H$51</definedName>
    <definedName name="OSRRefH22_6x_0" localSheetId="84">'433'!$H$57</definedName>
    <definedName name="OSRRefH22_6x_0" localSheetId="86">'444'!$H$57</definedName>
    <definedName name="OSRRefH22_6x_0" localSheetId="87">'450'!$H$57</definedName>
    <definedName name="OSRRefH22_6x_0" localSheetId="70">'491'!$H$58</definedName>
    <definedName name="OSRRefH22_6x_0" localSheetId="82">'492'!$H$57</definedName>
    <definedName name="OSRRefH22_6x_0" localSheetId="89">'501'!$H$52</definedName>
    <definedName name="OSRRefH22_6x_0" localSheetId="39">'Div 2'!$H$52</definedName>
    <definedName name="OSRRefH22_6x_0" localSheetId="47">'Div 3'!$H$89:$H$90</definedName>
    <definedName name="OSRRefH22_6x_0" localSheetId="68">'Div 4'!$H$60</definedName>
    <definedName name="OSRRefH22_6x_0" localSheetId="88">'Div 5'!$H$52</definedName>
    <definedName name="OSRRefH22_6x_0" localSheetId="61">'Div 6'!$H$65</definedName>
    <definedName name="OSRRefH22_6x_0" localSheetId="2">Summary!$H$97:$H$98</definedName>
    <definedName name="OSRRefH22_7x_0" localSheetId="41">'201'!$H$51</definedName>
    <definedName name="OSRRefH22_7x_0" localSheetId="42">'202'!$H$51:$H$53</definedName>
    <definedName name="OSRRefH22_7x_0" localSheetId="43">'203'!$H$52</definedName>
    <definedName name="OSRRefH22_7x_0" localSheetId="44">'204'!$H$56</definedName>
    <definedName name="OSRRefH22_7x_0" localSheetId="45">'205'!$H$54</definedName>
    <definedName name="OSRRefH22_7x_0" localSheetId="46">'206'!$H$53</definedName>
    <definedName name="OSRRefH22_7x_0" localSheetId="48">'300'!$H$88</definedName>
    <definedName name="OSRRefH22_7x_0" localSheetId="49">'300 &amp; 317'!$H$94</definedName>
    <definedName name="OSRRefH22_7x_0" localSheetId="50">'301'!$H$55</definedName>
    <definedName name="OSRRefH22_7x_0" localSheetId="55">'307'!$H$65</definedName>
    <definedName name="OSRRefH22_7x_0" localSheetId="51">'308'!$H$68</definedName>
    <definedName name="OSRRefH22_7x_0" localSheetId="64">'309'!$H$37:$H$38</definedName>
    <definedName name="OSRRefH22_7x_0" localSheetId="63">'310'!$H$60</definedName>
    <definedName name="OSRRefH22_7x_0" localSheetId="69">'310 &amp; 491'!$H$62</definedName>
    <definedName name="OSRRefH22_7x_0" localSheetId="52">'311'!$H$68</definedName>
    <definedName name="OSRRefH22_7x_0" localSheetId="57">'315'!$H$75</definedName>
    <definedName name="OSRRefH22_7x_0" localSheetId="60">'316'!$H$59:$H$61</definedName>
    <definedName name="OSRRefH22_7x_0" localSheetId="62">'317'!$H$67</definedName>
    <definedName name="OSRRefH22_7x_0" localSheetId="65">'321'!$H$57</definedName>
    <definedName name="OSRRefH22_7x_0" localSheetId="66">'325'!$H$57</definedName>
    <definedName name="OSRRefH22_7x_0" localSheetId="58">'326'!$H$60</definedName>
    <definedName name="OSRRefH22_7x_0" localSheetId="56">'331'!$H$75</definedName>
    <definedName name="OSRRefH22_7x_0" localSheetId="59">'332'!$H$59:$H$61</definedName>
    <definedName name="OSRRefH22_7x_0" localSheetId="54">'333'!$H$78</definedName>
    <definedName name="OSRRefH22_7x_0" localSheetId="71">'405'!$H$59</definedName>
    <definedName name="OSRRefH22_7x_0" localSheetId="73">'411'!$H$52</definedName>
    <definedName name="OSRRefH22_7x_0" localSheetId="77">'415'!$H$59</definedName>
    <definedName name="OSRRefH22_7x_0" localSheetId="78">'418'!$H$56:$H$57</definedName>
    <definedName name="OSRRefH22_7x_0" localSheetId="83">'430'!$H$53</definedName>
    <definedName name="OSRRefH22_7x_0" localSheetId="84">'433'!$H$59</definedName>
    <definedName name="OSRRefH22_7x_0" localSheetId="86">'444'!$H$59</definedName>
    <definedName name="OSRRefH22_7x_0" localSheetId="87">'450'!$H$59</definedName>
    <definedName name="OSRRefH22_7x_0" localSheetId="70">'491'!$H$60</definedName>
    <definedName name="OSRRefH22_7x_0" localSheetId="82">'492'!$H$59</definedName>
    <definedName name="OSRRefH22_7x_0" localSheetId="89">'501'!$H$54</definedName>
    <definedName name="OSRRefH22_7x_0" localSheetId="39">'Div 2'!$H$54</definedName>
    <definedName name="OSRRefH22_7x_0" localSheetId="47">'Div 3'!$H$92</definedName>
    <definedName name="OSRRefH22_7x_0" localSheetId="68">'Div 4'!$H$62</definedName>
    <definedName name="OSRRefH22_7x_0" localSheetId="88">'Div 5'!$H$54</definedName>
    <definedName name="OSRRefH22_7x_0" localSheetId="61">'Div 6'!$H$67</definedName>
    <definedName name="OSRRefH22_7x_0" localSheetId="2">Summary!$H$100</definedName>
    <definedName name="OSRRefH22_8x_0" localSheetId="41">'201'!$H$53</definedName>
    <definedName name="OSRRefH22_8x_0" localSheetId="42">'202'!$H$55</definedName>
    <definedName name="OSRRefH22_8x_0" localSheetId="43">'203'!$H$54:$H$56</definedName>
    <definedName name="OSRRefH22_8x_0" localSheetId="44">'204'!$H$58:$H$59</definedName>
    <definedName name="OSRRefH22_8x_0" localSheetId="48">'300'!$H$90</definedName>
    <definedName name="OSRRefH22_8x_0" localSheetId="49">'300 &amp; 317'!$H$96</definedName>
    <definedName name="OSRRefH22_8x_0" localSheetId="50">'301'!$H$57</definedName>
    <definedName name="OSRRefH22_8x_0" localSheetId="55">'307'!$H$67</definedName>
    <definedName name="OSRRefH22_8x_0" localSheetId="51">'308'!$H$70</definedName>
    <definedName name="OSRRefH22_8x_0" localSheetId="64">'309'!$H$40</definedName>
    <definedName name="OSRRefH22_8x_0" localSheetId="63">'310'!$H$62</definedName>
    <definedName name="OSRRefH22_8x_0" localSheetId="69">'310 &amp; 491'!$H$64:$H$65</definedName>
    <definedName name="OSRRefH22_8x_0" localSheetId="52">'311'!$H$70</definedName>
    <definedName name="OSRRefH22_8x_0" localSheetId="57">'315'!$H$77:$H$78</definedName>
    <definedName name="OSRRefH22_8x_0" localSheetId="60">'316'!$H$63</definedName>
    <definedName name="OSRRefH22_8x_0" localSheetId="62">'317'!$H$69:$H$70</definedName>
    <definedName name="OSRRefH22_8x_0" localSheetId="65">'321'!$H$59:$H$60</definedName>
    <definedName name="OSRRefH22_8x_0" localSheetId="66">'325'!$H$59</definedName>
    <definedName name="OSRRefH22_8x_0" localSheetId="58">'326'!$H$62</definedName>
    <definedName name="OSRRefH22_8x_0" localSheetId="56">'331'!$H$77:$H$78</definedName>
    <definedName name="OSRRefH22_8x_0" localSheetId="59">'332'!$H$63</definedName>
    <definedName name="OSRRefH22_8x_0" localSheetId="54">'333'!$H$80:$H$81</definedName>
    <definedName name="OSRRefH22_8x_0" localSheetId="71">'405'!$H$61</definedName>
    <definedName name="OSRRefH22_8x_0" localSheetId="73">'411'!$H$54:$H$57</definedName>
    <definedName name="OSRRefH22_8x_0" localSheetId="77">'415'!$H$61</definedName>
    <definedName name="OSRRefH22_8x_0" localSheetId="78">'418'!$H$59:$H$60</definedName>
    <definedName name="OSRRefH22_8x_0" localSheetId="83">'430'!$H$55</definedName>
    <definedName name="OSRRefH22_8x_0" localSheetId="84">'433'!$H$61</definedName>
    <definedName name="OSRRefH22_8x_0" localSheetId="86">'444'!$H$61</definedName>
    <definedName name="OSRRefH22_8x_0" localSheetId="87">'450'!$H$61</definedName>
    <definedName name="OSRRefH22_8x_0" localSheetId="70">'491'!$H$62:$H$63</definedName>
    <definedName name="OSRRefH22_8x_0" localSheetId="82">'492'!$H$61</definedName>
    <definedName name="OSRRefH22_8x_0" localSheetId="89">'501'!$H$56</definedName>
    <definedName name="OSRRefH22_8x_0" localSheetId="39">'Div 2'!$H$56</definedName>
    <definedName name="OSRRefH22_8x_0" localSheetId="47">'Div 3'!$H$94</definedName>
    <definedName name="OSRRefH22_8x_0" localSheetId="68">'Div 4'!$H$64</definedName>
    <definedName name="OSRRefH22_8x_0" localSheetId="88">'Div 5'!$H$56</definedName>
    <definedName name="OSRRefH22_8x_0" localSheetId="61">'Div 6'!$H$69:$H$70</definedName>
    <definedName name="OSRRefH22_8x_0" localSheetId="2">Summary!$H$102</definedName>
    <definedName name="OSRRefH22_9x_0" localSheetId="41">'201'!$H$55:$H$57</definedName>
    <definedName name="OSRRefH22_9x_0" localSheetId="42">'202'!$H$57</definedName>
    <definedName name="OSRRefH22_9x_0" localSheetId="43">'203'!$H$58:$H$59</definedName>
    <definedName name="OSRRefH22_9x_0" localSheetId="44">'204'!$H$61</definedName>
    <definedName name="OSRRefH22_9x_0" localSheetId="48">'300'!$H$92</definedName>
    <definedName name="OSRRefH22_9x_0" localSheetId="49">'300 &amp; 317'!$H$98</definedName>
    <definedName name="OSRRefH22_9x_0" localSheetId="50">'301'!$H$59</definedName>
    <definedName name="OSRRefH22_9x_0" localSheetId="55">'307'!$H$69:$H$70</definedName>
    <definedName name="OSRRefH22_9x_0" localSheetId="51">'308'!$H$72:$H$74</definedName>
    <definedName name="OSRRefH22_9x_0" localSheetId="63">'310'!$H$64</definedName>
    <definedName name="OSRRefH22_9x_0" localSheetId="69">'310 &amp; 491'!$H$67</definedName>
    <definedName name="OSRRefH22_9x_0" localSheetId="52">'311'!$H$72:$H$74</definedName>
    <definedName name="OSRRefH22_9x_0" localSheetId="57">'315'!$H$80</definedName>
    <definedName name="OSRRefH22_9x_0" localSheetId="60">'316'!$H$65:$H$68</definedName>
    <definedName name="OSRRefH22_9x_0" localSheetId="62">'317'!$H$72</definedName>
    <definedName name="OSRRefH22_9x_0" localSheetId="65">'321'!$H$62:$H$65</definedName>
    <definedName name="OSRRefH22_9x_0" localSheetId="66">'325'!$H$61</definedName>
    <definedName name="OSRRefH22_9x_0" localSheetId="58">'326'!$H$64</definedName>
    <definedName name="OSRRefH22_9x_0" localSheetId="56">'331'!$H$80:$H$81</definedName>
    <definedName name="OSRRefH22_9x_0" localSheetId="59">'332'!$H$65:$H$68</definedName>
    <definedName name="OSRRefH22_9x_0" localSheetId="54">'333'!$H$83:$H$84</definedName>
    <definedName name="OSRRefH22_9x_0" localSheetId="71">'405'!$H$63:$H$64</definedName>
    <definedName name="OSRRefH22_9x_0" localSheetId="73">'411'!$H$59:$H$61</definedName>
    <definedName name="OSRRefH22_9x_0" localSheetId="77">'415'!$H$63</definedName>
    <definedName name="OSRRefH22_9x_0" localSheetId="78">'418'!$H$62:$H$65</definedName>
    <definedName name="OSRRefH22_9x_0" localSheetId="84">'433'!$H$63</definedName>
    <definedName name="OSRRefH22_9x_0" localSheetId="86">'444'!$H$63</definedName>
    <definedName name="OSRRefH22_9x_0" localSheetId="87">'450'!$H$63</definedName>
    <definedName name="OSRRefH22_9x_0" localSheetId="70">'491'!$H$65</definedName>
    <definedName name="OSRRefH22_9x_0" localSheetId="82">'492'!$H$63</definedName>
    <definedName name="OSRRefH22_9x_0" localSheetId="89">'501'!$H$58:$H$60</definedName>
    <definedName name="OSRRefH22_9x_0" localSheetId="39">'Div 2'!$H$58</definedName>
    <definedName name="OSRRefH22_9x_0" localSheetId="47">'Div 3'!$H$96</definedName>
    <definedName name="OSRRefH22_9x_0" localSheetId="68">'Div 4'!$H$66:$H$67</definedName>
    <definedName name="OSRRefH22_9x_0" localSheetId="88">'Div 5'!$H$58:$H$60</definedName>
    <definedName name="OSRRefH22_9x_0" localSheetId="61">'Div 6'!$H$72</definedName>
    <definedName name="OSRRefH22_9x_0" localSheetId="2">Summary!$H$104</definedName>
    <definedName name="OSRRefH22x_0" localSheetId="40">'200'!$H$20,'200'!$H$22,'200'!$H$24,'200'!$H$26:$H$27</definedName>
    <definedName name="OSRRefH22x_0" localSheetId="41">'201'!$H$20:$H$28,'201'!$H$30:$H$39,'201'!$H$41,'201'!$H$43,'201'!$H$45,'201'!$H$47,'201'!$H$49,'201'!$H$51,'201'!$H$53,'201'!$H$55:$H$57,'201'!$H$59:$H$60,'201'!$H$62,'201'!$H$64:$H$65,'201'!$H$67,'201'!$H$69,'201'!$H$71</definedName>
    <definedName name="OSRRefH22x_0" localSheetId="42">'202'!$H$20:$H$28,'202'!$H$30:$H$39,'202'!$H$41,'202'!$H$43,'202'!$H$45,'202'!$H$47,'202'!$H$49,'202'!$H$51:$H$53,'202'!$H$55,'202'!$H$57,'202'!$H$59,'202'!$H$61,'202'!$H$63</definedName>
    <definedName name="OSRRefH22x_0" localSheetId="43">'203'!$H$20:$H$29,'203'!$H$31:$H$40,'203'!$H$42,'203'!$H$44,'203'!$H$46,'203'!$H$48,'203'!$H$50,'203'!$H$52,'203'!$H$54:$H$56,'203'!$H$58:$H$59,'203'!$H$61,'203'!$H$63:$H$66,'203'!$H$68,'203'!$H$70,'203'!$H$72</definedName>
    <definedName name="OSRRefH22x_0" localSheetId="44">'204'!$H$20:$H$28,'204'!$H$30:$H$39,'204'!$H$41,'204'!$H$43:$H$44,'204'!$H$46,'204'!$H$48:$H$51,'204'!$H$53:$H$54,'204'!$H$56,'204'!$H$58:$H$59,'204'!$H$61,'204'!$H$63</definedName>
    <definedName name="OSRRefH22x_0" localSheetId="45">'205'!$H$20:$H$28,'205'!$H$30:$H$39,'205'!$H$41,'205'!$H$43,'205'!$H$45:$H$46,'205'!$H$48,'205'!$H$50:$H$52,'205'!$H$54</definedName>
    <definedName name="OSRRefH22x_0" localSheetId="46">'206'!$H$20:$H$28,'206'!$H$30:$H$39,'206'!$H$41,'206'!$H$43,'206'!$H$45:$H$46,'206'!$H$48,'206'!$H$50:$H$51,'206'!$H$53</definedName>
    <definedName name="OSRRefH22x_0" localSheetId="48">'300'!$H$54:$H$63,'300'!$H$65:$H$74,'300'!$H$76,'300'!$H$78,'300'!$H$80,'300'!$H$82:$H$83,'300'!$H$85:$H$86,'300'!$H$88,'300'!$H$90,'300'!$H$92,'300'!$H$94:$H$95,'300'!$H$97:$H$98,'300'!$H$100,'300'!$H$102,'300'!$H$104,'300'!$H$106,'300'!$H$108:$H$111,'300'!$H$113:$H$116,'300'!$H$118:$H$120,'300'!$H$122:$H$123,'300'!$H$125:$H$131,'300'!$H$133:$H$134,'300'!$H$136,'300'!$H$138:$H$140,'300'!$H$142</definedName>
    <definedName name="OSRRefH22x_0" localSheetId="49">'300 &amp; 317'!$H$60:$H$69,'300 &amp; 317'!$H$71:$H$80,'300 &amp; 317'!$H$82,'300 &amp; 317'!$H$84,'300 &amp; 317'!$H$86,'300 &amp; 317'!$H$88:$H$89,'300 &amp; 317'!$H$91:$H$92,'300 &amp; 317'!$H$94,'300 &amp; 317'!$H$96,'300 &amp; 317'!$H$98,'300 &amp; 317'!$H$100:$H$101,'300 &amp; 317'!$H$103:$H$104,'300 &amp; 317'!$H$106,'300 &amp; 317'!$H$108,'300 &amp; 317'!$H$110,'300 &amp; 317'!$H$112,'300 &amp; 317'!$H$114:$H$117,'300 &amp; 317'!$H$119:$H$122,'300 &amp; 317'!$H$124:$H$126,'300 &amp; 317'!$H$128:$H$129,'300 &amp; 317'!$H$131:$H$137,'300 &amp; 317'!$H$139:$H$140,'300 &amp; 317'!$H$142,'300 &amp; 317'!$H$144:$H$146,'300 &amp; 317'!$H$148</definedName>
    <definedName name="OSRRefH22x_0" localSheetId="50">'301'!$H$21:$H$30,'301'!$H$32:$H$41,'301'!$H$43,'301'!$H$45,'301'!$H$47,'301'!$H$49:$H$50,'301'!$H$52:$H$53,'301'!$H$55,'301'!$H$57,'301'!$H$59,'301'!$H$61,'301'!$H$63,'301'!$H$65,'301'!$H$67,'301'!$H$69,'301'!$H$71:$H$74,'301'!$H$76:$H$77,'301'!$H$79,'301'!$H$81:$H$86,'301'!$H$88,'301'!$H$90,'301'!$H$92:$H$93,'301'!$H$95</definedName>
    <definedName name="OSRRefH22x_0" localSheetId="55">'307'!$H$34:$H$41,'307'!$H$43:$H$52,'307'!$H$54,'307'!$H$56,'307'!$H$58,'307'!$H$60:$H$61,'307'!$H$63,'307'!$H$65,'307'!$H$67,'307'!$H$69:$H$70,'307'!$H$72:$H$73,'307'!$H$75:$H$78,'307'!$H$80</definedName>
    <definedName name="OSRRefH22x_0" localSheetId="51">'308'!$H$35:$H$44,'308'!$H$46:$H$55,'308'!$H$57,'308'!$H$59,'308'!$H$61,'308'!$H$63,'308'!$H$65:$H$66,'308'!$H$68,'308'!$H$70,'308'!$H$72:$H$74,'308'!$H$76:$H$77,'308'!$H$79:$H$80,'308'!$H$82:$H$83,'308'!$H$85</definedName>
    <definedName name="OSRRefH22x_0" localSheetId="64">'309'!$H$21,'309'!$H$23,'309'!$H$25,'309'!$H$27,'309'!$H$29,'309'!$H$31:$H$32,'309'!$H$34:$H$35,'309'!$H$37:$H$38,'309'!$H$40</definedName>
    <definedName name="OSRRefH22x_0" localSheetId="63">'310'!$H$27:$H$36,'310'!$H$38:$H$47,'310'!$H$49,'310'!$H$51,'310'!$H$53,'310'!$H$55:$H$56,'310'!$H$58,'310'!$H$60,'310'!$H$62,'310'!$H$64,'310'!$H$66,'310'!$H$68:$H$70,'310'!$H$72,'310'!$H$74:$H$76,'310'!$H$78:$H$82,'310'!$H$84:$H$85,'310'!$H$87,'310'!$H$89</definedName>
    <definedName name="OSRRefH22x_0" localSheetId="69">'310 &amp; 491'!$H$29:$H$38,'310 &amp; 491'!$H$40:$H$49,'310 &amp; 491'!$H$51,'310 &amp; 491'!$H$53,'310 &amp; 491'!$H$55,'310 &amp; 491'!$H$57:$H$58,'310 &amp; 491'!$H$60,'310 &amp; 491'!$H$62,'310 &amp; 491'!$H$64:$H$65,'310 &amp; 491'!$H$67,'310 &amp; 491'!$H$69,'310 &amp; 491'!$H$71,'310 &amp; 491'!$H$73:$H$76,'310 &amp; 491'!$H$78:$H$79,'310 &amp; 491'!$H$81:$H$85,'310 &amp; 491'!$H$87,'310 &amp; 491'!$H$89:$H$98,'310 &amp; 491'!$H$100:$H$101,'310 &amp; 491'!$H$103,'310 &amp; 491'!$H$105,'310 &amp; 491'!$H$107</definedName>
    <definedName name="OSRRefH22x_0" localSheetId="52">'311'!$H$35:$H$44,'311'!$H$46:$H$55,'311'!$H$57,'311'!$H$59,'311'!$H$61,'311'!$H$63,'311'!$H$65:$H$66,'311'!$H$68,'311'!$H$70,'311'!$H$72:$H$74,'311'!$H$76:$H$77,'311'!$H$79:$H$80,'311'!$H$82:$H$83,'311'!$H$85</definedName>
    <definedName name="OSRRefH22x_0" localSheetId="57">'315'!$H$44:$H$52,'315'!$H$54:$H$63,'315'!$H$65,'315'!$H$67,'315'!$H$69,'315'!$H$71,'315'!$H$73,'315'!$H$75,'315'!$H$77:$H$78,'315'!$H$80,'315'!$H$82,'315'!$H$84,'315'!$H$86:$H$87,'315'!$H$89:$H$91,'315'!$H$93:$H$94,'315'!$H$96:$H$99,'315'!$H$101,'315'!$H$103</definedName>
    <definedName name="OSRRefH22x_0" localSheetId="60">'316'!$H$27:$H$35,'316'!$H$37:$H$46,'316'!$H$48,'316'!$H$50,'316'!$H$52,'316'!$H$54:$H$55,'316'!$H$57,'316'!$H$59:$H$61,'316'!$H$63,'316'!$H$65:$H$68,'316'!$H$70</definedName>
    <definedName name="OSRRefH22x_0" localSheetId="62">'317'!$H$35:$H$44,'317'!$H$46:$H$55,'317'!$H$57,'317'!$H$59,'317'!$H$61,'317'!$H$63,'317'!$H$65,'317'!$H$67,'317'!$H$69:$H$70,'317'!$H$72</definedName>
    <definedName name="OSRRefH22x_0" localSheetId="65">'321'!$H$24:$H$33,'321'!$H$35:$H$44,'321'!$H$46,'321'!$H$48,'321'!$H$50,'321'!$H$52,'321'!$H$54:$H$55,'321'!$H$57,'321'!$H$59:$H$60,'321'!$H$62:$H$65,'321'!$H$67,'321'!$H$69</definedName>
    <definedName name="OSRRefH22x_0" localSheetId="66">'325'!$H$25:$H$33,'325'!$H$35:$H$44,'325'!$H$46,'325'!$H$48,'325'!$H$50,'325'!$H$52:$H$53,'325'!$H$55,'325'!$H$57,'325'!$H$59,'325'!$H$61,'325'!$H$63,'325'!$H$65:$H$67,'325'!$H$69:$H$71,'325'!$H$73:$H$77,'325'!$H$79:$H$80,'325'!$H$82</definedName>
    <definedName name="OSRRefH22x_0" localSheetId="58">'326'!$H$28:$H$36,'326'!$H$38:$H$47,'326'!$H$49,'326'!$H$51,'326'!$H$53,'326'!$H$55,'326'!$H$57:$H$58,'326'!$H$60,'326'!$H$62,'326'!$H$64,'326'!$H$66,'326'!$H$68:$H$69,'326'!$H$71:$H$72,'326'!$H$74:$H$75,'326'!$H$77:$H$79,'326'!$H$81,'326'!$H$83:$H$84,'326'!$H$86</definedName>
    <definedName name="OSRRefH22x_0" localSheetId="67">'327'!$H$26,'327'!$H$28</definedName>
    <definedName name="OSRRefH22x_0" localSheetId="56">'331'!$H$44:$H$52,'331'!$H$54:$H$63,'331'!$H$65,'331'!$H$67,'331'!$H$69,'331'!$H$71,'331'!$H$73,'331'!$H$75,'331'!$H$77:$H$78,'331'!$H$80:$H$81,'331'!$H$83,'331'!$H$85,'331'!$H$87,'331'!$H$89,'331'!$H$91:$H$92,'331'!$H$94:$H$96,'331'!$H$98:$H$99,'331'!$H$101:$H$102,'331'!$H$104:$H$108,'331'!$H$110,'331'!$H$112:$H$113,'331'!$H$115</definedName>
    <definedName name="OSRRefH22x_0" localSheetId="59">'332'!$H$27:$H$35,'332'!$H$37:$H$46,'332'!$H$48,'332'!$H$50,'332'!$H$52,'332'!$H$54:$H$55,'332'!$H$57,'332'!$H$59:$H$61,'332'!$H$63,'332'!$H$65:$H$68,'332'!$H$70</definedName>
    <definedName name="OSRRefH22x_0" localSheetId="54">'333'!$H$46:$H$54,'333'!$H$56:$H$65,'333'!$H$67,'333'!$H$69,'333'!$H$71,'333'!$H$73:$H$74,'333'!$H$76,'333'!$H$78,'333'!$H$80:$H$81,'333'!$H$83:$H$84,'333'!$H$86,'333'!$H$88,'333'!$H$90,'333'!$H$92,'333'!$H$94:$H$95,'333'!$H$97:$H$99,'333'!$H$101:$H$103,'333'!$H$105:$H$106,'333'!$H$108:$H$113,'333'!$H$115,'333'!$H$117:$H$118,'333'!$H$120</definedName>
    <definedName name="OSRRefH22x_0" localSheetId="71">'405'!$H$27:$H$35,'405'!$H$37:$H$46,'405'!$H$48,'405'!$H$50,'405'!$H$52,'405'!$H$54:$H$55,'405'!$H$57,'405'!$H$59,'405'!$H$61,'405'!$H$63:$H$64,'405'!$H$66:$H$69,'405'!$H$71,'405'!$H$73:$H$80,'405'!$H$82,'405'!$H$84,'405'!$H$86</definedName>
    <definedName name="OSRRefH22x_0" localSheetId="72">'406'!$H$20,'406'!$H$22</definedName>
    <definedName name="OSRRefH22x_0" localSheetId="73">'411'!$H$20:$H$28,'411'!$H$30:$H$39,'411'!$H$41,'411'!$H$43:$H$44,'411'!$H$46,'411'!$H$48,'411'!$H$50,'411'!$H$52,'411'!$H$54:$H$57,'411'!$H$59:$H$61,'411'!$H$63:$H$64,'411'!$H$66,'411'!$H$68,'411'!$H$70,'411'!$H$72</definedName>
    <definedName name="OSRRefH22x_0" localSheetId="74">'412'!$H$20,'412'!$H$22,'412'!$H$24,'412'!$H$26</definedName>
    <definedName name="OSRRefH22x_0" localSheetId="75">'413'!$H$20,'413'!$H$22,'413'!$H$24</definedName>
    <definedName name="OSRRefH22x_0" localSheetId="76">'414'!$H$20,'414'!$H$22,'414'!$H$24</definedName>
    <definedName name="OSRRefH22x_0" localSheetId="77">'415'!$H$27:$H$35,'415'!$H$37:$H$46,'415'!$H$48,'415'!$H$50,'415'!$H$52,'415'!$H$54:$H$55,'415'!$H$57,'415'!$H$59,'415'!$H$61,'415'!$H$63,'415'!$H$65,'415'!$H$67:$H$68,'415'!$H$70:$H$73,'415'!$H$75,'415'!$H$77:$H$83,'415'!$H$85:$H$86,'415'!$H$88,'415'!$H$90</definedName>
    <definedName name="OSRRefH22x_0" localSheetId="78">'418'!$H$24:$H$32,'418'!$H$34:$H$43,'418'!$H$45,'418'!$H$47,'418'!$H$49:$H$50,'418'!$H$52,'418'!$H$54,'418'!$H$56:$H$57,'418'!$H$59:$H$60,'418'!$H$62:$H$65,'418'!$H$67,'418'!$H$69:$H$76,'418'!$H$78:$H$79,'418'!$H$81,'418'!$H$83</definedName>
    <definedName name="OSRRefH22x_0" localSheetId="79">'423'!$H$20:$H$27,'423'!$H$29:$H$38,'423'!$H$40,'423'!$H$42,'423'!$H$44,'423'!$H$46</definedName>
    <definedName name="OSRRefH22x_0" localSheetId="80">'424'!$H$20,'424'!$H$22,'424'!$H$24</definedName>
    <definedName name="OSRRefH22x_0" localSheetId="81">'425'!$H$22,'425'!$H$24,'425'!$H$26,'425'!$H$28,'425'!$H$30,'425'!$H$32</definedName>
    <definedName name="OSRRefH22x_0" localSheetId="83">'430'!$H$20:$H$28,'430'!$H$30:$H$39,'430'!$H$41,'430'!$H$43,'430'!$H$45,'430'!$H$47:$H$48,'430'!$H$50:$H$51,'430'!$H$53,'430'!$H$55</definedName>
    <definedName name="OSRRefH22x_0" localSheetId="84">'433'!$H$27:$H$36,'433'!$H$38:$H$47,'433'!$H$49,'433'!$H$51,'433'!$H$53,'433'!$H$55,'433'!$H$57,'433'!$H$59,'433'!$H$61,'433'!$H$63,'433'!$H$65,'433'!$H$67:$H$69,'433'!$H$71:$H$74,'433'!$H$76:$H$83,'433'!$H$85,'433'!$H$87</definedName>
    <definedName name="OSRRefH22x_0" localSheetId="85">'435'!$H$20</definedName>
    <definedName name="OSRRefH22x_0" localSheetId="86">'444'!$H$27:$H$36,'444'!$H$38:$H$47,'444'!$H$49,'444'!$H$51,'444'!$H$53,'444'!$H$55,'444'!$H$57,'444'!$H$59,'444'!$H$61,'444'!$H$63,'444'!$H$65,'444'!$H$67:$H$68,'444'!$H$70:$H$73,'444'!$H$75,'444'!$H$77:$H$84,'444'!$H$86,'444'!$H$88</definedName>
    <definedName name="OSRRefH22x_0" localSheetId="87">'450'!$H$27:$H$36,'450'!$H$38:$H$47,'450'!$H$49,'450'!$H$51,'450'!$H$53,'450'!$H$55,'450'!$H$57,'450'!$H$59,'450'!$H$61,'450'!$H$63,'450'!$H$65,'450'!$H$67:$H$69,'450'!$H$71:$H$74,'450'!$H$76:$H$82,'450'!$H$84,'450'!$H$86,'450'!$H$88</definedName>
    <definedName name="OSRRefH22x_0" localSheetId="70">'491'!$H$28:$H$36,'491'!$H$38:$H$47,'491'!$H$49,'491'!$H$51,'491'!$H$53,'491'!$H$55:$H$56,'491'!$H$58,'491'!$H$60,'491'!$H$62:$H$63,'491'!$H$65,'491'!$H$67,'491'!$H$69,'491'!$H$71:$H$74,'491'!$H$76,'491'!$H$78:$H$82,'491'!$H$84,'491'!$H$86:$H$95,'491'!$H$97:$H$98,'491'!$H$100,'491'!$H$102,'491'!$H$104</definedName>
    <definedName name="OSRRefH22x_0" localSheetId="82">'492'!$H$27:$H$36,'492'!$H$38:$H$47,'492'!$H$49,'492'!$H$51,'492'!$H$53,'492'!$H$55,'492'!$H$57,'492'!$H$59,'492'!$H$61,'492'!$H$63,'492'!$H$65,'492'!$H$67,'492'!$H$69:$H$71,'492'!$H$73:$H$76,'492'!$H$78,'492'!$H$80:$H$87,'492'!$H$89:$H$90,'492'!$H$92,'492'!$H$94:$H$95</definedName>
    <definedName name="OSRRefH22x_0" localSheetId="89">'501'!$H$21:$H$30,'501'!$H$32:$H$41,'501'!$H$43,'501'!$H$45,'501'!$H$47,'501'!$H$49:$H$50,'501'!$H$52,'501'!$H$54,'501'!$H$56,'501'!$H$58:$H$60,'501'!$H$62,'501'!$H$64:$H$66,'501'!$H$68,'501'!$H$70</definedName>
    <definedName name="OSRRefH22x_0" localSheetId="39">'Div 2'!$H$20:$H$30,'Div 2'!$H$32:$H$41,'Div 2'!$H$43,'Div 2'!$H$45,'Div 2'!$H$47,'Div 2'!$H$49:$H$50,'Div 2'!$H$52,'Div 2'!$H$54,'Div 2'!$H$56,'Div 2'!$H$58,'Div 2'!$H$60,'Div 2'!$H$62,'Div 2'!$H$64:$H$67,'Div 2'!$H$69:$H$72,'Div 2'!$H$74:$H$75,'Div 2'!$H$77:$H$78,'Div 2'!$H$80:$H$85,'Div 2'!$H$87:$H$88,'Div 2'!$H$90,'Div 2'!$H$92:$H$93</definedName>
    <definedName name="OSRRefH22x_0" localSheetId="47">'Div 3'!$H$58:$H$67,'Div 3'!$H$69:$H$78,'Div 3'!$H$80,'Div 3'!$H$82,'Div 3'!$H$84,'Div 3'!$H$86:$H$87,'Div 3'!$H$89:$H$90,'Div 3'!$H$92,'Div 3'!$H$94,'Div 3'!$H$96,'Div 3'!$H$98:$H$99,'Div 3'!$H$101:$H$102,'Div 3'!$H$104,'Div 3'!$H$106,'Div 3'!$H$108,'Div 3'!$H$110,'Div 3'!$H$112,'Div 3'!$H$114:$H$117,'Div 3'!$H$119:$H$122,'Div 3'!$H$124:$H$127,'Div 3'!$H$129:$H$130,'Div 3'!$H$132:$H$138,'Div 3'!$H$140:$H$141,'Div 3'!$H$143,'Div 3'!$H$145:$H$147,'Div 3'!$H$149</definedName>
    <definedName name="OSRRefH22x_0" localSheetId="68">'Div 4'!$H$29:$H$38,'Div 4'!$H$40:$H$49,'Div 4'!$H$51,'Div 4'!$H$53,'Div 4'!$H$55,'Div 4'!$H$57:$H$58,'Div 4'!$H$60,'Div 4'!$H$62,'Div 4'!$H$64,'Div 4'!$H$66:$H$67,'Div 4'!$H$69,'Div 4'!$H$71,'Div 4'!$H$73,'Div 4'!$H$75,'Div 4'!$H$77:$H$80,'Div 4'!$H$82,'Div 4'!$H$84:$H$88,'Div 4'!$H$90:$H$91,'Div 4'!$H$93:$H$102,'Div 4'!$H$104:$H$105,'Div 4'!$H$107,'Div 4'!$H$109:$H$110,'Div 4'!$H$112</definedName>
    <definedName name="OSRRefH22x_0" localSheetId="88">'Div 5'!$H$21:$H$30,'Div 5'!$H$32:$H$41,'Div 5'!$H$43,'Div 5'!$H$45,'Div 5'!$H$47,'Div 5'!$H$49:$H$50,'Div 5'!$H$52,'Div 5'!$H$54,'Div 5'!$H$56,'Div 5'!$H$58:$H$60,'Div 5'!$H$62,'Div 5'!$H$64:$H$66,'Div 5'!$H$68,'Div 5'!$H$70</definedName>
    <definedName name="OSRRefH22x_0" localSheetId="61">'Div 6'!$H$35:$H$44,'Div 6'!$H$46:$H$55,'Div 6'!$H$57,'Div 6'!$H$59,'Div 6'!$H$61,'Div 6'!$H$63,'Div 6'!$H$65,'Div 6'!$H$67,'Div 6'!$H$69:$H$70,'Div 6'!$H$72</definedName>
    <definedName name="OSRRefH22x_0" localSheetId="2">Summary!$H$66:$H$75,Summary!$H$77:$H$86,Summary!$H$88,Summary!$H$90,Summary!$H$92,Summary!$H$94:$H$95,Summary!$H$97:$H$98,Summary!$H$100,Summary!$H$102,Summary!$H$104,Summary!$H$106:$H$107,Summary!$H$109:$H$111,Summary!$H$113,Summary!$H$115,Summary!$H$117,Summary!$H$119,Summary!$H$121,Summary!$H$123,Summary!$H$125:$H$128,Summary!$H$130:$H$133,Summary!$H$135:$H$139,Summary!$H$141:$H$142,Summary!$H$144:$H$153,Summary!$H$155:$H$156,Summary!$H$158,Summary!$H$160:$H$162,Summary!$H$164</definedName>
    <definedName name="OSRRefH25x_0" localSheetId="48">'300'!$H$145:$H$149</definedName>
    <definedName name="OSRRefH25x_0" localSheetId="49">'300 &amp; 317'!$H$151:$H$157</definedName>
    <definedName name="OSRRefH25x_0" localSheetId="50">'301'!$H$98:$H$99</definedName>
    <definedName name="OSRRefH25x_0" localSheetId="51">'308'!$H$88:$H$91</definedName>
    <definedName name="OSRRefH25x_0" localSheetId="69">'310 &amp; 491'!$H$110:$H$113</definedName>
    <definedName name="OSRRefH25x_0" localSheetId="52">'311'!$H$88:$H$91</definedName>
    <definedName name="OSRRefH25x_0" localSheetId="57">'315'!$H$106:$H$108</definedName>
    <definedName name="OSRRefH25x_0" localSheetId="60">'316'!$H$73</definedName>
    <definedName name="OSRRefH25x_0" localSheetId="62">'317'!$H$75:$H$77</definedName>
    <definedName name="OSRRefH25x_0" localSheetId="56">'331'!$H$118:$H$120</definedName>
    <definedName name="OSRRefH25x_0" localSheetId="59">'332'!$H$73</definedName>
    <definedName name="OSRRefH25x_0" localSheetId="54">'333'!$H$123:$H$125</definedName>
    <definedName name="OSRRefH25x_0" localSheetId="71">'405'!$H$89</definedName>
    <definedName name="OSRRefH25x_0" localSheetId="73">'411'!$H$75</definedName>
    <definedName name="OSRRefH25x_0" localSheetId="77">'415'!$H$93</definedName>
    <definedName name="OSRRefH25x_0" localSheetId="78">'418'!$H$86</definedName>
    <definedName name="OSRRefH25x_0" localSheetId="79">'423'!$H$49:$H$51</definedName>
    <definedName name="OSRRefH25x_0" localSheetId="70">'491'!$H$107:$H$110</definedName>
    <definedName name="OSRRefH25x_0" localSheetId="89">'501'!$H$73</definedName>
    <definedName name="OSRRefH25x_0" localSheetId="47">'Div 3'!$H$152:$H$156</definedName>
    <definedName name="OSRRefH25x_0" localSheetId="68">'Div 4'!$H$115:$H$118</definedName>
    <definedName name="OSRRefH25x_0" localSheetId="88">'Div 5'!$H$73</definedName>
    <definedName name="OSRRefH25x_0" localSheetId="61">'Div 6'!$H$75:$H$77</definedName>
    <definedName name="OSRRefH25x_0" localSheetId="2">Summary!$H$167:$H$174</definedName>
    <definedName name="OSRRefP13x_0" localSheetId="48">'300'!$P$13:$P$19</definedName>
    <definedName name="OSRRefP13x_0" localSheetId="49">'300 &amp; 317'!$P$13:$P$19</definedName>
    <definedName name="OSRRefP13x_0" localSheetId="55">'307'!$P$13:$P$16</definedName>
    <definedName name="OSRRefP13x_0" localSheetId="51">'308'!$P$13:$P$17</definedName>
    <definedName name="OSRRefP13x_0" localSheetId="63">'310'!$P$13:$P$16</definedName>
    <definedName name="OSRRefP13x_0" localSheetId="69">'310 &amp; 491'!$P$13:$P$18</definedName>
    <definedName name="OSRRefP13x_0" localSheetId="52">'311'!$P$13:$P$17</definedName>
    <definedName name="OSRRefP13x_0" localSheetId="57">'315'!$P$13:$P$17</definedName>
    <definedName name="OSRRefP13x_0" localSheetId="60">'316'!$P$13:$P$17</definedName>
    <definedName name="OSRRefP13x_0" localSheetId="62">'317'!$P$13:$P$17</definedName>
    <definedName name="OSRRefP13x_0" localSheetId="65">'321'!$P$13:$P$14</definedName>
    <definedName name="OSRRefP13x_0" localSheetId="53">'324'!$P$13:$P$14</definedName>
    <definedName name="OSRRefP13x_0" localSheetId="66">'325'!$P$13:$P$14</definedName>
    <definedName name="OSRRefP13x_0" localSheetId="58">'326'!$P$13:$P$16</definedName>
    <definedName name="OSRRefP13x_0" localSheetId="67">'327'!$P$13:$P$15</definedName>
    <definedName name="OSRRefP13x_0" localSheetId="56">'331'!$P$13:$P$17</definedName>
    <definedName name="OSRRefP13x_0" localSheetId="59">'332'!$P$13:$P$17</definedName>
    <definedName name="OSRRefP13x_0" localSheetId="54">'333'!$P$13:$P$17</definedName>
    <definedName name="OSRRefP13x_0" localSheetId="71">'405'!$P$13:$P$16</definedName>
    <definedName name="OSRRefP13x_0" localSheetId="77">'415'!$P$13:$P$16</definedName>
    <definedName name="OSRRefP13x_0" localSheetId="78">'418'!$P$13:$P$14</definedName>
    <definedName name="OSRRefP13x_0" localSheetId="81">'425'!$P$13</definedName>
    <definedName name="OSRRefP13x_0" localSheetId="84">'433'!$P$13:$P$16</definedName>
    <definedName name="OSRRefP13x_0" localSheetId="86">'444'!$P$13:$P$16</definedName>
    <definedName name="OSRRefP13x_0" localSheetId="87">'450'!$P$13:$P$16</definedName>
    <definedName name="OSRRefP13x_0" localSheetId="70">'491'!$P$13:$P$17</definedName>
    <definedName name="OSRRefP13x_0" localSheetId="82">'492'!$P$13:$P$16</definedName>
    <definedName name="OSRRefP13x_0" localSheetId="89">'501'!$P$13</definedName>
    <definedName name="OSRRefP13x_0" localSheetId="47">'Div 3'!$P$13:$P$21</definedName>
    <definedName name="OSRRefP13x_0" localSheetId="68">'Div 4'!$P$13:$P$18</definedName>
    <definedName name="OSRRefP13x_0" localSheetId="88">'Div 5'!$P$13</definedName>
    <definedName name="OSRRefP13x_0" localSheetId="61">'Div 6'!$P$13:$P$17</definedName>
    <definedName name="OSRRefP13x_0" localSheetId="2">Summary!$P$13:$P$23</definedName>
    <definedName name="OSRRefP16x_0" localSheetId="48">'300'!$P$22:$P$48</definedName>
    <definedName name="OSRRefP16x_0" localSheetId="49">'300 &amp; 317'!$P$22:$P$54</definedName>
    <definedName name="OSRRefP16x_0" localSheetId="50">'301'!$P$15</definedName>
    <definedName name="OSRRefP16x_0" localSheetId="55">'307'!$P$19:$P$28</definedName>
    <definedName name="OSRRefP16x_0" localSheetId="51">'308'!$P$20:$P$29</definedName>
    <definedName name="OSRRefP16x_0" localSheetId="64">'309'!$P$15</definedName>
    <definedName name="OSRRefP16x_0" localSheetId="63">'310'!$P$19:$P$21</definedName>
    <definedName name="OSRRefP16x_0" localSheetId="69">'310 &amp; 491'!$P$21:$P$23</definedName>
    <definedName name="OSRRefP16x_0" localSheetId="52">'311'!$P$20:$P$29</definedName>
    <definedName name="OSRRefP16x_0" localSheetId="57">'315'!$P$20:$P$38</definedName>
    <definedName name="OSRRefP16x_0" localSheetId="60">'316'!$P$20:$P$21</definedName>
    <definedName name="OSRRefP16x_0" localSheetId="62">'317'!$P$20:$P$29</definedName>
    <definedName name="OSRRefP16x_0" localSheetId="65">'321'!$P$17:$P$18</definedName>
    <definedName name="OSRRefP16x_0" localSheetId="53">'324'!$P$17</definedName>
    <definedName name="OSRRefP16x_0" localSheetId="66">'325'!$P$17:$P$19</definedName>
    <definedName name="OSRRefP16x_0" localSheetId="58">'326'!$P$19:$P$22</definedName>
    <definedName name="OSRRefP16x_0" localSheetId="67">'327'!$P$18:$P$20</definedName>
    <definedName name="OSRRefP16x_0" localSheetId="56">'331'!$P$20:$P$38</definedName>
    <definedName name="OSRRefP16x_0" localSheetId="59">'332'!$P$20:$P$21</definedName>
    <definedName name="OSRRefP16x_0" localSheetId="54">'333'!$P$20:$P$40</definedName>
    <definedName name="OSRRefP16x_0" localSheetId="71">'405'!$P$19:$P$21</definedName>
    <definedName name="OSRRefP16x_0" localSheetId="77">'415'!$P$19:$P$21</definedName>
    <definedName name="OSRRefP16x_0" localSheetId="78">'418'!$P$17:$P$18</definedName>
    <definedName name="OSRRefP16x_0" localSheetId="81">'425'!$P$16</definedName>
    <definedName name="OSRRefP16x_0" localSheetId="84">'433'!$P$19:$P$21</definedName>
    <definedName name="OSRRefP16x_0" localSheetId="86">'444'!$P$19:$P$21</definedName>
    <definedName name="OSRRefP16x_0" localSheetId="87">'450'!$P$19:$P$21</definedName>
    <definedName name="OSRRefP16x_0" localSheetId="70">'491'!$P$20:$P$22</definedName>
    <definedName name="OSRRefP16x_0" localSheetId="82">'492'!$P$19:$P$21</definedName>
    <definedName name="OSRRefP16x_0" localSheetId="47">'Div 3'!$P$24:$P$52</definedName>
    <definedName name="OSRRefP16x_0" localSheetId="68">'Div 4'!$P$21:$P$23</definedName>
    <definedName name="OSRRefP16x_0" localSheetId="61">'Div 6'!$P$20:$P$29</definedName>
    <definedName name="OSRRefP16x_0" localSheetId="2">Summary!$P$26:$P$60</definedName>
    <definedName name="OSRRefP22_0x_0" localSheetId="40">'200'!$P$20</definedName>
    <definedName name="OSRRefP22_0x_0" localSheetId="41">'201'!$P$20:$P$28</definedName>
    <definedName name="OSRRefP22_0x_0" localSheetId="42">'202'!$P$20:$P$28</definedName>
    <definedName name="OSRRefP22_0x_0" localSheetId="43">'203'!$P$20:$P$29</definedName>
    <definedName name="OSRRefP22_0x_0" localSheetId="44">'204'!$P$20:$P$28</definedName>
    <definedName name="OSRRefP22_0x_0" localSheetId="45">'205'!$P$20:$P$28</definedName>
    <definedName name="OSRRefP22_0x_0" localSheetId="46">'206'!$P$20:$P$28</definedName>
    <definedName name="OSRRefP22_0x_0" localSheetId="48">'300'!$P$54:$P$63</definedName>
    <definedName name="OSRRefP22_0x_0" localSheetId="49">'300 &amp; 317'!$P$60:$P$69</definedName>
    <definedName name="OSRRefP22_0x_0" localSheetId="50">'301'!$P$21:$P$30</definedName>
    <definedName name="OSRRefP22_0x_0" localSheetId="55">'307'!$P$34:$P$41</definedName>
    <definedName name="OSRRefP22_0x_0" localSheetId="51">'308'!$P$35:$P$44</definedName>
    <definedName name="OSRRefP22_0x_0" localSheetId="64">'309'!$P$21</definedName>
    <definedName name="OSRRefP22_0x_0" localSheetId="63">'310'!$P$27:$P$36</definedName>
    <definedName name="OSRRefP22_0x_0" localSheetId="69">'310 &amp; 491'!$P$29:$P$38</definedName>
    <definedName name="OSRRefP22_0x_0" localSheetId="52">'311'!$P$35:$P$44</definedName>
    <definedName name="OSRRefP22_0x_0" localSheetId="57">'315'!$P$44:$P$52</definedName>
    <definedName name="OSRRefP22_0x_0" localSheetId="60">'316'!$P$27:$P$35</definedName>
    <definedName name="OSRRefP22_0x_0" localSheetId="62">'317'!$P$35:$P$44</definedName>
    <definedName name="OSRRefP22_0x_0" localSheetId="65">'321'!$P$24:$P$33</definedName>
    <definedName name="OSRRefP22_0x_0" localSheetId="66">'325'!$P$25:$P$33</definedName>
    <definedName name="OSRRefP22_0x_0" localSheetId="58">'326'!$P$28:$P$36</definedName>
    <definedName name="OSRRefP22_0x_0" localSheetId="67">'327'!$P$26</definedName>
    <definedName name="OSRRefP22_0x_0" localSheetId="56">'331'!$P$44:$P$52</definedName>
    <definedName name="OSRRefP22_0x_0" localSheetId="59">'332'!$P$27:$P$35</definedName>
    <definedName name="OSRRefP22_0x_0" localSheetId="54">'333'!$P$46:$P$54</definedName>
    <definedName name="OSRRefP22_0x_0" localSheetId="71">'405'!$P$27:$P$35</definedName>
    <definedName name="OSRRefP22_0x_0" localSheetId="72">'406'!$P$20</definedName>
    <definedName name="OSRRefP22_0x_0" localSheetId="73">'411'!$P$20:$P$28</definedName>
    <definedName name="OSRRefP22_0x_0" localSheetId="74">'412'!$P$20</definedName>
    <definedName name="OSRRefP22_0x_0" localSheetId="75">'413'!$P$20</definedName>
    <definedName name="OSRRefP22_0x_0" localSheetId="76">'414'!$P$20</definedName>
    <definedName name="OSRRefP22_0x_0" localSheetId="77">'415'!$P$27:$P$35</definedName>
    <definedName name="OSRRefP22_0x_0" localSheetId="78">'418'!$P$24:$P$32</definedName>
    <definedName name="OSRRefP22_0x_0" localSheetId="79">'423'!$P$20:$P$27</definedName>
    <definedName name="OSRRefP22_0x_0" localSheetId="80">'424'!$P$20</definedName>
    <definedName name="OSRRefP22_0x_0" localSheetId="81">'425'!$P$22</definedName>
    <definedName name="OSRRefP22_0x_0" localSheetId="83">'430'!$P$20:$P$28</definedName>
    <definedName name="OSRRefP22_0x_0" localSheetId="84">'433'!$P$27:$P$36</definedName>
    <definedName name="OSRRefP22_0x_0" localSheetId="85">'435'!$P$20</definedName>
    <definedName name="OSRRefP22_0x_0" localSheetId="86">'444'!$P$27:$P$36</definedName>
    <definedName name="OSRRefP22_0x_0" localSheetId="87">'450'!$P$27:$P$36</definedName>
    <definedName name="OSRRefP22_0x_0" localSheetId="70">'491'!$P$28:$P$36</definedName>
    <definedName name="OSRRefP22_0x_0" localSheetId="82">'492'!$P$27:$P$36</definedName>
    <definedName name="OSRRefP22_0x_0" localSheetId="89">'501'!$P$21:$P$30</definedName>
    <definedName name="OSRRefP22_0x_0" localSheetId="39">'Div 2'!$P$20:$P$30</definedName>
    <definedName name="OSRRefP22_0x_0" localSheetId="47">'Div 3'!$P$58:$P$67</definedName>
    <definedName name="OSRRefP22_0x_0" localSheetId="68">'Div 4'!$P$29:$P$38</definedName>
    <definedName name="OSRRefP22_0x_0" localSheetId="88">'Div 5'!$P$21:$P$30</definedName>
    <definedName name="OSRRefP22_0x_0" localSheetId="61">'Div 6'!$P$35:$P$44</definedName>
    <definedName name="OSRRefP22_0x_0" localSheetId="2">Summary!$P$66:$P$75</definedName>
    <definedName name="OSRRefP22_10x_0" localSheetId="41">'201'!$P$59:$P$60</definedName>
    <definedName name="OSRRefP22_10x_0" localSheetId="42">'202'!$P$59</definedName>
    <definedName name="OSRRefP22_10x_0" localSheetId="43">'203'!$P$61</definedName>
    <definedName name="OSRRefP22_10x_0" localSheetId="44">'204'!$P$63</definedName>
    <definedName name="OSRRefP22_10x_0" localSheetId="48">'300'!$P$94:$P$95</definedName>
    <definedName name="OSRRefP22_10x_0" localSheetId="49">'300 &amp; 317'!$P$100:$P$101</definedName>
    <definedName name="OSRRefP22_10x_0" localSheetId="50">'301'!$P$61</definedName>
    <definedName name="OSRRefP22_10x_0" localSheetId="55">'307'!$P$72:$P$73</definedName>
    <definedName name="OSRRefP22_10x_0" localSheetId="51">'308'!$P$76:$P$77</definedName>
    <definedName name="OSRRefP22_10x_0" localSheetId="63">'310'!$P$66</definedName>
    <definedName name="OSRRefP22_10x_0" localSheetId="69">'310 &amp; 491'!$P$69</definedName>
    <definedName name="OSRRefP22_10x_0" localSheetId="52">'311'!$P$76:$P$77</definedName>
    <definedName name="OSRRefP22_10x_0" localSheetId="57">'315'!$P$82</definedName>
    <definedName name="OSRRefP22_10x_0" localSheetId="60">'316'!$P$70</definedName>
    <definedName name="OSRRefP22_10x_0" localSheetId="65">'321'!$P$67</definedName>
    <definedName name="OSRRefP22_10x_0" localSheetId="66">'325'!$P$63</definedName>
    <definedName name="OSRRefP22_10x_0" localSheetId="58">'326'!$P$66</definedName>
    <definedName name="OSRRefP22_10x_0" localSheetId="56">'331'!$P$83</definedName>
    <definedName name="OSRRefP22_10x_0" localSheetId="59">'332'!$P$70</definedName>
    <definedName name="OSRRefP22_10x_0" localSheetId="54">'333'!$P$86</definedName>
    <definedName name="OSRRefP22_10x_0" localSheetId="71">'405'!$P$66:$P$69</definedName>
    <definedName name="OSRRefP22_10x_0" localSheetId="73">'411'!$P$63:$P$64</definedName>
    <definedName name="OSRRefP22_10x_0" localSheetId="77">'415'!$P$65</definedName>
    <definedName name="OSRRefP22_10x_0" localSheetId="78">'418'!$P$67</definedName>
    <definedName name="OSRRefP22_10x_0" localSheetId="84">'433'!$P$65</definedName>
    <definedName name="OSRRefP22_10x_0" localSheetId="86">'444'!$P$65</definedName>
    <definedName name="OSRRefP22_10x_0" localSheetId="87">'450'!$P$65</definedName>
    <definedName name="OSRRefP22_10x_0" localSheetId="70">'491'!$P$67</definedName>
    <definedName name="OSRRefP22_10x_0" localSheetId="82">'492'!$P$65</definedName>
    <definedName name="OSRRefP22_10x_0" localSheetId="89">'501'!$P$62</definedName>
    <definedName name="OSRRefP22_10x_0" localSheetId="39">'Div 2'!$P$60</definedName>
    <definedName name="OSRRefP22_10x_0" localSheetId="47">'Div 3'!$P$98:$P$99</definedName>
    <definedName name="OSRRefP22_10x_0" localSheetId="68">'Div 4'!$P$69</definedName>
    <definedName name="OSRRefP22_10x_0" localSheetId="88">'Div 5'!$P$62</definedName>
    <definedName name="OSRRefP22_10x_0" localSheetId="2">Summary!$P$106:$P$107</definedName>
    <definedName name="OSRRefP22_11x_0" localSheetId="41">'201'!$P$62</definedName>
    <definedName name="OSRRefP22_11x_0" localSheetId="42">'202'!$P$61</definedName>
    <definedName name="OSRRefP22_11x_0" localSheetId="43">'203'!$P$63:$P$66</definedName>
    <definedName name="OSRRefP22_11x_0" localSheetId="48">'300'!$P$97:$P$98</definedName>
    <definedName name="OSRRefP22_11x_0" localSheetId="49">'300 &amp; 317'!$P$103:$P$104</definedName>
    <definedName name="OSRRefP22_11x_0" localSheetId="50">'301'!$P$63</definedName>
    <definedName name="OSRRefP22_11x_0" localSheetId="55">'307'!$P$75:$P$78</definedName>
    <definedName name="OSRRefP22_11x_0" localSheetId="51">'308'!$P$79:$P$80</definedName>
    <definedName name="OSRRefP22_11x_0" localSheetId="63">'310'!$P$68:$P$70</definedName>
    <definedName name="OSRRefP22_11x_0" localSheetId="69">'310 &amp; 491'!$P$71</definedName>
    <definedName name="OSRRefP22_11x_0" localSheetId="52">'311'!$P$79:$P$80</definedName>
    <definedName name="OSRRefP22_11x_0" localSheetId="57">'315'!$P$84</definedName>
    <definedName name="OSRRefP22_11x_0" localSheetId="65">'321'!$P$69</definedName>
    <definedName name="OSRRefP22_11x_0" localSheetId="66">'325'!$P$65:$P$67</definedName>
    <definedName name="OSRRefP22_11x_0" localSheetId="58">'326'!$P$68:$P$69</definedName>
    <definedName name="OSRRefP22_11x_0" localSheetId="56">'331'!$P$85</definedName>
    <definedName name="OSRRefP22_11x_0" localSheetId="54">'333'!$P$88</definedName>
    <definedName name="OSRRefP22_11x_0" localSheetId="71">'405'!$P$71</definedName>
    <definedName name="OSRRefP22_11x_0" localSheetId="73">'411'!$P$66</definedName>
    <definedName name="OSRRefP22_11x_0" localSheetId="77">'415'!$P$67:$P$68</definedName>
    <definedName name="OSRRefP22_11x_0" localSheetId="78">'418'!$P$69:$P$76</definedName>
    <definedName name="OSRRefP22_11x_0" localSheetId="84">'433'!$P$67:$P$69</definedName>
    <definedName name="OSRRefP22_11x_0" localSheetId="86">'444'!$P$67:$P$68</definedName>
    <definedName name="OSRRefP22_11x_0" localSheetId="87">'450'!$P$67:$P$69</definedName>
    <definedName name="OSRRefP22_11x_0" localSheetId="70">'491'!$P$69</definedName>
    <definedName name="OSRRefP22_11x_0" localSheetId="82">'492'!$P$67</definedName>
    <definedName name="OSRRefP22_11x_0" localSheetId="89">'501'!$P$64:$P$66</definedName>
    <definedName name="OSRRefP22_11x_0" localSheetId="39">'Div 2'!$P$62</definedName>
    <definedName name="OSRRefP22_11x_0" localSheetId="47">'Div 3'!$P$101:$P$102</definedName>
    <definedName name="OSRRefP22_11x_0" localSheetId="68">'Div 4'!$P$71</definedName>
    <definedName name="OSRRefP22_11x_0" localSheetId="88">'Div 5'!$P$64:$P$66</definedName>
    <definedName name="OSRRefP22_11x_0" localSheetId="2">Summary!$P$109:$P$111</definedName>
    <definedName name="OSRRefP22_12x_0" localSheetId="41">'201'!$P$64:$P$65</definedName>
    <definedName name="OSRRefP22_12x_0" localSheetId="42">'202'!$P$63</definedName>
    <definedName name="OSRRefP22_12x_0" localSheetId="43">'203'!$P$68</definedName>
    <definedName name="OSRRefP22_12x_0" localSheetId="48">'300'!$P$100</definedName>
    <definedName name="OSRRefP22_12x_0" localSheetId="49">'300 &amp; 317'!$P$106</definedName>
    <definedName name="OSRRefP22_12x_0" localSheetId="50">'301'!$P$65</definedName>
    <definedName name="OSRRefP22_12x_0" localSheetId="55">'307'!$P$80</definedName>
    <definedName name="OSRRefP22_12x_0" localSheetId="51">'308'!$P$82:$P$83</definedName>
    <definedName name="OSRRefP22_12x_0" localSheetId="63">'310'!$P$72</definedName>
    <definedName name="OSRRefP22_12x_0" localSheetId="69">'310 &amp; 491'!$P$73:$P$76</definedName>
    <definedName name="OSRRefP22_12x_0" localSheetId="52">'311'!$P$82:$P$83</definedName>
    <definedName name="OSRRefP22_12x_0" localSheetId="57">'315'!$P$86:$P$87</definedName>
    <definedName name="OSRRefP22_12x_0" localSheetId="66">'325'!$P$69:$P$71</definedName>
    <definedName name="OSRRefP22_12x_0" localSheetId="58">'326'!$P$71:$P$72</definedName>
    <definedName name="OSRRefP22_12x_0" localSheetId="56">'331'!$P$87</definedName>
    <definedName name="OSRRefP22_12x_0" localSheetId="54">'333'!$P$90</definedName>
    <definedName name="OSRRefP22_12x_0" localSheetId="71">'405'!$P$73:$P$80</definedName>
    <definedName name="OSRRefP22_12x_0" localSheetId="73">'411'!$P$68</definedName>
    <definedName name="OSRRefP22_12x_0" localSheetId="77">'415'!$P$70:$P$73</definedName>
    <definedName name="OSRRefP22_12x_0" localSheetId="78">'418'!$P$78:$P$79</definedName>
    <definedName name="OSRRefP22_12x_0" localSheetId="84">'433'!$P$71:$P$74</definedName>
    <definedName name="OSRRefP22_12x_0" localSheetId="86">'444'!$P$70:$P$73</definedName>
    <definedName name="OSRRefP22_12x_0" localSheetId="87">'450'!$P$71:$P$74</definedName>
    <definedName name="OSRRefP22_12x_0" localSheetId="70">'491'!$P$71:$P$74</definedName>
    <definedName name="OSRRefP22_12x_0" localSheetId="82">'492'!$P$69:$P$71</definedName>
    <definedName name="OSRRefP22_12x_0" localSheetId="89">'501'!$P$68</definedName>
    <definedName name="OSRRefP22_12x_0" localSheetId="39">'Div 2'!$P$64:$P$67</definedName>
    <definedName name="OSRRefP22_12x_0" localSheetId="47">'Div 3'!$P$104</definedName>
    <definedName name="OSRRefP22_12x_0" localSheetId="68">'Div 4'!$P$73</definedName>
    <definedName name="OSRRefP22_12x_0" localSheetId="88">'Div 5'!$P$68</definedName>
    <definedName name="OSRRefP22_12x_0" localSheetId="2">Summary!$P$113</definedName>
    <definedName name="OSRRefP22_13x_0" localSheetId="41">'201'!$P$67</definedName>
    <definedName name="OSRRefP22_13x_0" localSheetId="43">'203'!$P$70</definedName>
    <definedName name="OSRRefP22_13x_0" localSheetId="48">'300'!$P$102</definedName>
    <definedName name="OSRRefP22_13x_0" localSheetId="49">'300 &amp; 317'!$P$108</definedName>
    <definedName name="OSRRefP22_13x_0" localSheetId="50">'301'!$P$67</definedName>
    <definedName name="OSRRefP22_13x_0" localSheetId="51">'308'!$P$85</definedName>
    <definedName name="OSRRefP22_13x_0" localSheetId="63">'310'!$P$74:$P$76</definedName>
    <definedName name="OSRRefP22_13x_0" localSheetId="69">'310 &amp; 491'!$P$78:$P$79</definedName>
    <definedName name="OSRRefP22_13x_0" localSheetId="52">'311'!$P$85</definedName>
    <definedName name="OSRRefP22_13x_0" localSheetId="57">'315'!$P$89:$P$91</definedName>
    <definedName name="OSRRefP22_13x_0" localSheetId="66">'325'!$P$73:$P$77</definedName>
    <definedName name="OSRRefP22_13x_0" localSheetId="58">'326'!$P$74:$P$75</definedName>
    <definedName name="OSRRefP22_13x_0" localSheetId="56">'331'!$P$89</definedName>
    <definedName name="OSRRefP22_13x_0" localSheetId="54">'333'!$P$92</definedName>
    <definedName name="OSRRefP22_13x_0" localSheetId="71">'405'!$P$82</definedName>
    <definedName name="OSRRefP22_13x_0" localSheetId="73">'411'!$P$70</definedName>
    <definedName name="OSRRefP22_13x_0" localSheetId="77">'415'!$P$75</definedName>
    <definedName name="OSRRefP22_13x_0" localSheetId="78">'418'!$P$81</definedName>
    <definedName name="OSRRefP22_13x_0" localSheetId="84">'433'!$P$76:$P$83</definedName>
    <definedName name="OSRRefP22_13x_0" localSheetId="86">'444'!$P$75</definedName>
    <definedName name="OSRRefP22_13x_0" localSheetId="87">'450'!$P$76:$P$82</definedName>
    <definedName name="OSRRefP22_13x_0" localSheetId="70">'491'!$P$76</definedName>
    <definedName name="OSRRefP22_13x_0" localSheetId="82">'492'!$P$73:$P$76</definedName>
    <definedName name="OSRRefP22_13x_0" localSheetId="89">'501'!$P$70</definedName>
    <definedName name="OSRRefP22_13x_0" localSheetId="39">'Div 2'!$P$69:$P$72</definedName>
    <definedName name="OSRRefP22_13x_0" localSheetId="47">'Div 3'!$P$106</definedName>
    <definedName name="OSRRefP22_13x_0" localSheetId="68">'Div 4'!$P$75</definedName>
    <definedName name="OSRRefP22_13x_0" localSheetId="88">'Div 5'!$P$70</definedName>
    <definedName name="OSRRefP22_13x_0" localSheetId="2">Summary!$P$115</definedName>
    <definedName name="OSRRefP22_14x_0" localSheetId="41">'201'!$P$69</definedName>
    <definedName name="OSRRefP22_14x_0" localSheetId="43">'203'!$P$72</definedName>
    <definedName name="OSRRefP22_14x_0" localSheetId="48">'300'!$P$104</definedName>
    <definedName name="OSRRefP22_14x_0" localSheetId="49">'300 &amp; 317'!$P$110</definedName>
    <definedName name="OSRRefP22_14x_0" localSheetId="50">'301'!$P$69</definedName>
    <definedName name="OSRRefP22_14x_0" localSheetId="63">'310'!$P$78:$P$82</definedName>
    <definedName name="OSRRefP22_14x_0" localSheetId="69">'310 &amp; 491'!$P$81:$P$85</definedName>
    <definedName name="OSRRefP22_14x_0" localSheetId="57">'315'!$P$93:$P$94</definedName>
    <definedName name="OSRRefP22_14x_0" localSheetId="66">'325'!$P$79:$P$80</definedName>
    <definedName name="OSRRefP22_14x_0" localSheetId="58">'326'!$P$77:$P$79</definedName>
    <definedName name="OSRRefP22_14x_0" localSheetId="56">'331'!$P$91:$P$92</definedName>
    <definedName name="OSRRefP22_14x_0" localSheetId="54">'333'!$P$94:$P$95</definedName>
    <definedName name="OSRRefP22_14x_0" localSheetId="71">'405'!$P$84</definedName>
    <definedName name="OSRRefP22_14x_0" localSheetId="73">'411'!$P$72</definedName>
    <definedName name="OSRRefP22_14x_0" localSheetId="77">'415'!$P$77:$P$83</definedName>
    <definedName name="OSRRefP22_14x_0" localSheetId="78">'418'!$P$83</definedName>
    <definedName name="OSRRefP22_14x_0" localSheetId="84">'433'!$P$85</definedName>
    <definedName name="OSRRefP22_14x_0" localSheetId="86">'444'!$P$77:$P$84</definedName>
    <definedName name="OSRRefP22_14x_0" localSheetId="87">'450'!$P$84</definedName>
    <definedName name="OSRRefP22_14x_0" localSheetId="70">'491'!$P$78:$P$82</definedName>
    <definedName name="OSRRefP22_14x_0" localSheetId="82">'492'!$P$78</definedName>
    <definedName name="OSRRefP22_14x_0" localSheetId="39">'Div 2'!$P$74:$P$75</definedName>
    <definedName name="OSRRefP22_14x_0" localSheetId="47">'Div 3'!$P$108</definedName>
    <definedName name="OSRRefP22_14x_0" localSheetId="68">'Div 4'!$P$77:$P$80</definedName>
    <definedName name="OSRRefP22_14x_0" localSheetId="2">Summary!$P$117</definedName>
    <definedName name="OSRRefP22_15x_0" localSheetId="41">'201'!$P$71</definedName>
    <definedName name="OSRRefP22_15x_0" localSheetId="48">'300'!$P$106</definedName>
    <definedName name="OSRRefP22_15x_0" localSheetId="49">'300 &amp; 317'!$P$112</definedName>
    <definedName name="OSRRefP22_15x_0" localSheetId="50">'301'!$P$71:$P$74</definedName>
    <definedName name="OSRRefP22_15x_0" localSheetId="63">'310'!$P$84:$P$85</definedName>
    <definedName name="OSRRefP22_15x_0" localSheetId="69">'310 &amp; 491'!$P$87</definedName>
    <definedName name="OSRRefP22_15x_0" localSheetId="57">'315'!$P$96:$P$99</definedName>
    <definedName name="OSRRefP22_15x_0" localSheetId="66">'325'!$P$82</definedName>
    <definedName name="OSRRefP22_15x_0" localSheetId="58">'326'!$P$81</definedName>
    <definedName name="OSRRefP22_15x_0" localSheetId="56">'331'!$P$94:$P$96</definedName>
    <definedName name="OSRRefP22_15x_0" localSheetId="54">'333'!$P$97:$P$99</definedName>
    <definedName name="OSRRefP22_15x_0" localSheetId="71">'405'!$P$86</definedName>
    <definedName name="OSRRefP22_15x_0" localSheetId="77">'415'!$P$85:$P$86</definedName>
    <definedName name="OSRRefP22_15x_0" localSheetId="84">'433'!$P$87</definedName>
    <definedName name="OSRRefP22_15x_0" localSheetId="86">'444'!$P$86</definedName>
    <definedName name="OSRRefP22_15x_0" localSheetId="87">'450'!$P$86</definedName>
    <definedName name="OSRRefP22_15x_0" localSheetId="70">'491'!$P$84</definedName>
    <definedName name="OSRRefP22_15x_0" localSheetId="82">'492'!$P$80:$P$87</definedName>
    <definedName name="OSRRefP22_15x_0" localSheetId="39">'Div 2'!$P$77:$P$78</definedName>
    <definedName name="OSRRefP22_15x_0" localSheetId="47">'Div 3'!$P$110</definedName>
    <definedName name="OSRRefP22_15x_0" localSheetId="68">'Div 4'!$P$82</definedName>
    <definedName name="OSRRefP22_15x_0" localSheetId="2">Summary!$P$119</definedName>
    <definedName name="OSRRefP22_16x_0" localSheetId="48">'300'!$P$108:$P$111</definedName>
    <definedName name="OSRRefP22_16x_0" localSheetId="49">'300 &amp; 317'!$P$114:$P$117</definedName>
    <definedName name="OSRRefP22_16x_0" localSheetId="50">'301'!$P$76:$P$77</definedName>
    <definedName name="OSRRefP22_16x_0" localSheetId="63">'310'!$P$87</definedName>
    <definedName name="OSRRefP22_16x_0" localSheetId="69">'310 &amp; 491'!$P$89:$P$98</definedName>
    <definedName name="OSRRefP22_16x_0" localSheetId="57">'315'!$P$101</definedName>
    <definedName name="OSRRefP22_16x_0" localSheetId="58">'326'!$P$83:$P$84</definedName>
    <definedName name="OSRRefP22_16x_0" localSheetId="56">'331'!$P$98:$P$99</definedName>
    <definedName name="OSRRefP22_16x_0" localSheetId="54">'333'!$P$101:$P$103</definedName>
    <definedName name="OSRRefP22_16x_0" localSheetId="77">'415'!$P$88</definedName>
    <definedName name="OSRRefP22_16x_0" localSheetId="86">'444'!$P$88</definedName>
    <definedName name="OSRRefP22_16x_0" localSheetId="87">'450'!$P$88</definedName>
    <definedName name="OSRRefP22_16x_0" localSheetId="70">'491'!$P$86:$P$95</definedName>
    <definedName name="OSRRefP22_16x_0" localSheetId="82">'492'!$P$89:$P$90</definedName>
    <definedName name="OSRRefP22_16x_0" localSheetId="39">'Div 2'!$P$80:$P$85</definedName>
    <definedName name="OSRRefP22_16x_0" localSheetId="47">'Div 3'!$P$112</definedName>
    <definedName name="OSRRefP22_16x_0" localSheetId="68">'Div 4'!$P$84:$P$88</definedName>
    <definedName name="OSRRefP22_16x_0" localSheetId="2">Summary!$P$121</definedName>
    <definedName name="OSRRefP22_17x_0" localSheetId="48">'300'!$P$113:$P$116</definedName>
    <definedName name="OSRRefP22_17x_0" localSheetId="49">'300 &amp; 317'!$P$119:$P$122</definedName>
    <definedName name="OSRRefP22_17x_0" localSheetId="50">'301'!$P$79</definedName>
    <definedName name="OSRRefP22_17x_0" localSheetId="63">'310'!$P$89</definedName>
    <definedName name="OSRRefP22_17x_0" localSheetId="69">'310 &amp; 491'!$P$100:$P$101</definedName>
    <definedName name="OSRRefP22_17x_0" localSheetId="57">'315'!$P$103</definedName>
    <definedName name="OSRRefP22_17x_0" localSheetId="58">'326'!$P$86</definedName>
    <definedName name="OSRRefP22_17x_0" localSheetId="56">'331'!$P$101:$P$102</definedName>
    <definedName name="OSRRefP22_17x_0" localSheetId="54">'333'!$P$105:$P$106</definedName>
    <definedName name="OSRRefP22_17x_0" localSheetId="77">'415'!$P$90</definedName>
    <definedName name="OSRRefP22_17x_0" localSheetId="70">'491'!$P$97:$P$98</definedName>
    <definedName name="OSRRefP22_17x_0" localSheetId="82">'492'!$P$92</definedName>
    <definedName name="OSRRefP22_17x_0" localSheetId="39">'Div 2'!$P$87:$P$88</definedName>
    <definedName name="OSRRefP22_17x_0" localSheetId="47">'Div 3'!$P$114:$P$117</definedName>
    <definedName name="OSRRefP22_17x_0" localSheetId="68">'Div 4'!$P$90:$P$91</definedName>
    <definedName name="OSRRefP22_17x_0" localSheetId="2">Summary!$P$123</definedName>
    <definedName name="OSRRefP22_18x_0" localSheetId="48">'300'!$P$118:$P$120</definedName>
    <definedName name="OSRRefP22_18x_0" localSheetId="49">'300 &amp; 317'!$P$124:$P$126</definedName>
    <definedName name="OSRRefP22_18x_0" localSheetId="50">'301'!$P$81:$P$86</definedName>
    <definedName name="OSRRefP22_18x_0" localSheetId="69">'310 &amp; 491'!$P$103</definedName>
    <definedName name="OSRRefP22_18x_0" localSheetId="56">'331'!$P$104:$P$108</definedName>
    <definedName name="OSRRefP22_18x_0" localSheetId="54">'333'!$P$108:$P$113</definedName>
    <definedName name="OSRRefP22_18x_0" localSheetId="70">'491'!$P$100</definedName>
    <definedName name="OSRRefP22_18x_0" localSheetId="82">'492'!$P$94:$P$95</definedName>
    <definedName name="OSRRefP22_18x_0" localSheetId="39">'Div 2'!$P$90</definedName>
    <definedName name="OSRRefP22_18x_0" localSheetId="47">'Div 3'!$P$119:$P$122</definedName>
    <definedName name="OSRRefP22_18x_0" localSheetId="68">'Div 4'!$P$93:$P$102</definedName>
    <definedName name="OSRRefP22_18x_0" localSheetId="2">Summary!$P$125:$P$128</definedName>
    <definedName name="OSRRefP22_19x_0" localSheetId="48">'300'!$P$122:$P$123</definedName>
    <definedName name="OSRRefP22_19x_0" localSheetId="49">'300 &amp; 317'!$P$128:$P$129</definedName>
    <definedName name="OSRRefP22_19x_0" localSheetId="50">'301'!$P$88</definedName>
    <definedName name="OSRRefP22_19x_0" localSheetId="69">'310 &amp; 491'!$P$105</definedName>
    <definedName name="OSRRefP22_19x_0" localSheetId="56">'331'!$P$110</definedName>
    <definedName name="OSRRefP22_19x_0" localSheetId="54">'333'!$P$115</definedName>
    <definedName name="OSRRefP22_19x_0" localSheetId="70">'491'!$P$102</definedName>
    <definedName name="OSRRefP22_19x_0" localSheetId="39">'Div 2'!$P$92:$P$93</definedName>
    <definedName name="OSRRefP22_19x_0" localSheetId="47">'Div 3'!$P$124:$P$127</definedName>
    <definedName name="OSRRefP22_19x_0" localSheetId="68">'Div 4'!$P$104:$P$105</definedName>
    <definedName name="OSRRefP22_19x_0" localSheetId="2">Summary!$P$130:$P$133</definedName>
    <definedName name="OSRRefP22_1x_0" localSheetId="40">'200'!$P$22</definedName>
    <definedName name="OSRRefP22_1x_0" localSheetId="41">'201'!$P$30:$P$39</definedName>
    <definedName name="OSRRefP22_1x_0" localSheetId="42">'202'!$P$30:$P$39</definedName>
    <definedName name="OSRRefP22_1x_0" localSheetId="43">'203'!$P$31:$P$40</definedName>
    <definedName name="OSRRefP22_1x_0" localSheetId="44">'204'!$P$30:$P$39</definedName>
    <definedName name="OSRRefP22_1x_0" localSheetId="45">'205'!$P$30:$P$39</definedName>
    <definedName name="OSRRefP22_1x_0" localSheetId="46">'206'!$P$30:$P$39</definedName>
    <definedName name="OSRRefP22_1x_0" localSheetId="48">'300'!$P$65:$P$74</definedName>
    <definedName name="OSRRefP22_1x_0" localSheetId="49">'300 &amp; 317'!$P$71:$P$80</definedName>
    <definedName name="OSRRefP22_1x_0" localSheetId="50">'301'!$P$32:$P$41</definedName>
    <definedName name="OSRRefP22_1x_0" localSheetId="55">'307'!$P$43:$P$52</definedName>
    <definedName name="OSRRefP22_1x_0" localSheetId="51">'308'!$P$46:$P$55</definedName>
    <definedName name="OSRRefP22_1x_0" localSheetId="64">'309'!$P$23</definedName>
    <definedName name="OSRRefP22_1x_0" localSheetId="63">'310'!$P$38:$P$47</definedName>
    <definedName name="OSRRefP22_1x_0" localSheetId="69">'310 &amp; 491'!$P$40:$P$49</definedName>
    <definedName name="OSRRefP22_1x_0" localSheetId="52">'311'!$P$46:$P$55</definedName>
    <definedName name="OSRRefP22_1x_0" localSheetId="57">'315'!$P$54:$P$63</definedName>
    <definedName name="OSRRefP22_1x_0" localSheetId="60">'316'!$P$37:$P$46</definedName>
    <definedName name="OSRRefP22_1x_0" localSheetId="62">'317'!$P$46:$P$55</definedName>
    <definedName name="OSRRefP22_1x_0" localSheetId="65">'321'!$P$35:$P$44</definedName>
    <definedName name="OSRRefP22_1x_0" localSheetId="66">'325'!$P$35:$P$44</definedName>
    <definedName name="OSRRefP22_1x_0" localSheetId="58">'326'!$P$38:$P$47</definedName>
    <definedName name="OSRRefP22_1x_0" localSheetId="67">'327'!$P$28</definedName>
    <definedName name="OSRRefP22_1x_0" localSheetId="56">'331'!$P$54:$P$63</definedName>
    <definedName name="OSRRefP22_1x_0" localSheetId="59">'332'!$P$37:$P$46</definedName>
    <definedName name="OSRRefP22_1x_0" localSheetId="54">'333'!$P$56:$P$65</definedName>
    <definedName name="OSRRefP22_1x_0" localSheetId="71">'405'!$P$37:$P$46</definedName>
    <definedName name="OSRRefP22_1x_0" localSheetId="72">'406'!$P$22</definedName>
    <definedName name="OSRRefP22_1x_0" localSheetId="73">'411'!$P$30:$P$39</definedName>
    <definedName name="OSRRefP22_1x_0" localSheetId="74">'412'!$P$22</definedName>
    <definedName name="OSRRefP22_1x_0" localSheetId="75">'413'!$P$22</definedName>
    <definedName name="OSRRefP22_1x_0" localSheetId="76">'414'!$P$22</definedName>
    <definedName name="OSRRefP22_1x_0" localSheetId="77">'415'!$P$37:$P$46</definedName>
    <definedName name="OSRRefP22_1x_0" localSheetId="78">'418'!$P$34:$P$43</definedName>
    <definedName name="OSRRefP22_1x_0" localSheetId="79">'423'!$P$29:$P$38</definedName>
    <definedName name="OSRRefP22_1x_0" localSheetId="80">'424'!$P$22</definedName>
    <definedName name="OSRRefP22_1x_0" localSheetId="81">'425'!$P$24</definedName>
    <definedName name="OSRRefP22_1x_0" localSheetId="83">'430'!$P$30:$P$39</definedName>
    <definedName name="OSRRefP22_1x_0" localSheetId="84">'433'!$P$38:$P$47</definedName>
    <definedName name="OSRRefP22_1x_0" localSheetId="86">'444'!$P$38:$P$47</definedName>
    <definedName name="OSRRefP22_1x_0" localSheetId="87">'450'!$P$38:$P$47</definedName>
    <definedName name="OSRRefP22_1x_0" localSheetId="70">'491'!$P$38:$P$47</definedName>
    <definedName name="OSRRefP22_1x_0" localSheetId="82">'492'!$P$38:$P$47</definedName>
    <definedName name="OSRRefP22_1x_0" localSheetId="89">'501'!$P$32:$P$41</definedName>
    <definedName name="OSRRefP22_1x_0" localSheetId="39">'Div 2'!$P$32:$P$41</definedName>
    <definedName name="OSRRefP22_1x_0" localSheetId="47">'Div 3'!$P$69:$P$78</definedName>
    <definedName name="OSRRefP22_1x_0" localSheetId="68">'Div 4'!$P$40:$P$49</definedName>
    <definedName name="OSRRefP22_1x_0" localSheetId="88">'Div 5'!$P$32:$P$41</definedName>
    <definedName name="OSRRefP22_1x_0" localSheetId="61">'Div 6'!$P$46:$P$55</definedName>
    <definedName name="OSRRefP22_1x_0" localSheetId="2">Summary!$P$77:$P$86</definedName>
    <definedName name="OSRRefP22_20x_0" localSheetId="48">'300'!$P$125:$P$131</definedName>
    <definedName name="OSRRefP22_20x_0" localSheetId="49">'300 &amp; 317'!$P$131:$P$137</definedName>
    <definedName name="OSRRefP22_20x_0" localSheetId="50">'301'!$P$90</definedName>
    <definedName name="OSRRefP22_20x_0" localSheetId="69">'310 &amp; 491'!$P$107</definedName>
    <definedName name="OSRRefP22_20x_0" localSheetId="56">'331'!$P$112:$P$113</definedName>
    <definedName name="OSRRefP22_20x_0" localSheetId="54">'333'!$P$117:$P$118</definedName>
    <definedName name="OSRRefP22_20x_0" localSheetId="70">'491'!$P$104</definedName>
    <definedName name="OSRRefP22_20x_0" localSheetId="47">'Div 3'!$P$129:$P$130</definedName>
    <definedName name="OSRRefP22_20x_0" localSheetId="68">'Div 4'!$P$107</definedName>
    <definedName name="OSRRefP22_20x_0" localSheetId="2">Summary!$P$135:$P$139</definedName>
    <definedName name="OSRRefP22_21x_0" localSheetId="48">'300'!$P$133:$P$134</definedName>
    <definedName name="OSRRefP22_21x_0" localSheetId="49">'300 &amp; 317'!$P$139:$P$140</definedName>
    <definedName name="OSRRefP22_21x_0" localSheetId="50">'301'!$P$92:$P$93</definedName>
    <definedName name="OSRRefP22_21x_0" localSheetId="56">'331'!$P$115</definedName>
    <definedName name="OSRRefP22_21x_0" localSheetId="54">'333'!$P$120</definedName>
    <definedName name="OSRRefP22_21x_0" localSheetId="47">'Div 3'!$P$132:$P$138</definedName>
    <definedName name="OSRRefP22_21x_0" localSheetId="68">'Div 4'!$P$109:$P$110</definedName>
    <definedName name="OSRRefP22_21x_0" localSheetId="2">Summary!$P$141:$P$142</definedName>
    <definedName name="OSRRefP22_22x_0" localSheetId="48">'300'!$P$136</definedName>
    <definedName name="OSRRefP22_22x_0" localSheetId="49">'300 &amp; 317'!$P$142</definedName>
    <definedName name="OSRRefP22_22x_0" localSheetId="50">'301'!$P$95</definedName>
    <definedName name="OSRRefP22_22x_0" localSheetId="47">'Div 3'!$P$140:$P$141</definedName>
    <definedName name="OSRRefP22_22x_0" localSheetId="68">'Div 4'!$P$112</definedName>
    <definedName name="OSRRefP22_22x_0" localSheetId="2">Summary!$P$144:$P$153</definedName>
    <definedName name="OSRRefP22_23x_0" localSheetId="48">'300'!$P$138:$P$140</definedName>
    <definedName name="OSRRefP22_23x_0" localSheetId="49">'300 &amp; 317'!$P$144:$P$146</definedName>
    <definedName name="OSRRefP22_23x_0" localSheetId="47">'Div 3'!$P$143</definedName>
    <definedName name="OSRRefP22_23x_0" localSheetId="2">Summary!$P$155:$P$156</definedName>
    <definedName name="OSRRefP22_24x_0" localSheetId="48">'300'!$P$142</definedName>
    <definedName name="OSRRefP22_24x_0" localSheetId="49">'300 &amp; 317'!$P$148</definedName>
    <definedName name="OSRRefP22_24x_0" localSheetId="47">'Div 3'!$P$145:$P$147</definedName>
    <definedName name="OSRRefP22_24x_0" localSheetId="2">Summary!$P$158</definedName>
    <definedName name="OSRRefP22_25x_0" localSheetId="47">'Div 3'!$P$149</definedName>
    <definedName name="OSRRefP22_25x_0" localSheetId="2">Summary!$P$160:$P$162</definedName>
    <definedName name="OSRRefP22_26x_0" localSheetId="2">Summary!$P$164</definedName>
    <definedName name="OSRRefP22_2x_0" localSheetId="40">'200'!$P$24</definedName>
    <definedName name="OSRRefP22_2x_0" localSheetId="41">'201'!$P$41</definedName>
    <definedName name="OSRRefP22_2x_0" localSheetId="42">'202'!$P$41</definedName>
    <definedName name="OSRRefP22_2x_0" localSheetId="43">'203'!$P$42</definedName>
    <definedName name="OSRRefP22_2x_0" localSheetId="44">'204'!$P$41</definedName>
    <definedName name="OSRRefP22_2x_0" localSheetId="45">'205'!$P$41</definedName>
    <definedName name="OSRRefP22_2x_0" localSheetId="46">'206'!$P$41</definedName>
    <definedName name="OSRRefP22_2x_0" localSheetId="48">'300'!$P$76</definedName>
    <definedName name="OSRRefP22_2x_0" localSheetId="49">'300 &amp; 317'!$P$82</definedName>
    <definedName name="OSRRefP22_2x_0" localSheetId="50">'301'!$P$43</definedName>
    <definedName name="OSRRefP22_2x_0" localSheetId="55">'307'!$P$54</definedName>
    <definedName name="OSRRefP22_2x_0" localSheetId="51">'308'!$P$57</definedName>
    <definedName name="OSRRefP22_2x_0" localSheetId="64">'309'!$P$25</definedName>
    <definedName name="OSRRefP22_2x_0" localSheetId="63">'310'!$P$49</definedName>
    <definedName name="OSRRefP22_2x_0" localSheetId="69">'310 &amp; 491'!$P$51</definedName>
    <definedName name="OSRRefP22_2x_0" localSheetId="52">'311'!$P$57</definedName>
    <definedName name="OSRRefP22_2x_0" localSheetId="57">'315'!$P$65</definedName>
    <definedName name="OSRRefP22_2x_0" localSheetId="60">'316'!$P$48</definedName>
    <definedName name="OSRRefP22_2x_0" localSheetId="62">'317'!$P$57</definedName>
    <definedName name="OSRRefP22_2x_0" localSheetId="65">'321'!$P$46</definedName>
    <definedName name="OSRRefP22_2x_0" localSheetId="66">'325'!$P$46</definedName>
    <definedName name="OSRRefP22_2x_0" localSheetId="58">'326'!$P$49</definedName>
    <definedName name="OSRRefP22_2x_0" localSheetId="56">'331'!$P$65</definedName>
    <definedName name="OSRRefP22_2x_0" localSheetId="59">'332'!$P$48</definedName>
    <definedName name="OSRRefP22_2x_0" localSheetId="54">'333'!$P$67</definedName>
    <definedName name="OSRRefP22_2x_0" localSheetId="71">'405'!$P$48</definedName>
    <definedName name="OSRRefP22_2x_0" localSheetId="73">'411'!$P$41</definedName>
    <definedName name="OSRRefP22_2x_0" localSheetId="74">'412'!$P$24</definedName>
    <definedName name="OSRRefP22_2x_0" localSheetId="75">'413'!$P$24</definedName>
    <definedName name="OSRRefP22_2x_0" localSheetId="76">'414'!$P$24</definedName>
    <definedName name="OSRRefP22_2x_0" localSheetId="77">'415'!$P$48</definedName>
    <definedName name="OSRRefP22_2x_0" localSheetId="78">'418'!$P$45</definedName>
    <definedName name="OSRRefP22_2x_0" localSheetId="79">'423'!$P$40</definedName>
    <definedName name="OSRRefP22_2x_0" localSheetId="80">'424'!$P$24</definedName>
    <definedName name="OSRRefP22_2x_0" localSheetId="81">'425'!$P$26</definedName>
    <definedName name="OSRRefP22_2x_0" localSheetId="83">'430'!$P$41</definedName>
    <definedName name="OSRRefP22_2x_0" localSheetId="84">'433'!$P$49</definedName>
    <definedName name="OSRRefP22_2x_0" localSheetId="86">'444'!$P$49</definedName>
    <definedName name="OSRRefP22_2x_0" localSheetId="87">'450'!$P$49</definedName>
    <definedName name="OSRRefP22_2x_0" localSheetId="70">'491'!$P$49</definedName>
    <definedName name="OSRRefP22_2x_0" localSheetId="82">'492'!$P$49</definedName>
    <definedName name="OSRRefP22_2x_0" localSheetId="89">'501'!$P$43</definedName>
    <definedName name="OSRRefP22_2x_0" localSheetId="39">'Div 2'!$P$43</definedName>
    <definedName name="OSRRefP22_2x_0" localSheetId="47">'Div 3'!$P$80</definedName>
    <definedName name="OSRRefP22_2x_0" localSheetId="68">'Div 4'!$P$51</definedName>
    <definedName name="OSRRefP22_2x_0" localSheetId="88">'Div 5'!$P$43</definedName>
    <definedName name="OSRRefP22_2x_0" localSheetId="61">'Div 6'!$P$57</definedName>
    <definedName name="OSRRefP22_2x_0" localSheetId="2">Summary!$P$88</definedName>
    <definedName name="OSRRefP22_3x_0" localSheetId="40">'200'!$P$26:$P$27</definedName>
    <definedName name="OSRRefP22_3x_0" localSheetId="41">'201'!$P$43</definedName>
    <definedName name="OSRRefP22_3x_0" localSheetId="42">'202'!$P$43</definedName>
    <definedName name="OSRRefP22_3x_0" localSheetId="43">'203'!$P$44</definedName>
    <definedName name="OSRRefP22_3x_0" localSheetId="44">'204'!$P$43:$P$44</definedName>
    <definedName name="OSRRefP22_3x_0" localSheetId="45">'205'!$P$43</definedName>
    <definedName name="OSRRefP22_3x_0" localSheetId="46">'206'!$P$43</definedName>
    <definedName name="OSRRefP22_3x_0" localSheetId="48">'300'!$P$78</definedName>
    <definedName name="OSRRefP22_3x_0" localSheetId="49">'300 &amp; 317'!$P$84</definedName>
    <definedName name="OSRRefP22_3x_0" localSheetId="50">'301'!$P$45</definedName>
    <definedName name="OSRRefP22_3x_0" localSheetId="55">'307'!$P$56</definedName>
    <definedName name="OSRRefP22_3x_0" localSheetId="51">'308'!$P$59</definedName>
    <definedName name="OSRRefP22_3x_0" localSheetId="64">'309'!$P$27</definedName>
    <definedName name="OSRRefP22_3x_0" localSheetId="63">'310'!$P$51</definedName>
    <definedName name="OSRRefP22_3x_0" localSheetId="69">'310 &amp; 491'!$P$53</definedName>
    <definedName name="OSRRefP22_3x_0" localSheetId="52">'311'!$P$59</definedName>
    <definedName name="OSRRefP22_3x_0" localSheetId="57">'315'!$P$67</definedName>
    <definedName name="OSRRefP22_3x_0" localSheetId="60">'316'!$P$50</definedName>
    <definedName name="OSRRefP22_3x_0" localSheetId="62">'317'!$P$59</definedName>
    <definedName name="OSRRefP22_3x_0" localSheetId="65">'321'!$P$48</definedName>
    <definedName name="OSRRefP22_3x_0" localSheetId="66">'325'!$P$48</definedName>
    <definedName name="OSRRefP22_3x_0" localSheetId="58">'326'!$P$51</definedName>
    <definedName name="OSRRefP22_3x_0" localSheetId="56">'331'!$P$67</definedName>
    <definedName name="OSRRefP22_3x_0" localSheetId="59">'332'!$P$50</definedName>
    <definedName name="OSRRefP22_3x_0" localSheetId="54">'333'!$P$69</definedName>
    <definedName name="OSRRefP22_3x_0" localSheetId="71">'405'!$P$50</definedName>
    <definedName name="OSRRefP22_3x_0" localSheetId="73">'411'!$P$43:$P$44</definedName>
    <definedName name="OSRRefP22_3x_0" localSheetId="74">'412'!$P$26</definedName>
    <definedName name="OSRRefP22_3x_0" localSheetId="77">'415'!$P$50</definedName>
    <definedName name="OSRRefP22_3x_0" localSheetId="78">'418'!$P$47</definedName>
    <definedName name="OSRRefP22_3x_0" localSheetId="79">'423'!$P$42</definedName>
    <definedName name="OSRRefP22_3x_0" localSheetId="81">'425'!$P$28</definedName>
    <definedName name="OSRRefP22_3x_0" localSheetId="83">'430'!$P$43</definedName>
    <definedName name="OSRRefP22_3x_0" localSheetId="84">'433'!$P$51</definedName>
    <definedName name="OSRRefP22_3x_0" localSheetId="86">'444'!$P$51</definedName>
    <definedName name="OSRRefP22_3x_0" localSheetId="87">'450'!$P$51</definedName>
    <definedName name="OSRRefP22_3x_0" localSheetId="70">'491'!$P$51</definedName>
    <definedName name="OSRRefP22_3x_0" localSheetId="82">'492'!$P$51</definedName>
    <definedName name="OSRRefP22_3x_0" localSheetId="89">'501'!$P$45</definedName>
    <definedName name="OSRRefP22_3x_0" localSheetId="39">'Div 2'!$P$45</definedName>
    <definedName name="OSRRefP22_3x_0" localSheetId="47">'Div 3'!$P$82</definedName>
    <definedName name="OSRRefP22_3x_0" localSheetId="68">'Div 4'!$P$53</definedName>
    <definedName name="OSRRefP22_3x_0" localSheetId="88">'Div 5'!$P$45</definedName>
    <definedName name="OSRRefP22_3x_0" localSheetId="61">'Div 6'!$P$59</definedName>
    <definedName name="OSRRefP22_3x_0" localSheetId="2">Summary!$P$90</definedName>
    <definedName name="OSRRefP22_4x_0" localSheetId="41">'201'!$P$45</definedName>
    <definedName name="OSRRefP22_4x_0" localSheetId="42">'202'!$P$45</definedName>
    <definedName name="OSRRefP22_4x_0" localSheetId="43">'203'!$P$46</definedName>
    <definedName name="OSRRefP22_4x_0" localSheetId="44">'204'!$P$46</definedName>
    <definedName name="OSRRefP22_4x_0" localSheetId="45">'205'!$P$45:$P$46</definedName>
    <definedName name="OSRRefP22_4x_0" localSheetId="46">'206'!$P$45:$P$46</definedName>
    <definedName name="OSRRefP22_4x_0" localSheetId="48">'300'!$P$80</definedName>
    <definedName name="OSRRefP22_4x_0" localSheetId="49">'300 &amp; 317'!$P$86</definedName>
    <definedName name="OSRRefP22_4x_0" localSheetId="50">'301'!$P$47</definedName>
    <definedName name="OSRRefP22_4x_0" localSheetId="55">'307'!$P$58</definedName>
    <definedName name="OSRRefP22_4x_0" localSheetId="51">'308'!$P$61</definedName>
    <definedName name="OSRRefP22_4x_0" localSheetId="64">'309'!$P$29</definedName>
    <definedName name="OSRRefP22_4x_0" localSheetId="63">'310'!$P$53</definedName>
    <definedName name="OSRRefP22_4x_0" localSheetId="69">'310 &amp; 491'!$P$55</definedName>
    <definedName name="OSRRefP22_4x_0" localSheetId="52">'311'!$P$61</definedName>
    <definedName name="OSRRefP22_4x_0" localSheetId="57">'315'!$P$69</definedName>
    <definedName name="OSRRefP22_4x_0" localSheetId="60">'316'!$P$52</definedName>
    <definedName name="OSRRefP22_4x_0" localSheetId="62">'317'!$P$61</definedName>
    <definedName name="OSRRefP22_4x_0" localSheetId="65">'321'!$P$50</definedName>
    <definedName name="OSRRefP22_4x_0" localSheetId="66">'325'!$P$50</definedName>
    <definedName name="OSRRefP22_4x_0" localSheetId="58">'326'!$P$53</definedName>
    <definedName name="OSRRefP22_4x_0" localSheetId="56">'331'!$P$69</definedName>
    <definedName name="OSRRefP22_4x_0" localSheetId="59">'332'!$P$52</definedName>
    <definedName name="OSRRefP22_4x_0" localSheetId="54">'333'!$P$71</definedName>
    <definedName name="OSRRefP22_4x_0" localSheetId="71">'405'!$P$52</definedName>
    <definedName name="OSRRefP22_4x_0" localSheetId="73">'411'!$P$46</definedName>
    <definedName name="OSRRefP22_4x_0" localSheetId="77">'415'!$P$52</definedName>
    <definedName name="OSRRefP22_4x_0" localSheetId="78">'418'!$P$49:$P$50</definedName>
    <definedName name="OSRRefP22_4x_0" localSheetId="79">'423'!$P$44</definedName>
    <definedName name="OSRRefP22_4x_0" localSheetId="81">'425'!$P$30</definedName>
    <definedName name="OSRRefP22_4x_0" localSheetId="83">'430'!$P$45</definedName>
    <definedName name="OSRRefP22_4x_0" localSheetId="84">'433'!$P$53</definedName>
    <definedName name="OSRRefP22_4x_0" localSheetId="86">'444'!$P$53</definedName>
    <definedName name="OSRRefP22_4x_0" localSheetId="87">'450'!$P$53</definedName>
    <definedName name="OSRRefP22_4x_0" localSheetId="70">'491'!$P$53</definedName>
    <definedName name="OSRRefP22_4x_0" localSheetId="82">'492'!$P$53</definedName>
    <definedName name="OSRRefP22_4x_0" localSheetId="89">'501'!$P$47</definedName>
    <definedName name="OSRRefP22_4x_0" localSheetId="39">'Div 2'!$P$47</definedName>
    <definedName name="OSRRefP22_4x_0" localSheetId="47">'Div 3'!$P$84</definedName>
    <definedName name="OSRRefP22_4x_0" localSheetId="68">'Div 4'!$P$55</definedName>
    <definedName name="OSRRefP22_4x_0" localSheetId="88">'Div 5'!$P$47</definedName>
    <definedName name="OSRRefP22_4x_0" localSheetId="61">'Div 6'!$P$61</definedName>
    <definedName name="OSRRefP22_4x_0" localSheetId="2">Summary!$P$92</definedName>
    <definedName name="OSRRefP22_5x_0" localSheetId="41">'201'!$P$47</definedName>
    <definedName name="OSRRefP22_5x_0" localSheetId="42">'202'!$P$47</definedName>
    <definedName name="OSRRefP22_5x_0" localSheetId="43">'203'!$P$48</definedName>
    <definedName name="OSRRefP22_5x_0" localSheetId="44">'204'!$P$48:$P$51</definedName>
    <definedName name="OSRRefP22_5x_0" localSheetId="45">'205'!$P$48</definedName>
    <definedName name="OSRRefP22_5x_0" localSheetId="46">'206'!$P$48</definedName>
    <definedName name="OSRRefP22_5x_0" localSheetId="48">'300'!$P$82:$P$83</definedName>
    <definedName name="OSRRefP22_5x_0" localSheetId="49">'300 &amp; 317'!$P$88:$P$89</definedName>
    <definedName name="OSRRefP22_5x_0" localSheetId="50">'301'!$P$49:$P$50</definedName>
    <definedName name="OSRRefP22_5x_0" localSheetId="55">'307'!$P$60:$P$61</definedName>
    <definedName name="OSRRefP22_5x_0" localSheetId="51">'308'!$P$63</definedName>
    <definedName name="OSRRefP22_5x_0" localSheetId="64">'309'!$P$31:$P$32</definedName>
    <definedName name="OSRRefP22_5x_0" localSheetId="63">'310'!$P$55:$P$56</definedName>
    <definedName name="OSRRefP22_5x_0" localSheetId="69">'310 &amp; 491'!$P$57:$P$58</definedName>
    <definedName name="OSRRefP22_5x_0" localSheetId="52">'311'!$P$63</definedName>
    <definedName name="OSRRefP22_5x_0" localSheetId="57">'315'!$P$71</definedName>
    <definedName name="OSRRefP22_5x_0" localSheetId="60">'316'!$P$54:$P$55</definedName>
    <definedName name="OSRRefP22_5x_0" localSheetId="62">'317'!$P$63</definedName>
    <definedName name="OSRRefP22_5x_0" localSheetId="65">'321'!$P$52</definedName>
    <definedName name="OSRRefP22_5x_0" localSheetId="66">'325'!$P$52:$P$53</definedName>
    <definedName name="OSRRefP22_5x_0" localSheetId="58">'326'!$P$55</definedName>
    <definedName name="OSRRefP22_5x_0" localSheetId="56">'331'!$P$71</definedName>
    <definedName name="OSRRefP22_5x_0" localSheetId="59">'332'!$P$54:$P$55</definedName>
    <definedName name="OSRRefP22_5x_0" localSheetId="54">'333'!$P$73:$P$74</definedName>
    <definedName name="OSRRefP22_5x_0" localSheetId="71">'405'!$P$54:$P$55</definedName>
    <definedName name="OSRRefP22_5x_0" localSheetId="73">'411'!$P$48</definedName>
    <definedName name="OSRRefP22_5x_0" localSheetId="77">'415'!$P$54:$P$55</definedName>
    <definedName name="OSRRefP22_5x_0" localSheetId="78">'418'!$P$52</definedName>
    <definedName name="OSRRefP22_5x_0" localSheetId="79">'423'!$P$46</definedName>
    <definedName name="OSRRefP22_5x_0" localSheetId="81">'425'!$P$32</definedName>
    <definedName name="OSRRefP22_5x_0" localSheetId="83">'430'!$P$47:$P$48</definedName>
    <definedName name="OSRRefP22_5x_0" localSheetId="84">'433'!$P$55</definedName>
    <definedName name="OSRRefP22_5x_0" localSheetId="86">'444'!$P$55</definedName>
    <definedName name="OSRRefP22_5x_0" localSheetId="87">'450'!$P$55</definedName>
    <definedName name="OSRRefP22_5x_0" localSheetId="70">'491'!$P$55:$P$56</definedName>
    <definedName name="OSRRefP22_5x_0" localSheetId="82">'492'!$P$55</definedName>
    <definedName name="OSRRefP22_5x_0" localSheetId="89">'501'!$P$49:$P$50</definedName>
    <definedName name="OSRRefP22_5x_0" localSheetId="39">'Div 2'!$P$49:$P$50</definedName>
    <definedName name="OSRRefP22_5x_0" localSheetId="47">'Div 3'!$P$86:$P$87</definedName>
    <definedName name="OSRRefP22_5x_0" localSheetId="68">'Div 4'!$P$57:$P$58</definedName>
    <definedName name="OSRRefP22_5x_0" localSheetId="88">'Div 5'!$P$49:$P$50</definedName>
    <definedName name="OSRRefP22_5x_0" localSheetId="61">'Div 6'!$P$63</definedName>
    <definedName name="OSRRefP22_5x_0" localSheetId="2">Summary!$P$94:$P$95</definedName>
    <definedName name="OSRRefP22_6x_0" localSheetId="41">'201'!$P$49</definedName>
    <definedName name="OSRRefP22_6x_0" localSheetId="42">'202'!$P$49</definedName>
    <definedName name="OSRRefP22_6x_0" localSheetId="43">'203'!$P$50</definedName>
    <definedName name="OSRRefP22_6x_0" localSheetId="44">'204'!$P$53:$P$54</definedName>
    <definedName name="OSRRefP22_6x_0" localSheetId="45">'205'!$P$50:$P$52</definedName>
    <definedName name="OSRRefP22_6x_0" localSheetId="46">'206'!$P$50:$P$51</definedName>
    <definedName name="OSRRefP22_6x_0" localSheetId="48">'300'!$P$85:$P$86</definedName>
    <definedName name="OSRRefP22_6x_0" localSheetId="49">'300 &amp; 317'!$P$91:$P$92</definedName>
    <definedName name="OSRRefP22_6x_0" localSheetId="50">'301'!$P$52:$P$53</definedName>
    <definedName name="OSRRefP22_6x_0" localSheetId="55">'307'!$P$63</definedName>
    <definedName name="OSRRefP22_6x_0" localSheetId="51">'308'!$P$65:$P$66</definedName>
    <definedName name="OSRRefP22_6x_0" localSheetId="64">'309'!$P$34:$P$35</definedName>
    <definedName name="OSRRefP22_6x_0" localSheetId="63">'310'!$P$58</definedName>
    <definedName name="OSRRefP22_6x_0" localSheetId="69">'310 &amp; 491'!$P$60</definedName>
    <definedName name="OSRRefP22_6x_0" localSheetId="52">'311'!$P$65:$P$66</definedName>
    <definedName name="OSRRefP22_6x_0" localSheetId="57">'315'!$P$73</definedName>
    <definedName name="OSRRefP22_6x_0" localSheetId="60">'316'!$P$57</definedName>
    <definedName name="OSRRefP22_6x_0" localSheetId="62">'317'!$P$65</definedName>
    <definedName name="OSRRefP22_6x_0" localSheetId="65">'321'!$P$54:$P$55</definedName>
    <definedName name="OSRRefP22_6x_0" localSheetId="66">'325'!$P$55</definedName>
    <definedName name="OSRRefP22_6x_0" localSheetId="58">'326'!$P$57:$P$58</definedName>
    <definedName name="OSRRefP22_6x_0" localSheetId="56">'331'!$P$73</definedName>
    <definedName name="OSRRefP22_6x_0" localSheetId="59">'332'!$P$57</definedName>
    <definedName name="OSRRefP22_6x_0" localSheetId="54">'333'!$P$76</definedName>
    <definedName name="OSRRefP22_6x_0" localSheetId="71">'405'!$P$57</definedName>
    <definedName name="OSRRefP22_6x_0" localSheetId="73">'411'!$P$50</definedName>
    <definedName name="OSRRefP22_6x_0" localSheetId="77">'415'!$P$57</definedName>
    <definedName name="OSRRefP22_6x_0" localSheetId="78">'418'!$P$54</definedName>
    <definedName name="OSRRefP22_6x_0" localSheetId="83">'430'!$P$50:$P$51</definedName>
    <definedName name="OSRRefP22_6x_0" localSheetId="84">'433'!$P$57</definedName>
    <definedName name="OSRRefP22_6x_0" localSheetId="86">'444'!$P$57</definedName>
    <definedName name="OSRRefP22_6x_0" localSheetId="87">'450'!$P$57</definedName>
    <definedName name="OSRRefP22_6x_0" localSheetId="70">'491'!$P$58</definedName>
    <definedName name="OSRRefP22_6x_0" localSheetId="82">'492'!$P$57</definedName>
    <definedName name="OSRRefP22_6x_0" localSheetId="89">'501'!$P$52</definedName>
    <definedName name="OSRRefP22_6x_0" localSheetId="39">'Div 2'!$P$52</definedName>
    <definedName name="OSRRefP22_6x_0" localSheetId="47">'Div 3'!$P$89:$P$90</definedName>
    <definedName name="OSRRefP22_6x_0" localSheetId="68">'Div 4'!$P$60</definedName>
    <definedName name="OSRRefP22_6x_0" localSheetId="88">'Div 5'!$P$52</definedName>
    <definedName name="OSRRefP22_6x_0" localSheetId="61">'Div 6'!$P$65</definedName>
    <definedName name="OSRRefP22_6x_0" localSheetId="2">Summary!$P$97:$P$98</definedName>
    <definedName name="OSRRefP22_7x_0" localSheetId="41">'201'!$P$51</definedName>
    <definedName name="OSRRefP22_7x_0" localSheetId="42">'202'!$P$51:$P$53</definedName>
    <definedName name="OSRRefP22_7x_0" localSheetId="43">'203'!$P$52</definedName>
    <definedName name="OSRRefP22_7x_0" localSheetId="44">'204'!$P$56</definedName>
    <definedName name="OSRRefP22_7x_0" localSheetId="45">'205'!$P$54</definedName>
    <definedName name="OSRRefP22_7x_0" localSheetId="46">'206'!$P$53</definedName>
    <definedName name="OSRRefP22_7x_0" localSheetId="48">'300'!$P$88</definedName>
    <definedName name="OSRRefP22_7x_0" localSheetId="49">'300 &amp; 317'!$P$94</definedName>
    <definedName name="OSRRefP22_7x_0" localSheetId="50">'301'!$P$55</definedName>
    <definedName name="OSRRefP22_7x_0" localSheetId="55">'307'!$P$65</definedName>
    <definedName name="OSRRefP22_7x_0" localSheetId="51">'308'!$P$68</definedName>
    <definedName name="OSRRefP22_7x_0" localSheetId="64">'309'!$P$37:$P$38</definedName>
    <definedName name="OSRRefP22_7x_0" localSheetId="63">'310'!$P$60</definedName>
    <definedName name="OSRRefP22_7x_0" localSheetId="69">'310 &amp; 491'!$P$62</definedName>
    <definedName name="OSRRefP22_7x_0" localSheetId="52">'311'!$P$68</definedName>
    <definedName name="OSRRefP22_7x_0" localSheetId="57">'315'!$P$75</definedName>
    <definedName name="OSRRefP22_7x_0" localSheetId="60">'316'!$P$59:$P$61</definedName>
    <definedName name="OSRRefP22_7x_0" localSheetId="62">'317'!$P$67</definedName>
    <definedName name="OSRRefP22_7x_0" localSheetId="65">'321'!$P$57</definedName>
    <definedName name="OSRRefP22_7x_0" localSheetId="66">'325'!$P$57</definedName>
    <definedName name="OSRRefP22_7x_0" localSheetId="58">'326'!$P$60</definedName>
    <definedName name="OSRRefP22_7x_0" localSheetId="56">'331'!$P$75</definedName>
    <definedName name="OSRRefP22_7x_0" localSheetId="59">'332'!$P$59:$P$61</definedName>
    <definedName name="OSRRefP22_7x_0" localSheetId="54">'333'!$P$78</definedName>
    <definedName name="OSRRefP22_7x_0" localSheetId="71">'405'!$P$59</definedName>
    <definedName name="OSRRefP22_7x_0" localSheetId="73">'411'!$P$52</definedName>
    <definedName name="OSRRefP22_7x_0" localSheetId="77">'415'!$P$59</definedName>
    <definedName name="OSRRefP22_7x_0" localSheetId="78">'418'!$P$56:$P$57</definedName>
    <definedName name="OSRRefP22_7x_0" localSheetId="83">'430'!$P$53</definedName>
    <definedName name="OSRRefP22_7x_0" localSheetId="84">'433'!$P$59</definedName>
    <definedName name="OSRRefP22_7x_0" localSheetId="86">'444'!$P$59</definedName>
    <definedName name="OSRRefP22_7x_0" localSheetId="87">'450'!$P$59</definedName>
    <definedName name="OSRRefP22_7x_0" localSheetId="70">'491'!$P$60</definedName>
    <definedName name="OSRRefP22_7x_0" localSheetId="82">'492'!$P$59</definedName>
    <definedName name="OSRRefP22_7x_0" localSheetId="89">'501'!$P$54</definedName>
    <definedName name="OSRRefP22_7x_0" localSheetId="39">'Div 2'!$P$54</definedName>
    <definedName name="OSRRefP22_7x_0" localSheetId="47">'Div 3'!$P$92</definedName>
    <definedName name="OSRRefP22_7x_0" localSheetId="68">'Div 4'!$P$62</definedName>
    <definedName name="OSRRefP22_7x_0" localSheetId="88">'Div 5'!$P$54</definedName>
    <definedName name="OSRRefP22_7x_0" localSheetId="61">'Div 6'!$P$67</definedName>
    <definedName name="OSRRefP22_7x_0" localSheetId="2">Summary!$P$100</definedName>
    <definedName name="OSRRefP22_8x_0" localSheetId="41">'201'!$P$53</definedName>
    <definedName name="OSRRefP22_8x_0" localSheetId="42">'202'!$P$55</definedName>
    <definedName name="OSRRefP22_8x_0" localSheetId="43">'203'!$P$54:$P$56</definedName>
    <definedName name="OSRRefP22_8x_0" localSheetId="44">'204'!$P$58:$P$59</definedName>
    <definedName name="OSRRefP22_8x_0" localSheetId="48">'300'!$P$90</definedName>
    <definedName name="OSRRefP22_8x_0" localSheetId="49">'300 &amp; 317'!$P$96</definedName>
    <definedName name="OSRRefP22_8x_0" localSheetId="50">'301'!$P$57</definedName>
    <definedName name="OSRRefP22_8x_0" localSheetId="55">'307'!$P$67</definedName>
    <definedName name="OSRRefP22_8x_0" localSheetId="51">'308'!$P$70</definedName>
    <definedName name="OSRRefP22_8x_0" localSheetId="64">'309'!$P$40</definedName>
    <definedName name="OSRRefP22_8x_0" localSheetId="63">'310'!$P$62</definedName>
    <definedName name="OSRRefP22_8x_0" localSheetId="69">'310 &amp; 491'!$P$64:$P$65</definedName>
    <definedName name="OSRRefP22_8x_0" localSheetId="52">'311'!$P$70</definedName>
    <definedName name="OSRRefP22_8x_0" localSheetId="57">'315'!$P$77:$P$78</definedName>
    <definedName name="OSRRefP22_8x_0" localSheetId="60">'316'!$P$63</definedName>
    <definedName name="OSRRefP22_8x_0" localSheetId="62">'317'!$P$69:$P$70</definedName>
    <definedName name="OSRRefP22_8x_0" localSheetId="65">'321'!$P$59:$P$60</definedName>
    <definedName name="OSRRefP22_8x_0" localSheetId="66">'325'!$P$59</definedName>
    <definedName name="OSRRefP22_8x_0" localSheetId="58">'326'!$P$62</definedName>
    <definedName name="OSRRefP22_8x_0" localSheetId="56">'331'!$P$77:$P$78</definedName>
    <definedName name="OSRRefP22_8x_0" localSheetId="59">'332'!$P$63</definedName>
    <definedName name="OSRRefP22_8x_0" localSheetId="54">'333'!$P$80:$P$81</definedName>
    <definedName name="OSRRefP22_8x_0" localSheetId="71">'405'!$P$61</definedName>
    <definedName name="OSRRefP22_8x_0" localSheetId="73">'411'!$P$54:$P$57</definedName>
    <definedName name="OSRRefP22_8x_0" localSheetId="77">'415'!$P$61</definedName>
    <definedName name="OSRRefP22_8x_0" localSheetId="78">'418'!$P$59:$P$60</definedName>
    <definedName name="OSRRefP22_8x_0" localSheetId="83">'430'!$P$55</definedName>
    <definedName name="OSRRefP22_8x_0" localSheetId="84">'433'!$P$61</definedName>
    <definedName name="OSRRefP22_8x_0" localSheetId="86">'444'!$P$61</definedName>
    <definedName name="OSRRefP22_8x_0" localSheetId="87">'450'!$P$61</definedName>
    <definedName name="OSRRefP22_8x_0" localSheetId="70">'491'!$P$62:$P$63</definedName>
    <definedName name="OSRRefP22_8x_0" localSheetId="82">'492'!$P$61</definedName>
    <definedName name="OSRRefP22_8x_0" localSheetId="89">'501'!$P$56</definedName>
    <definedName name="OSRRefP22_8x_0" localSheetId="39">'Div 2'!$P$56</definedName>
    <definedName name="OSRRefP22_8x_0" localSheetId="47">'Div 3'!$P$94</definedName>
    <definedName name="OSRRefP22_8x_0" localSheetId="68">'Div 4'!$P$64</definedName>
    <definedName name="OSRRefP22_8x_0" localSheetId="88">'Div 5'!$P$56</definedName>
    <definedName name="OSRRefP22_8x_0" localSheetId="61">'Div 6'!$P$69:$P$70</definedName>
    <definedName name="OSRRefP22_8x_0" localSheetId="2">Summary!$P$102</definedName>
    <definedName name="OSRRefP22_9x_0" localSheetId="41">'201'!$P$55:$P$57</definedName>
    <definedName name="OSRRefP22_9x_0" localSheetId="42">'202'!$P$57</definedName>
    <definedName name="OSRRefP22_9x_0" localSheetId="43">'203'!$P$58:$P$59</definedName>
    <definedName name="OSRRefP22_9x_0" localSheetId="44">'204'!$P$61</definedName>
    <definedName name="OSRRefP22_9x_0" localSheetId="48">'300'!$P$92</definedName>
    <definedName name="OSRRefP22_9x_0" localSheetId="49">'300 &amp; 317'!$P$98</definedName>
    <definedName name="OSRRefP22_9x_0" localSheetId="50">'301'!$P$59</definedName>
    <definedName name="OSRRefP22_9x_0" localSheetId="55">'307'!$P$69:$P$70</definedName>
    <definedName name="OSRRefP22_9x_0" localSheetId="51">'308'!$P$72:$P$74</definedName>
    <definedName name="OSRRefP22_9x_0" localSheetId="63">'310'!$P$64</definedName>
    <definedName name="OSRRefP22_9x_0" localSheetId="69">'310 &amp; 491'!$P$67</definedName>
    <definedName name="OSRRefP22_9x_0" localSheetId="52">'311'!$P$72:$P$74</definedName>
    <definedName name="OSRRefP22_9x_0" localSheetId="57">'315'!$P$80</definedName>
    <definedName name="OSRRefP22_9x_0" localSheetId="60">'316'!$P$65:$P$68</definedName>
    <definedName name="OSRRefP22_9x_0" localSheetId="62">'317'!$P$72</definedName>
    <definedName name="OSRRefP22_9x_0" localSheetId="65">'321'!$P$62:$P$65</definedName>
    <definedName name="OSRRefP22_9x_0" localSheetId="66">'325'!$P$61</definedName>
    <definedName name="OSRRefP22_9x_0" localSheetId="58">'326'!$P$64</definedName>
    <definedName name="OSRRefP22_9x_0" localSheetId="56">'331'!$P$80:$P$81</definedName>
    <definedName name="OSRRefP22_9x_0" localSheetId="59">'332'!$P$65:$P$68</definedName>
    <definedName name="OSRRefP22_9x_0" localSheetId="54">'333'!$P$83:$P$84</definedName>
    <definedName name="OSRRefP22_9x_0" localSheetId="71">'405'!$P$63:$P$64</definedName>
    <definedName name="OSRRefP22_9x_0" localSheetId="73">'411'!$P$59:$P$61</definedName>
    <definedName name="OSRRefP22_9x_0" localSheetId="77">'415'!$P$63</definedName>
    <definedName name="OSRRefP22_9x_0" localSheetId="78">'418'!$P$62:$P$65</definedName>
    <definedName name="OSRRefP22_9x_0" localSheetId="84">'433'!$P$63</definedName>
    <definedName name="OSRRefP22_9x_0" localSheetId="86">'444'!$P$63</definedName>
    <definedName name="OSRRefP22_9x_0" localSheetId="87">'450'!$P$63</definedName>
    <definedName name="OSRRefP22_9x_0" localSheetId="70">'491'!$P$65</definedName>
    <definedName name="OSRRefP22_9x_0" localSheetId="82">'492'!$P$63</definedName>
    <definedName name="OSRRefP22_9x_0" localSheetId="89">'501'!$P$58:$P$60</definedName>
    <definedName name="OSRRefP22_9x_0" localSheetId="39">'Div 2'!$P$58</definedName>
    <definedName name="OSRRefP22_9x_0" localSheetId="47">'Div 3'!$P$96</definedName>
    <definedName name="OSRRefP22_9x_0" localSheetId="68">'Div 4'!$P$66:$P$67</definedName>
    <definedName name="OSRRefP22_9x_0" localSheetId="88">'Div 5'!$P$58:$P$60</definedName>
    <definedName name="OSRRefP22_9x_0" localSheetId="61">'Div 6'!$P$72</definedName>
    <definedName name="OSRRefP22_9x_0" localSheetId="2">Summary!$P$104</definedName>
    <definedName name="OSRRefP22x_0" localSheetId="40">'200'!$P$20,'200'!$P$22,'200'!$P$24,'200'!$P$26:$P$27</definedName>
    <definedName name="OSRRefP22x_0" localSheetId="41">'201'!$P$20:$P$28,'201'!$P$30:$P$39,'201'!$P$41,'201'!$P$43,'201'!$P$45,'201'!$P$47,'201'!$P$49,'201'!$P$51,'201'!$P$53,'201'!$P$55:$P$57,'201'!$P$59:$P$60,'201'!$P$62,'201'!$P$64:$P$65,'201'!$P$67,'201'!$P$69,'201'!$P$71</definedName>
    <definedName name="OSRRefP22x_0" localSheetId="42">'202'!$P$20:$P$28,'202'!$P$30:$P$39,'202'!$P$41,'202'!$P$43,'202'!$P$45,'202'!$P$47,'202'!$P$49,'202'!$P$51:$P$53,'202'!$P$55,'202'!$P$57,'202'!$P$59,'202'!$P$61,'202'!$P$63</definedName>
    <definedName name="OSRRefP22x_0" localSheetId="43">'203'!$P$20:$P$29,'203'!$P$31:$P$40,'203'!$P$42,'203'!$P$44,'203'!$P$46,'203'!$P$48,'203'!$P$50,'203'!$P$52,'203'!$P$54:$P$56,'203'!$P$58:$P$59,'203'!$P$61,'203'!$P$63:$P$66,'203'!$P$68,'203'!$P$70,'203'!$P$72</definedName>
    <definedName name="OSRRefP22x_0" localSheetId="44">'204'!$P$20:$P$28,'204'!$P$30:$P$39,'204'!$P$41,'204'!$P$43:$P$44,'204'!$P$46,'204'!$P$48:$P$51,'204'!$P$53:$P$54,'204'!$P$56,'204'!$P$58:$P$59,'204'!$P$61,'204'!$P$63</definedName>
    <definedName name="OSRRefP22x_0" localSheetId="45">'205'!$P$20:$P$28,'205'!$P$30:$P$39,'205'!$P$41,'205'!$P$43,'205'!$P$45:$P$46,'205'!$P$48,'205'!$P$50:$P$52,'205'!$P$54</definedName>
    <definedName name="OSRRefP22x_0" localSheetId="46">'206'!$P$20:$P$28,'206'!$P$30:$P$39,'206'!$P$41,'206'!$P$43,'206'!$P$45:$P$46,'206'!$P$48,'206'!$P$50:$P$51,'206'!$P$53</definedName>
    <definedName name="OSRRefP22x_0" localSheetId="48">'300'!$P$54:$P$63,'300'!$P$65:$P$74,'300'!$P$76,'300'!$P$78,'300'!$P$80,'300'!$P$82:$P$83,'300'!$P$85:$P$86,'300'!$P$88,'300'!$P$90,'300'!$P$92,'300'!$P$94:$P$95,'300'!$P$97:$P$98,'300'!$P$100,'300'!$P$102,'300'!$P$104,'300'!$P$106,'300'!$P$108:$P$111,'300'!$P$113:$P$116,'300'!$P$118:$P$120,'300'!$P$122:$P$123,'300'!$P$125:$P$131,'300'!$P$133:$P$134,'300'!$P$136,'300'!$P$138:$P$140,'300'!$P$142</definedName>
    <definedName name="OSRRefP22x_0" localSheetId="49">'300 &amp; 317'!$P$60:$P$69,'300 &amp; 317'!$P$71:$P$80,'300 &amp; 317'!$P$82,'300 &amp; 317'!$P$84,'300 &amp; 317'!$P$86,'300 &amp; 317'!$P$88:$P$89,'300 &amp; 317'!$P$91:$P$92,'300 &amp; 317'!$P$94,'300 &amp; 317'!$P$96,'300 &amp; 317'!$P$98,'300 &amp; 317'!$P$100:$P$101,'300 &amp; 317'!$P$103:$P$104,'300 &amp; 317'!$P$106,'300 &amp; 317'!$P$108,'300 &amp; 317'!$P$110,'300 &amp; 317'!$P$112,'300 &amp; 317'!$P$114:$P$117,'300 &amp; 317'!$P$119:$P$122,'300 &amp; 317'!$P$124:$P$126,'300 &amp; 317'!$P$128:$P$129,'300 &amp; 317'!$P$131:$P$137,'300 &amp; 317'!$P$139:$P$140,'300 &amp; 317'!$P$142,'300 &amp; 317'!$P$144:$P$146,'300 &amp; 317'!$P$148</definedName>
    <definedName name="OSRRefP22x_0" localSheetId="50">'301'!$P$21:$P$30,'301'!$P$32:$P$41,'301'!$P$43,'301'!$P$45,'301'!$P$47,'301'!$P$49:$P$50,'301'!$P$52:$P$53,'301'!$P$55,'301'!$P$57,'301'!$P$59,'301'!$P$61,'301'!$P$63,'301'!$P$65,'301'!$P$67,'301'!$P$69,'301'!$P$71:$P$74,'301'!$P$76:$P$77,'301'!$P$79,'301'!$P$81:$P$86,'301'!$P$88,'301'!$P$90,'301'!$P$92:$P$93,'301'!$P$95</definedName>
    <definedName name="OSRRefP22x_0" localSheetId="55">'307'!$P$34:$P$41,'307'!$P$43:$P$52,'307'!$P$54,'307'!$P$56,'307'!$P$58,'307'!$P$60:$P$61,'307'!$P$63,'307'!$P$65,'307'!$P$67,'307'!$P$69:$P$70,'307'!$P$72:$P$73,'307'!$P$75:$P$78,'307'!$P$80</definedName>
    <definedName name="OSRRefP22x_0" localSheetId="51">'308'!$P$35:$P$44,'308'!$P$46:$P$55,'308'!$P$57,'308'!$P$59,'308'!$P$61,'308'!$P$63,'308'!$P$65:$P$66,'308'!$P$68,'308'!$P$70,'308'!$P$72:$P$74,'308'!$P$76:$P$77,'308'!$P$79:$P$80,'308'!$P$82:$P$83,'308'!$P$85</definedName>
    <definedName name="OSRRefP22x_0" localSheetId="64">'309'!$P$21,'309'!$P$23,'309'!$P$25,'309'!$P$27,'309'!$P$29,'309'!$P$31:$P$32,'309'!$P$34:$P$35,'309'!$P$37:$P$38,'309'!$P$40</definedName>
    <definedName name="OSRRefP22x_0" localSheetId="63">'310'!$P$27:$P$36,'310'!$P$38:$P$47,'310'!$P$49,'310'!$P$51,'310'!$P$53,'310'!$P$55:$P$56,'310'!$P$58,'310'!$P$60,'310'!$P$62,'310'!$P$64,'310'!$P$66,'310'!$P$68:$P$70,'310'!$P$72,'310'!$P$74:$P$76,'310'!$P$78:$P$82,'310'!$P$84:$P$85,'310'!$P$87,'310'!$P$89</definedName>
    <definedName name="OSRRefP22x_0" localSheetId="69">'310 &amp; 491'!$P$29:$P$38,'310 &amp; 491'!$P$40:$P$49,'310 &amp; 491'!$P$51,'310 &amp; 491'!$P$53,'310 &amp; 491'!$P$55,'310 &amp; 491'!$P$57:$P$58,'310 &amp; 491'!$P$60,'310 &amp; 491'!$P$62,'310 &amp; 491'!$P$64:$P$65,'310 &amp; 491'!$P$67,'310 &amp; 491'!$P$69,'310 &amp; 491'!$P$71,'310 &amp; 491'!$P$73:$P$76,'310 &amp; 491'!$P$78:$P$79,'310 &amp; 491'!$P$81:$P$85,'310 &amp; 491'!$P$87,'310 &amp; 491'!$P$89:$P$98,'310 &amp; 491'!$P$100:$P$101,'310 &amp; 491'!$P$103,'310 &amp; 491'!$P$105,'310 &amp; 491'!$P$107</definedName>
    <definedName name="OSRRefP22x_0" localSheetId="52">'311'!$P$35:$P$44,'311'!$P$46:$P$55,'311'!$P$57,'311'!$P$59,'311'!$P$61,'311'!$P$63,'311'!$P$65:$P$66,'311'!$P$68,'311'!$P$70,'311'!$P$72:$P$74,'311'!$P$76:$P$77,'311'!$P$79:$P$80,'311'!$P$82:$P$83,'311'!$P$85</definedName>
    <definedName name="OSRRefP22x_0" localSheetId="57">'315'!$P$44:$P$52,'315'!$P$54:$P$63,'315'!$P$65,'315'!$P$67,'315'!$P$69,'315'!$P$71,'315'!$P$73,'315'!$P$75,'315'!$P$77:$P$78,'315'!$P$80,'315'!$P$82,'315'!$P$84,'315'!$P$86:$P$87,'315'!$P$89:$P$91,'315'!$P$93:$P$94,'315'!$P$96:$P$99,'315'!$P$101,'315'!$P$103</definedName>
    <definedName name="OSRRefP22x_0" localSheetId="60">'316'!$P$27:$P$35,'316'!$P$37:$P$46,'316'!$P$48,'316'!$P$50,'316'!$P$52,'316'!$P$54:$P$55,'316'!$P$57,'316'!$P$59:$P$61,'316'!$P$63,'316'!$P$65:$P$68,'316'!$P$70</definedName>
    <definedName name="OSRRefP22x_0" localSheetId="62">'317'!$P$35:$P$44,'317'!$P$46:$P$55,'317'!$P$57,'317'!$P$59,'317'!$P$61,'317'!$P$63,'317'!$P$65,'317'!$P$67,'317'!$P$69:$P$70,'317'!$P$72</definedName>
    <definedName name="OSRRefP22x_0" localSheetId="65">'321'!$P$24:$P$33,'321'!$P$35:$P$44,'321'!$P$46,'321'!$P$48,'321'!$P$50,'321'!$P$52,'321'!$P$54:$P$55,'321'!$P$57,'321'!$P$59:$P$60,'321'!$P$62:$P$65,'321'!$P$67,'321'!$P$69</definedName>
    <definedName name="OSRRefP22x_0" localSheetId="66">'325'!$P$25:$P$33,'325'!$P$35:$P$44,'325'!$P$46,'325'!$P$48,'325'!$P$50,'325'!$P$52:$P$53,'325'!$P$55,'325'!$P$57,'325'!$P$59,'325'!$P$61,'325'!$P$63,'325'!$P$65:$P$67,'325'!$P$69:$P$71,'325'!$P$73:$P$77,'325'!$P$79:$P$80,'325'!$P$82</definedName>
    <definedName name="OSRRefP22x_0" localSheetId="58">'326'!$P$28:$P$36,'326'!$P$38:$P$47,'326'!$P$49,'326'!$P$51,'326'!$P$53,'326'!$P$55,'326'!$P$57:$P$58,'326'!$P$60,'326'!$P$62,'326'!$P$64,'326'!$P$66,'326'!$P$68:$P$69,'326'!$P$71:$P$72,'326'!$P$74:$P$75,'326'!$P$77:$P$79,'326'!$P$81,'326'!$P$83:$P$84,'326'!$P$86</definedName>
    <definedName name="OSRRefP22x_0" localSheetId="67">'327'!$P$26,'327'!$P$28</definedName>
    <definedName name="OSRRefP22x_0" localSheetId="56">'331'!$P$44:$P$52,'331'!$P$54:$P$63,'331'!$P$65,'331'!$P$67,'331'!$P$69,'331'!$P$71,'331'!$P$73,'331'!$P$75,'331'!$P$77:$P$78,'331'!$P$80:$P$81,'331'!$P$83,'331'!$P$85,'331'!$P$87,'331'!$P$89,'331'!$P$91:$P$92,'331'!$P$94:$P$96,'331'!$P$98:$P$99,'331'!$P$101:$P$102,'331'!$P$104:$P$108,'331'!$P$110,'331'!$P$112:$P$113,'331'!$P$115</definedName>
    <definedName name="OSRRefP22x_0" localSheetId="59">'332'!$P$27:$P$35,'332'!$P$37:$P$46,'332'!$P$48,'332'!$P$50,'332'!$P$52,'332'!$P$54:$P$55,'332'!$P$57,'332'!$P$59:$P$61,'332'!$P$63,'332'!$P$65:$P$68,'332'!$P$70</definedName>
    <definedName name="OSRRefP22x_0" localSheetId="54">'333'!$P$46:$P$54,'333'!$P$56:$P$65,'333'!$P$67,'333'!$P$69,'333'!$P$71,'333'!$P$73:$P$74,'333'!$P$76,'333'!$P$78,'333'!$P$80:$P$81,'333'!$P$83:$P$84,'333'!$P$86,'333'!$P$88,'333'!$P$90,'333'!$P$92,'333'!$P$94:$P$95,'333'!$P$97:$P$99,'333'!$P$101:$P$103,'333'!$P$105:$P$106,'333'!$P$108:$P$113,'333'!$P$115,'333'!$P$117:$P$118,'333'!$P$120</definedName>
    <definedName name="OSRRefP22x_0" localSheetId="71">'405'!$P$27:$P$35,'405'!$P$37:$P$46,'405'!$P$48,'405'!$P$50,'405'!$P$52,'405'!$P$54:$P$55,'405'!$P$57,'405'!$P$59,'405'!$P$61,'405'!$P$63:$P$64,'405'!$P$66:$P$69,'405'!$P$71,'405'!$P$73:$P$80,'405'!$P$82,'405'!$P$84,'405'!$P$86</definedName>
    <definedName name="OSRRefP22x_0" localSheetId="72">'406'!$P$20,'406'!$P$22</definedName>
    <definedName name="OSRRefP22x_0" localSheetId="73">'411'!$P$20:$P$28,'411'!$P$30:$P$39,'411'!$P$41,'411'!$P$43:$P$44,'411'!$P$46,'411'!$P$48,'411'!$P$50,'411'!$P$52,'411'!$P$54:$P$57,'411'!$P$59:$P$61,'411'!$P$63:$P$64,'411'!$P$66,'411'!$P$68,'411'!$P$70,'411'!$P$72</definedName>
    <definedName name="OSRRefP22x_0" localSheetId="74">'412'!$P$20,'412'!$P$22,'412'!$P$24,'412'!$P$26</definedName>
    <definedName name="OSRRefP22x_0" localSheetId="75">'413'!$P$20,'413'!$P$22,'413'!$P$24</definedName>
    <definedName name="OSRRefP22x_0" localSheetId="76">'414'!$P$20,'414'!$P$22,'414'!$P$24</definedName>
    <definedName name="OSRRefP22x_0" localSheetId="77">'415'!$P$27:$P$35,'415'!$P$37:$P$46,'415'!$P$48,'415'!$P$50,'415'!$P$52,'415'!$P$54:$P$55,'415'!$P$57,'415'!$P$59,'415'!$P$61,'415'!$P$63,'415'!$P$65,'415'!$P$67:$P$68,'415'!$P$70:$P$73,'415'!$P$75,'415'!$P$77:$P$83,'415'!$P$85:$P$86,'415'!$P$88,'415'!$P$90</definedName>
    <definedName name="OSRRefP22x_0" localSheetId="78">'418'!$P$24:$P$32,'418'!$P$34:$P$43,'418'!$P$45,'418'!$P$47,'418'!$P$49:$P$50,'418'!$P$52,'418'!$P$54,'418'!$P$56:$P$57,'418'!$P$59:$P$60,'418'!$P$62:$P$65,'418'!$P$67,'418'!$P$69:$P$76,'418'!$P$78:$P$79,'418'!$P$81,'418'!$P$83</definedName>
    <definedName name="OSRRefP22x_0" localSheetId="79">'423'!$P$20:$P$27,'423'!$P$29:$P$38,'423'!$P$40,'423'!$P$42,'423'!$P$44,'423'!$P$46</definedName>
    <definedName name="OSRRefP22x_0" localSheetId="80">'424'!$P$20,'424'!$P$22,'424'!$P$24</definedName>
    <definedName name="OSRRefP22x_0" localSheetId="81">'425'!$P$22,'425'!$P$24,'425'!$P$26,'425'!$P$28,'425'!$P$30,'425'!$P$32</definedName>
    <definedName name="OSRRefP22x_0" localSheetId="83">'430'!$P$20:$P$28,'430'!$P$30:$P$39,'430'!$P$41,'430'!$P$43,'430'!$P$45,'430'!$P$47:$P$48,'430'!$P$50:$P$51,'430'!$P$53,'430'!$P$55</definedName>
    <definedName name="OSRRefP22x_0" localSheetId="84">'433'!$P$27:$P$36,'433'!$P$38:$P$47,'433'!$P$49,'433'!$P$51,'433'!$P$53,'433'!$P$55,'433'!$P$57,'433'!$P$59,'433'!$P$61,'433'!$P$63,'433'!$P$65,'433'!$P$67:$P$69,'433'!$P$71:$P$74,'433'!$P$76:$P$83,'433'!$P$85,'433'!$P$87</definedName>
    <definedName name="OSRRefP22x_0" localSheetId="85">'435'!$P$20</definedName>
    <definedName name="OSRRefP22x_0" localSheetId="86">'444'!$P$27:$P$36,'444'!$P$38:$P$47,'444'!$P$49,'444'!$P$51,'444'!$P$53,'444'!$P$55,'444'!$P$57,'444'!$P$59,'444'!$P$61,'444'!$P$63,'444'!$P$65,'444'!$P$67:$P$68,'444'!$P$70:$P$73,'444'!$P$75,'444'!$P$77:$P$84,'444'!$P$86,'444'!$P$88</definedName>
    <definedName name="OSRRefP22x_0" localSheetId="87">'450'!$P$27:$P$36,'450'!$P$38:$P$47,'450'!$P$49,'450'!$P$51,'450'!$P$53,'450'!$P$55,'450'!$P$57,'450'!$P$59,'450'!$P$61,'450'!$P$63,'450'!$P$65,'450'!$P$67:$P$69,'450'!$P$71:$P$74,'450'!$P$76:$P$82,'450'!$P$84,'450'!$P$86,'450'!$P$88</definedName>
    <definedName name="OSRRefP22x_0" localSheetId="70">'491'!$P$28:$P$36,'491'!$P$38:$P$47,'491'!$P$49,'491'!$P$51,'491'!$P$53,'491'!$P$55:$P$56,'491'!$P$58,'491'!$P$60,'491'!$P$62:$P$63,'491'!$P$65,'491'!$P$67,'491'!$P$69,'491'!$P$71:$P$74,'491'!$P$76,'491'!$P$78:$P$82,'491'!$P$84,'491'!$P$86:$P$95,'491'!$P$97:$P$98,'491'!$P$100,'491'!$P$102,'491'!$P$104</definedName>
    <definedName name="OSRRefP22x_0" localSheetId="82">'492'!$P$27:$P$36,'492'!$P$38:$P$47,'492'!$P$49,'492'!$P$51,'492'!$P$53,'492'!$P$55,'492'!$P$57,'492'!$P$59,'492'!$P$61,'492'!$P$63,'492'!$P$65,'492'!$P$67,'492'!$P$69:$P$71,'492'!$P$73:$P$76,'492'!$P$78,'492'!$P$80:$P$87,'492'!$P$89:$P$90,'492'!$P$92,'492'!$P$94:$P$95</definedName>
    <definedName name="OSRRefP22x_0" localSheetId="89">'501'!$P$21:$P$30,'501'!$P$32:$P$41,'501'!$P$43,'501'!$P$45,'501'!$P$47,'501'!$P$49:$P$50,'501'!$P$52,'501'!$P$54,'501'!$P$56,'501'!$P$58:$P$60,'501'!$P$62,'501'!$P$64:$P$66,'501'!$P$68,'501'!$P$70</definedName>
    <definedName name="OSRRefP22x_0" localSheetId="39">'Div 2'!$P$20:$P$30,'Div 2'!$P$32:$P$41,'Div 2'!$P$43,'Div 2'!$P$45,'Div 2'!$P$47,'Div 2'!$P$49:$P$50,'Div 2'!$P$52,'Div 2'!$P$54,'Div 2'!$P$56,'Div 2'!$P$58,'Div 2'!$P$60,'Div 2'!$P$62,'Div 2'!$P$64:$P$67,'Div 2'!$P$69:$P$72,'Div 2'!$P$74:$P$75,'Div 2'!$P$77:$P$78,'Div 2'!$P$80:$P$85,'Div 2'!$P$87:$P$88,'Div 2'!$P$90,'Div 2'!$P$92:$P$93</definedName>
    <definedName name="OSRRefP22x_0" localSheetId="47">'Div 3'!$P$58:$P$67,'Div 3'!$P$69:$P$78,'Div 3'!$P$80,'Div 3'!$P$82,'Div 3'!$P$84,'Div 3'!$P$86:$P$87,'Div 3'!$P$89:$P$90,'Div 3'!$P$92,'Div 3'!$P$94,'Div 3'!$P$96,'Div 3'!$P$98:$P$99,'Div 3'!$P$101:$P$102,'Div 3'!$P$104,'Div 3'!$P$106,'Div 3'!$P$108,'Div 3'!$P$110,'Div 3'!$P$112,'Div 3'!$P$114:$P$117,'Div 3'!$P$119:$P$122,'Div 3'!$P$124:$P$127,'Div 3'!$P$129:$P$130,'Div 3'!$P$132:$P$138,'Div 3'!$P$140:$P$141,'Div 3'!$P$143,'Div 3'!$P$145:$P$147,'Div 3'!$P$149</definedName>
    <definedName name="OSRRefP22x_0" localSheetId="68">'Div 4'!$P$29:$P$38,'Div 4'!$P$40:$P$49,'Div 4'!$P$51,'Div 4'!$P$53,'Div 4'!$P$55,'Div 4'!$P$57:$P$58,'Div 4'!$P$60,'Div 4'!$P$62,'Div 4'!$P$64,'Div 4'!$P$66:$P$67,'Div 4'!$P$69,'Div 4'!$P$71,'Div 4'!$P$73,'Div 4'!$P$75,'Div 4'!$P$77:$P$80,'Div 4'!$P$82,'Div 4'!$P$84:$P$88,'Div 4'!$P$90:$P$91,'Div 4'!$P$93:$P$102,'Div 4'!$P$104:$P$105,'Div 4'!$P$107,'Div 4'!$P$109:$P$110,'Div 4'!$P$112</definedName>
    <definedName name="OSRRefP22x_0" localSheetId="88">'Div 5'!$P$21:$P$30,'Div 5'!$P$32:$P$41,'Div 5'!$P$43,'Div 5'!$P$45,'Div 5'!$P$47,'Div 5'!$P$49:$P$50,'Div 5'!$P$52,'Div 5'!$P$54,'Div 5'!$P$56,'Div 5'!$P$58:$P$60,'Div 5'!$P$62,'Div 5'!$P$64:$P$66,'Div 5'!$P$68,'Div 5'!$P$70</definedName>
    <definedName name="OSRRefP22x_0" localSheetId="61">'Div 6'!$P$35:$P$44,'Div 6'!$P$46:$P$55,'Div 6'!$P$57,'Div 6'!$P$59,'Div 6'!$P$61,'Div 6'!$P$63,'Div 6'!$P$65,'Div 6'!$P$67,'Div 6'!$P$69:$P$70,'Div 6'!$P$72</definedName>
    <definedName name="OSRRefP22x_0" localSheetId="2">Summary!$P$66:$P$75,Summary!$P$77:$P$86,Summary!$P$88,Summary!$P$90,Summary!$P$92,Summary!$P$94:$P$95,Summary!$P$97:$P$98,Summary!$P$100,Summary!$P$102,Summary!$P$104,Summary!$P$106:$P$107,Summary!$P$109:$P$111,Summary!$P$113,Summary!$P$115,Summary!$P$117,Summary!$P$119,Summary!$P$121,Summary!$P$123,Summary!$P$125:$P$128,Summary!$P$130:$P$133,Summary!$P$135:$P$139,Summary!$P$141:$P$142,Summary!$P$144:$P$153,Summary!$P$155:$P$156,Summary!$P$158,Summary!$P$160:$P$162,Summary!$P$164</definedName>
    <definedName name="OSRRefP25x_0" localSheetId="48">'300'!$P$145:$P$149</definedName>
    <definedName name="OSRRefP25x_0" localSheetId="49">'300 &amp; 317'!$P$151:$P$157</definedName>
    <definedName name="OSRRefP25x_0" localSheetId="50">'301'!$P$98:$P$99</definedName>
    <definedName name="OSRRefP25x_0" localSheetId="51">'308'!$P$88:$P$91</definedName>
    <definedName name="OSRRefP25x_0" localSheetId="69">'310 &amp; 491'!$P$110:$P$113</definedName>
    <definedName name="OSRRefP25x_0" localSheetId="52">'311'!$P$88:$P$91</definedName>
    <definedName name="OSRRefP25x_0" localSheetId="57">'315'!$P$106:$P$108</definedName>
    <definedName name="OSRRefP25x_0" localSheetId="60">'316'!$P$73</definedName>
    <definedName name="OSRRefP25x_0" localSheetId="62">'317'!$P$75:$P$77</definedName>
    <definedName name="OSRRefP25x_0" localSheetId="56">'331'!$P$118:$P$120</definedName>
    <definedName name="OSRRefP25x_0" localSheetId="59">'332'!$P$73</definedName>
    <definedName name="OSRRefP25x_0" localSheetId="54">'333'!$P$123:$P$125</definedName>
    <definedName name="OSRRefP25x_0" localSheetId="71">'405'!$P$89</definedName>
    <definedName name="OSRRefP25x_0" localSheetId="73">'411'!$P$75</definedName>
    <definedName name="OSRRefP25x_0" localSheetId="77">'415'!$P$93</definedName>
    <definedName name="OSRRefP25x_0" localSheetId="78">'418'!$P$86</definedName>
    <definedName name="OSRRefP25x_0" localSheetId="79">'423'!$P$49:$P$51</definedName>
    <definedName name="OSRRefP25x_0" localSheetId="70">'491'!$P$107:$P$110</definedName>
    <definedName name="OSRRefP25x_0" localSheetId="89">'501'!$P$73</definedName>
    <definedName name="OSRRefP25x_0" localSheetId="47">'Div 3'!$P$152:$P$156</definedName>
    <definedName name="OSRRefP25x_0" localSheetId="68">'Div 4'!$P$115:$P$118</definedName>
    <definedName name="OSRRefP25x_0" localSheetId="88">'Div 5'!$P$73</definedName>
    <definedName name="OSRRefP25x_0" localSheetId="61">'Div 6'!$P$75:$P$77</definedName>
    <definedName name="OSRRefP25x_0" localSheetId="2">Summary!$P$167:$P$174</definedName>
    <definedName name="OSRRefT13x_0" localSheetId="48">'300'!$T$13:$T$19</definedName>
    <definedName name="OSRRefT13x_0" localSheetId="49">'300 &amp; 317'!$T$13:$T$19</definedName>
    <definedName name="OSRRefT13x_0" localSheetId="55">'307'!$T$13:$T$16</definedName>
    <definedName name="OSRRefT13x_0" localSheetId="51">'308'!$T$13:$T$17</definedName>
    <definedName name="OSRRefT13x_0" localSheetId="63">'310'!$T$13:$T$16</definedName>
    <definedName name="OSRRefT13x_0" localSheetId="69">'310 &amp; 491'!$T$13:$T$18</definedName>
    <definedName name="OSRRefT13x_0" localSheetId="52">'311'!$T$13:$T$17</definedName>
    <definedName name="OSRRefT13x_0" localSheetId="57">'315'!$T$13:$T$17</definedName>
    <definedName name="OSRRefT13x_0" localSheetId="60">'316'!$T$13:$T$17</definedName>
    <definedName name="OSRRefT13x_0" localSheetId="62">'317'!$T$13:$T$17</definedName>
    <definedName name="OSRRefT13x_0" localSheetId="65">'321'!$T$13:$T$14</definedName>
    <definedName name="OSRRefT13x_0" localSheetId="53">'324'!$T$13:$T$14</definedName>
    <definedName name="OSRRefT13x_0" localSheetId="66">'325'!$T$13:$T$14</definedName>
    <definedName name="OSRRefT13x_0" localSheetId="58">'326'!$T$13:$T$16</definedName>
    <definedName name="OSRRefT13x_0" localSheetId="67">'327'!$T$13:$T$15</definedName>
    <definedName name="OSRRefT13x_0" localSheetId="56">'331'!$T$13:$T$17</definedName>
    <definedName name="OSRRefT13x_0" localSheetId="59">'332'!$T$13:$T$17</definedName>
    <definedName name="OSRRefT13x_0" localSheetId="54">'333'!$T$13:$T$17</definedName>
    <definedName name="OSRRefT13x_0" localSheetId="71">'405'!$T$13:$T$16</definedName>
    <definedName name="OSRRefT13x_0" localSheetId="77">'415'!$T$13:$T$16</definedName>
    <definedName name="OSRRefT13x_0" localSheetId="78">'418'!$T$13:$T$14</definedName>
    <definedName name="OSRRefT13x_0" localSheetId="81">'425'!$T$13</definedName>
    <definedName name="OSRRefT13x_0" localSheetId="84">'433'!$T$13:$T$16</definedName>
    <definedName name="OSRRefT13x_0" localSheetId="86">'444'!$T$13:$T$16</definedName>
    <definedName name="OSRRefT13x_0" localSheetId="87">'450'!$T$13:$T$16</definedName>
    <definedName name="OSRRefT13x_0" localSheetId="70">'491'!$T$13:$T$17</definedName>
    <definedName name="OSRRefT13x_0" localSheetId="82">'492'!$T$13:$T$16</definedName>
    <definedName name="OSRRefT13x_0" localSheetId="89">'501'!$T$13</definedName>
    <definedName name="OSRRefT13x_0" localSheetId="47">'Div 3'!$T$13:$T$21</definedName>
    <definedName name="OSRRefT13x_0" localSheetId="68">'Div 4'!$T$13:$T$18</definedName>
    <definedName name="OSRRefT13x_0" localSheetId="88">'Div 5'!$T$13</definedName>
    <definedName name="OSRRefT13x_0" localSheetId="61">'Div 6'!$T$13:$T$17</definedName>
    <definedName name="OSRRefT13x_0" localSheetId="2">Summary!$T$13:$T$23</definedName>
    <definedName name="OSRRefT16x_0" localSheetId="48">'300'!$T$22:$T$48</definedName>
    <definedName name="OSRRefT16x_0" localSheetId="49">'300 &amp; 317'!$T$22:$T$54</definedName>
    <definedName name="OSRRefT16x_0" localSheetId="50">'301'!$T$15</definedName>
    <definedName name="OSRRefT16x_0" localSheetId="55">'307'!$T$19:$T$28</definedName>
    <definedName name="OSRRefT16x_0" localSheetId="51">'308'!$T$20:$T$29</definedName>
    <definedName name="OSRRefT16x_0" localSheetId="64">'309'!$T$15</definedName>
    <definedName name="OSRRefT16x_0" localSheetId="63">'310'!$T$19:$T$21</definedName>
    <definedName name="OSRRefT16x_0" localSheetId="69">'310 &amp; 491'!$T$21:$T$23</definedName>
    <definedName name="OSRRefT16x_0" localSheetId="52">'311'!$T$20:$T$29</definedName>
    <definedName name="OSRRefT16x_0" localSheetId="57">'315'!$T$20:$T$38</definedName>
    <definedName name="OSRRefT16x_0" localSheetId="60">'316'!$T$20:$T$21</definedName>
    <definedName name="OSRRefT16x_0" localSheetId="62">'317'!$T$20:$T$29</definedName>
    <definedName name="OSRRefT16x_0" localSheetId="65">'321'!$T$17:$T$18</definedName>
    <definedName name="OSRRefT16x_0" localSheetId="53">'324'!$T$17</definedName>
    <definedName name="OSRRefT16x_0" localSheetId="66">'325'!$T$17:$T$19</definedName>
    <definedName name="OSRRefT16x_0" localSheetId="58">'326'!$T$19:$T$22</definedName>
    <definedName name="OSRRefT16x_0" localSheetId="67">'327'!$T$18:$T$20</definedName>
    <definedName name="OSRRefT16x_0" localSheetId="56">'331'!$T$20:$T$38</definedName>
    <definedName name="OSRRefT16x_0" localSheetId="59">'332'!$T$20:$T$21</definedName>
    <definedName name="OSRRefT16x_0" localSheetId="54">'333'!$T$20:$T$40</definedName>
    <definedName name="OSRRefT16x_0" localSheetId="71">'405'!$T$19:$T$21</definedName>
    <definedName name="OSRRefT16x_0" localSheetId="77">'415'!$T$19:$T$21</definedName>
    <definedName name="OSRRefT16x_0" localSheetId="78">'418'!$T$17:$T$18</definedName>
    <definedName name="OSRRefT16x_0" localSheetId="81">'425'!$T$16</definedName>
    <definedName name="OSRRefT16x_0" localSheetId="84">'433'!$T$19:$T$21</definedName>
    <definedName name="OSRRefT16x_0" localSheetId="86">'444'!$T$19:$T$21</definedName>
    <definedName name="OSRRefT16x_0" localSheetId="87">'450'!$T$19:$T$21</definedName>
    <definedName name="OSRRefT16x_0" localSheetId="70">'491'!$T$20:$T$22</definedName>
    <definedName name="OSRRefT16x_0" localSheetId="82">'492'!$T$19:$T$21</definedName>
    <definedName name="OSRRefT16x_0" localSheetId="47">'Div 3'!$T$24:$T$52</definedName>
    <definedName name="OSRRefT16x_0" localSheetId="68">'Div 4'!$T$21:$T$23</definedName>
    <definedName name="OSRRefT16x_0" localSheetId="61">'Div 6'!$T$20:$T$29</definedName>
    <definedName name="OSRRefT16x_0" localSheetId="2">Summary!$T$26:$T$60</definedName>
    <definedName name="OSRRefT22_0x_0" localSheetId="40">'200'!$T$20</definedName>
    <definedName name="OSRRefT22_0x_0" localSheetId="41">'201'!$T$20:$T$28</definedName>
    <definedName name="OSRRefT22_0x_0" localSheetId="42">'202'!$T$20:$T$28</definedName>
    <definedName name="OSRRefT22_0x_0" localSheetId="43">'203'!$T$20:$T$29</definedName>
    <definedName name="OSRRefT22_0x_0" localSheetId="44">'204'!$T$20:$T$28</definedName>
    <definedName name="OSRRefT22_0x_0" localSheetId="45">'205'!$T$20:$T$28</definedName>
    <definedName name="OSRRefT22_0x_0" localSheetId="46">'206'!$T$20:$T$28</definedName>
    <definedName name="OSRRefT22_0x_0" localSheetId="48">'300'!$T$54:$T$63</definedName>
    <definedName name="OSRRefT22_0x_0" localSheetId="49">'300 &amp; 317'!$T$60:$T$69</definedName>
    <definedName name="OSRRefT22_0x_0" localSheetId="50">'301'!$T$21:$T$30</definedName>
    <definedName name="OSRRefT22_0x_0" localSheetId="55">'307'!$T$34:$T$41</definedName>
    <definedName name="OSRRefT22_0x_0" localSheetId="51">'308'!$T$35:$T$44</definedName>
    <definedName name="OSRRefT22_0x_0" localSheetId="64">'309'!$T$21</definedName>
    <definedName name="OSRRefT22_0x_0" localSheetId="63">'310'!$T$27:$T$36</definedName>
    <definedName name="OSRRefT22_0x_0" localSheetId="69">'310 &amp; 491'!$T$29:$T$38</definedName>
    <definedName name="OSRRefT22_0x_0" localSheetId="52">'311'!$T$35:$T$44</definedName>
    <definedName name="OSRRefT22_0x_0" localSheetId="57">'315'!$T$44:$T$52</definedName>
    <definedName name="OSRRefT22_0x_0" localSheetId="60">'316'!$T$27:$T$35</definedName>
    <definedName name="OSRRefT22_0x_0" localSheetId="62">'317'!$T$35:$T$44</definedName>
    <definedName name="OSRRefT22_0x_0" localSheetId="65">'321'!$T$24:$T$33</definedName>
    <definedName name="OSRRefT22_0x_0" localSheetId="66">'325'!$T$25:$T$33</definedName>
    <definedName name="OSRRefT22_0x_0" localSheetId="58">'326'!$T$28:$T$36</definedName>
    <definedName name="OSRRefT22_0x_0" localSheetId="67">'327'!$T$26</definedName>
    <definedName name="OSRRefT22_0x_0" localSheetId="56">'331'!$T$44:$T$52</definedName>
    <definedName name="OSRRefT22_0x_0" localSheetId="59">'332'!$T$27:$T$35</definedName>
    <definedName name="OSRRefT22_0x_0" localSheetId="54">'333'!$T$46:$T$54</definedName>
    <definedName name="OSRRefT22_0x_0" localSheetId="71">'405'!$T$27:$T$35</definedName>
    <definedName name="OSRRefT22_0x_0" localSheetId="72">'406'!$T$20</definedName>
    <definedName name="OSRRefT22_0x_0" localSheetId="73">'411'!$T$20:$T$28</definedName>
    <definedName name="OSRRefT22_0x_0" localSheetId="74">'412'!$T$20</definedName>
    <definedName name="OSRRefT22_0x_0" localSheetId="75">'413'!$T$20</definedName>
    <definedName name="OSRRefT22_0x_0" localSheetId="76">'414'!$T$20</definedName>
    <definedName name="OSRRefT22_0x_0" localSheetId="77">'415'!$T$27:$T$35</definedName>
    <definedName name="OSRRefT22_0x_0" localSheetId="78">'418'!$T$24:$T$32</definedName>
    <definedName name="OSRRefT22_0x_0" localSheetId="79">'423'!$T$20:$T$27</definedName>
    <definedName name="OSRRefT22_0x_0" localSheetId="80">'424'!$T$20</definedName>
    <definedName name="OSRRefT22_0x_0" localSheetId="81">'425'!$T$22</definedName>
    <definedName name="OSRRefT22_0x_0" localSheetId="83">'430'!$T$20:$T$28</definedName>
    <definedName name="OSRRefT22_0x_0" localSheetId="84">'433'!$T$27:$T$36</definedName>
    <definedName name="OSRRefT22_0x_0" localSheetId="85">'435'!$T$20</definedName>
    <definedName name="OSRRefT22_0x_0" localSheetId="86">'444'!$T$27:$T$36</definedName>
    <definedName name="OSRRefT22_0x_0" localSheetId="87">'450'!$T$27:$T$36</definedName>
    <definedName name="OSRRefT22_0x_0" localSheetId="70">'491'!$T$28:$T$36</definedName>
    <definedName name="OSRRefT22_0x_0" localSheetId="82">'492'!$T$27:$T$36</definedName>
    <definedName name="OSRRefT22_0x_0" localSheetId="89">'501'!$T$21:$T$30</definedName>
    <definedName name="OSRRefT22_0x_0" localSheetId="39">'Div 2'!$T$20:$T$30</definedName>
    <definedName name="OSRRefT22_0x_0" localSheetId="47">'Div 3'!$T$58:$T$67</definedName>
    <definedName name="OSRRefT22_0x_0" localSheetId="68">'Div 4'!$T$29:$T$38</definedName>
    <definedName name="OSRRefT22_0x_0" localSheetId="88">'Div 5'!$T$21:$T$30</definedName>
    <definedName name="OSRRefT22_0x_0" localSheetId="61">'Div 6'!$T$35:$T$44</definedName>
    <definedName name="OSRRefT22_0x_0" localSheetId="2">Summary!$T$66:$T$75</definedName>
    <definedName name="OSRRefT22_10x_0" localSheetId="41">'201'!$T$59:$T$60</definedName>
    <definedName name="OSRRefT22_10x_0" localSheetId="42">'202'!$T$59</definedName>
    <definedName name="OSRRefT22_10x_0" localSheetId="43">'203'!$T$61</definedName>
    <definedName name="OSRRefT22_10x_0" localSheetId="44">'204'!$T$63</definedName>
    <definedName name="OSRRefT22_10x_0" localSheetId="48">'300'!$T$94:$T$95</definedName>
    <definedName name="OSRRefT22_10x_0" localSheetId="49">'300 &amp; 317'!$T$100:$T$101</definedName>
    <definedName name="OSRRefT22_10x_0" localSheetId="50">'301'!$T$61</definedName>
    <definedName name="OSRRefT22_10x_0" localSheetId="55">'307'!$T$72:$T$73</definedName>
    <definedName name="OSRRefT22_10x_0" localSheetId="51">'308'!$T$76:$T$77</definedName>
    <definedName name="OSRRefT22_10x_0" localSheetId="63">'310'!$T$66</definedName>
    <definedName name="OSRRefT22_10x_0" localSheetId="69">'310 &amp; 491'!$T$69</definedName>
    <definedName name="OSRRefT22_10x_0" localSheetId="52">'311'!$T$76:$T$77</definedName>
    <definedName name="OSRRefT22_10x_0" localSheetId="57">'315'!$T$82</definedName>
    <definedName name="OSRRefT22_10x_0" localSheetId="60">'316'!$T$70</definedName>
    <definedName name="OSRRefT22_10x_0" localSheetId="65">'321'!$T$67</definedName>
    <definedName name="OSRRefT22_10x_0" localSheetId="66">'325'!$T$63</definedName>
    <definedName name="OSRRefT22_10x_0" localSheetId="58">'326'!$T$66</definedName>
    <definedName name="OSRRefT22_10x_0" localSheetId="56">'331'!$T$83</definedName>
    <definedName name="OSRRefT22_10x_0" localSheetId="59">'332'!$T$70</definedName>
    <definedName name="OSRRefT22_10x_0" localSheetId="54">'333'!$T$86</definedName>
    <definedName name="OSRRefT22_10x_0" localSheetId="71">'405'!$T$66:$T$69</definedName>
    <definedName name="OSRRefT22_10x_0" localSheetId="73">'411'!$T$63:$T$64</definedName>
    <definedName name="OSRRefT22_10x_0" localSheetId="77">'415'!$T$65</definedName>
    <definedName name="OSRRefT22_10x_0" localSheetId="78">'418'!$T$67</definedName>
    <definedName name="OSRRefT22_10x_0" localSheetId="84">'433'!$T$65</definedName>
    <definedName name="OSRRefT22_10x_0" localSheetId="86">'444'!$T$65</definedName>
    <definedName name="OSRRefT22_10x_0" localSheetId="87">'450'!$T$65</definedName>
    <definedName name="OSRRefT22_10x_0" localSheetId="70">'491'!$T$67</definedName>
    <definedName name="OSRRefT22_10x_0" localSheetId="82">'492'!$T$65</definedName>
    <definedName name="OSRRefT22_10x_0" localSheetId="89">'501'!$T$62</definedName>
    <definedName name="OSRRefT22_10x_0" localSheetId="39">'Div 2'!$T$60</definedName>
    <definedName name="OSRRefT22_10x_0" localSheetId="47">'Div 3'!$T$98:$T$99</definedName>
    <definedName name="OSRRefT22_10x_0" localSheetId="68">'Div 4'!$T$69</definedName>
    <definedName name="OSRRefT22_10x_0" localSheetId="88">'Div 5'!$T$62</definedName>
    <definedName name="OSRRefT22_10x_0" localSheetId="2">Summary!$T$106:$T$107</definedName>
    <definedName name="OSRRefT22_11x_0" localSheetId="41">'201'!$T$62</definedName>
    <definedName name="OSRRefT22_11x_0" localSheetId="42">'202'!$T$61</definedName>
    <definedName name="OSRRefT22_11x_0" localSheetId="43">'203'!$T$63:$T$66</definedName>
    <definedName name="OSRRefT22_11x_0" localSheetId="48">'300'!$T$97:$T$98</definedName>
    <definedName name="OSRRefT22_11x_0" localSheetId="49">'300 &amp; 317'!$T$103:$T$104</definedName>
    <definedName name="OSRRefT22_11x_0" localSheetId="50">'301'!$T$63</definedName>
    <definedName name="OSRRefT22_11x_0" localSheetId="55">'307'!$T$75:$T$78</definedName>
    <definedName name="OSRRefT22_11x_0" localSheetId="51">'308'!$T$79:$T$80</definedName>
    <definedName name="OSRRefT22_11x_0" localSheetId="63">'310'!$T$68:$T$70</definedName>
    <definedName name="OSRRefT22_11x_0" localSheetId="69">'310 &amp; 491'!$T$71</definedName>
    <definedName name="OSRRefT22_11x_0" localSheetId="52">'311'!$T$79:$T$80</definedName>
    <definedName name="OSRRefT22_11x_0" localSheetId="57">'315'!$T$84</definedName>
    <definedName name="OSRRefT22_11x_0" localSheetId="65">'321'!$T$69</definedName>
    <definedName name="OSRRefT22_11x_0" localSheetId="66">'325'!$T$65:$T$67</definedName>
    <definedName name="OSRRefT22_11x_0" localSheetId="58">'326'!$T$68:$T$69</definedName>
    <definedName name="OSRRefT22_11x_0" localSheetId="56">'331'!$T$85</definedName>
    <definedName name="OSRRefT22_11x_0" localSheetId="54">'333'!$T$88</definedName>
    <definedName name="OSRRefT22_11x_0" localSheetId="71">'405'!$T$71</definedName>
    <definedName name="OSRRefT22_11x_0" localSheetId="73">'411'!$T$66</definedName>
    <definedName name="OSRRefT22_11x_0" localSheetId="77">'415'!$T$67:$T$68</definedName>
    <definedName name="OSRRefT22_11x_0" localSheetId="78">'418'!$T$69:$T$76</definedName>
    <definedName name="OSRRefT22_11x_0" localSheetId="84">'433'!$T$67:$T$69</definedName>
    <definedName name="OSRRefT22_11x_0" localSheetId="86">'444'!$T$67:$T$68</definedName>
    <definedName name="OSRRefT22_11x_0" localSheetId="87">'450'!$T$67:$T$69</definedName>
    <definedName name="OSRRefT22_11x_0" localSheetId="70">'491'!$T$69</definedName>
    <definedName name="OSRRefT22_11x_0" localSheetId="82">'492'!$T$67</definedName>
    <definedName name="OSRRefT22_11x_0" localSheetId="89">'501'!$T$64:$T$66</definedName>
    <definedName name="OSRRefT22_11x_0" localSheetId="39">'Div 2'!$T$62</definedName>
    <definedName name="OSRRefT22_11x_0" localSheetId="47">'Div 3'!$T$101:$T$102</definedName>
    <definedName name="OSRRefT22_11x_0" localSheetId="68">'Div 4'!$T$71</definedName>
    <definedName name="OSRRefT22_11x_0" localSheetId="88">'Div 5'!$T$64:$T$66</definedName>
    <definedName name="OSRRefT22_11x_0" localSheetId="2">Summary!$T$109:$T$111</definedName>
    <definedName name="OSRRefT22_12x_0" localSheetId="41">'201'!$T$64:$T$65</definedName>
    <definedName name="OSRRefT22_12x_0" localSheetId="42">'202'!$T$63</definedName>
    <definedName name="OSRRefT22_12x_0" localSheetId="43">'203'!$T$68</definedName>
    <definedName name="OSRRefT22_12x_0" localSheetId="48">'300'!$T$100</definedName>
    <definedName name="OSRRefT22_12x_0" localSheetId="49">'300 &amp; 317'!$T$106</definedName>
    <definedName name="OSRRefT22_12x_0" localSheetId="50">'301'!$T$65</definedName>
    <definedName name="OSRRefT22_12x_0" localSheetId="55">'307'!$T$80</definedName>
    <definedName name="OSRRefT22_12x_0" localSheetId="51">'308'!$T$82:$T$83</definedName>
    <definedName name="OSRRefT22_12x_0" localSheetId="63">'310'!$T$72</definedName>
    <definedName name="OSRRefT22_12x_0" localSheetId="69">'310 &amp; 491'!$T$73:$T$76</definedName>
    <definedName name="OSRRefT22_12x_0" localSheetId="52">'311'!$T$82:$T$83</definedName>
    <definedName name="OSRRefT22_12x_0" localSheetId="57">'315'!$T$86:$T$87</definedName>
    <definedName name="OSRRefT22_12x_0" localSheetId="66">'325'!$T$69:$T$71</definedName>
    <definedName name="OSRRefT22_12x_0" localSheetId="58">'326'!$T$71:$T$72</definedName>
    <definedName name="OSRRefT22_12x_0" localSheetId="56">'331'!$T$87</definedName>
    <definedName name="OSRRefT22_12x_0" localSheetId="54">'333'!$T$90</definedName>
    <definedName name="OSRRefT22_12x_0" localSheetId="71">'405'!$T$73:$T$80</definedName>
    <definedName name="OSRRefT22_12x_0" localSheetId="73">'411'!$T$68</definedName>
    <definedName name="OSRRefT22_12x_0" localSheetId="77">'415'!$T$70:$T$73</definedName>
    <definedName name="OSRRefT22_12x_0" localSheetId="78">'418'!$T$78:$T$79</definedName>
    <definedName name="OSRRefT22_12x_0" localSheetId="84">'433'!$T$71:$T$74</definedName>
    <definedName name="OSRRefT22_12x_0" localSheetId="86">'444'!$T$70:$T$73</definedName>
    <definedName name="OSRRefT22_12x_0" localSheetId="87">'450'!$T$71:$T$74</definedName>
    <definedName name="OSRRefT22_12x_0" localSheetId="70">'491'!$T$71:$T$74</definedName>
    <definedName name="OSRRefT22_12x_0" localSheetId="82">'492'!$T$69:$T$71</definedName>
    <definedName name="OSRRefT22_12x_0" localSheetId="89">'501'!$T$68</definedName>
    <definedName name="OSRRefT22_12x_0" localSheetId="39">'Div 2'!$T$64:$T$67</definedName>
    <definedName name="OSRRefT22_12x_0" localSheetId="47">'Div 3'!$T$104</definedName>
    <definedName name="OSRRefT22_12x_0" localSheetId="68">'Div 4'!$T$73</definedName>
    <definedName name="OSRRefT22_12x_0" localSheetId="88">'Div 5'!$T$68</definedName>
    <definedName name="OSRRefT22_12x_0" localSheetId="2">Summary!$T$113</definedName>
    <definedName name="OSRRefT22_13x_0" localSheetId="41">'201'!$T$67</definedName>
    <definedName name="OSRRefT22_13x_0" localSheetId="43">'203'!$T$70</definedName>
    <definedName name="OSRRefT22_13x_0" localSheetId="48">'300'!$T$102</definedName>
    <definedName name="OSRRefT22_13x_0" localSheetId="49">'300 &amp; 317'!$T$108</definedName>
    <definedName name="OSRRefT22_13x_0" localSheetId="50">'301'!$T$67</definedName>
    <definedName name="OSRRefT22_13x_0" localSheetId="51">'308'!$T$85</definedName>
    <definedName name="OSRRefT22_13x_0" localSheetId="63">'310'!$T$74:$T$76</definedName>
    <definedName name="OSRRefT22_13x_0" localSheetId="69">'310 &amp; 491'!$T$78:$T$79</definedName>
    <definedName name="OSRRefT22_13x_0" localSheetId="52">'311'!$T$85</definedName>
    <definedName name="OSRRefT22_13x_0" localSheetId="57">'315'!$T$89:$T$91</definedName>
    <definedName name="OSRRefT22_13x_0" localSheetId="66">'325'!$T$73:$T$77</definedName>
    <definedName name="OSRRefT22_13x_0" localSheetId="58">'326'!$T$74:$T$75</definedName>
    <definedName name="OSRRefT22_13x_0" localSheetId="56">'331'!$T$89</definedName>
    <definedName name="OSRRefT22_13x_0" localSheetId="54">'333'!$T$92</definedName>
    <definedName name="OSRRefT22_13x_0" localSheetId="71">'405'!$T$82</definedName>
    <definedName name="OSRRefT22_13x_0" localSheetId="73">'411'!$T$70</definedName>
    <definedName name="OSRRefT22_13x_0" localSheetId="77">'415'!$T$75</definedName>
    <definedName name="OSRRefT22_13x_0" localSheetId="78">'418'!$T$81</definedName>
    <definedName name="OSRRefT22_13x_0" localSheetId="84">'433'!$T$76:$T$83</definedName>
    <definedName name="OSRRefT22_13x_0" localSheetId="86">'444'!$T$75</definedName>
    <definedName name="OSRRefT22_13x_0" localSheetId="87">'450'!$T$76:$T$82</definedName>
    <definedName name="OSRRefT22_13x_0" localSheetId="70">'491'!$T$76</definedName>
    <definedName name="OSRRefT22_13x_0" localSheetId="82">'492'!$T$73:$T$76</definedName>
    <definedName name="OSRRefT22_13x_0" localSheetId="89">'501'!$T$70</definedName>
    <definedName name="OSRRefT22_13x_0" localSheetId="39">'Div 2'!$T$69:$T$72</definedName>
    <definedName name="OSRRefT22_13x_0" localSheetId="47">'Div 3'!$T$106</definedName>
    <definedName name="OSRRefT22_13x_0" localSheetId="68">'Div 4'!$T$75</definedName>
    <definedName name="OSRRefT22_13x_0" localSheetId="88">'Div 5'!$T$70</definedName>
    <definedName name="OSRRefT22_13x_0" localSheetId="2">Summary!$T$115</definedName>
    <definedName name="OSRRefT22_14x_0" localSheetId="41">'201'!$T$69</definedName>
    <definedName name="OSRRefT22_14x_0" localSheetId="43">'203'!$T$72</definedName>
    <definedName name="OSRRefT22_14x_0" localSheetId="48">'300'!$T$104</definedName>
    <definedName name="OSRRefT22_14x_0" localSheetId="49">'300 &amp; 317'!$T$110</definedName>
    <definedName name="OSRRefT22_14x_0" localSheetId="50">'301'!$T$69</definedName>
    <definedName name="OSRRefT22_14x_0" localSheetId="63">'310'!$T$78:$T$82</definedName>
    <definedName name="OSRRefT22_14x_0" localSheetId="69">'310 &amp; 491'!$T$81:$T$85</definedName>
    <definedName name="OSRRefT22_14x_0" localSheetId="57">'315'!$T$93:$T$94</definedName>
    <definedName name="OSRRefT22_14x_0" localSheetId="66">'325'!$T$79:$T$80</definedName>
    <definedName name="OSRRefT22_14x_0" localSheetId="58">'326'!$T$77:$T$79</definedName>
    <definedName name="OSRRefT22_14x_0" localSheetId="56">'331'!$T$91:$T$92</definedName>
    <definedName name="OSRRefT22_14x_0" localSheetId="54">'333'!$T$94:$T$95</definedName>
    <definedName name="OSRRefT22_14x_0" localSheetId="71">'405'!$T$84</definedName>
    <definedName name="OSRRefT22_14x_0" localSheetId="73">'411'!$T$72</definedName>
    <definedName name="OSRRefT22_14x_0" localSheetId="77">'415'!$T$77:$T$83</definedName>
    <definedName name="OSRRefT22_14x_0" localSheetId="78">'418'!$T$83</definedName>
    <definedName name="OSRRefT22_14x_0" localSheetId="84">'433'!$T$85</definedName>
    <definedName name="OSRRefT22_14x_0" localSheetId="86">'444'!$T$77:$T$84</definedName>
    <definedName name="OSRRefT22_14x_0" localSheetId="87">'450'!$T$84</definedName>
    <definedName name="OSRRefT22_14x_0" localSheetId="70">'491'!$T$78:$T$82</definedName>
    <definedName name="OSRRefT22_14x_0" localSheetId="82">'492'!$T$78</definedName>
    <definedName name="OSRRefT22_14x_0" localSheetId="39">'Div 2'!$T$74:$T$75</definedName>
    <definedName name="OSRRefT22_14x_0" localSheetId="47">'Div 3'!$T$108</definedName>
    <definedName name="OSRRefT22_14x_0" localSheetId="68">'Div 4'!$T$77:$T$80</definedName>
    <definedName name="OSRRefT22_14x_0" localSheetId="2">Summary!$T$117</definedName>
    <definedName name="OSRRefT22_15x_0" localSheetId="41">'201'!$T$71</definedName>
    <definedName name="OSRRefT22_15x_0" localSheetId="48">'300'!$T$106</definedName>
    <definedName name="OSRRefT22_15x_0" localSheetId="49">'300 &amp; 317'!$T$112</definedName>
    <definedName name="OSRRefT22_15x_0" localSheetId="50">'301'!$T$71:$T$74</definedName>
    <definedName name="OSRRefT22_15x_0" localSheetId="63">'310'!$T$84:$T$85</definedName>
    <definedName name="OSRRefT22_15x_0" localSheetId="69">'310 &amp; 491'!$T$87</definedName>
    <definedName name="OSRRefT22_15x_0" localSheetId="57">'315'!$T$96:$T$99</definedName>
    <definedName name="OSRRefT22_15x_0" localSheetId="66">'325'!$T$82</definedName>
    <definedName name="OSRRefT22_15x_0" localSheetId="58">'326'!$T$81</definedName>
    <definedName name="OSRRefT22_15x_0" localSheetId="56">'331'!$T$94:$T$96</definedName>
    <definedName name="OSRRefT22_15x_0" localSheetId="54">'333'!$T$97:$T$99</definedName>
    <definedName name="OSRRefT22_15x_0" localSheetId="71">'405'!$T$86</definedName>
    <definedName name="OSRRefT22_15x_0" localSheetId="77">'415'!$T$85:$T$86</definedName>
    <definedName name="OSRRefT22_15x_0" localSheetId="84">'433'!$T$87</definedName>
    <definedName name="OSRRefT22_15x_0" localSheetId="86">'444'!$T$86</definedName>
    <definedName name="OSRRefT22_15x_0" localSheetId="87">'450'!$T$86</definedName>
    <definedName name="OSRRefT22_15x_0" localSheetId="70">'491'!$T$84</definedName>
    <definedName name="OSRRefT22_15x_0" localSheetId="82">'492'!$T$80:$T$87</definedName>
    <definedName name="OSRRefT22_15x_0" localSheetId="39">'Div 2'!$T$77:$T$78</definedName>
    <definedName name="OSRRefT22_15x_0" localSheetId="47">'Div 3'!$T$110</definedName>
    <definedName name="OSRRefT22_15x_0" localSheetId="68">'Div 4'!$T$82</definedName>
    <definedName name="OSRRefT22_15x_0" localSheetId="2">Summary!$T$119</definedName>
    <definedName name="OSRRefT22_16x_0" localSheetId="48">'300'!$T$108:$T$111</definedName>
    <definedName name="OSRRefT22_16x_0" localSheetId="49">'300 &amp; 317'!$T$114:$T$117</definedName>
    <definedName name="OSRRefT22_16x_0" localSheetId="50">'301'!$T$76:$T$77</definedName>
    <definedName name="OSRRefT22_16x_0" localSheetId="63">'310'!$T$87</definedName>
    <definedName name="OSRRefT22_16x_0" localSheetId="69">'310 &amp; 491'!$T$89:$T$98</definedName>
    <definedName name="OSRRefT22_16x_0" localSheetId="57">'315'!$T$101</definedName>
    <definedName name="OSRRefT22_16x_0" localSheetId="58">'326'!$T$83:$T$84</definedName>
    <definedName name="OSRRefT22_16x_0" localSheetId="56">'331'!$T$98:$T$99</definedName>
    <definedName name="OSRRefT22_16x_0" localSheetId="54">'333'!$T$101:$T$103</definedName>
    <definedName name="OSRRefT22_16x_0" localSheetId="77">'415'!$T$88</definedName>
    <definedName name="OSRRefT22_16x_0" localSheetId="86">'444'!$T$88</definedName>
    <definedName name="OSRRefT22_16x_0" localSheetId="87">'450'!$T$88</definedName>
    <definedName name="OSRRefT22_16x_0" localSheetId="70">'491'!$T$86:$T$95</definedName>
    <definedName name="OSRRefT22_16x_0" localSheetId="82">'492'!$T$89:$T$90</definedName>
    <definedName name="OSRRefT22_16x_0" localSheetId="39">'Div 2'!$T$80:$T$85</definedName>
    <definedName name="OSRRefT22_16x_0" localSheetId="47">'Div 3'!$T$112</definedName>
    <definedName name="OSRRefT22_16x_0" localSheetId="68">'Div 4'!$T$84:$T$88</definedName>
    <definedName name="OSRRefT22_16x_0" localSheetId="2">Summary!$T$121</definedName>
    <definedName name="OSRRefT22_17x_0" localSheetId="48">'300'!$T$113:$T$116</definedName>
    <definedName name="OSRRefT22_17x_0" localSheetId="49">'300 &amp; 317'!$T$119:$T$122</definedName>
    <definedName name="OSRRefT22_17x_0" localSheetId="50">'301'!$T$79</definedName>
    <definedName name="OSRRefT22_17x_0" localSheetId="63">'310'!$T$89</definedName>
    <definedName name="OSRRefT22_17x_0" localSheetId="69">'310 &amp; 491'!$T$100:$T$101</definedName>
    <definedName name="OSRRefT22_17x_0" localSheetId="57">'315'!$T$103</definedName>
    <definedName name="OSRRefT22_17x_0" localSheetId="58">'326'!$T$86</definedName>
    <definedName name="OSRRefT22_17x_0" localSheetId="56">'331'!$T$101:$T$102</definedName>
    <definedName name="OSRRefT22_17x_0" localSheetId="54">'333'!$T$105:$T$106</definedName>
    <definedName name="OSRRefT22_17x_0" localSheetId="77">'415'!$T$90</definedName>
    <definedName name="OSRRefT22_17x_0" localSheetId="70">'491'!$T$97:$T$98</definedName>
    <definedName name="OSRRefT22_17x_0" localSheetId="82">'492'!$T$92</definedName>
    <definedName name="OSRRefT22_17x_0" localSheetId="39">'Div 2'!$T$87:$T$88</definedName>
    <definedName name="OSRRefT22_17x_0" localSheetId="47">'Div 3'!$T$114:$T$117</definedName>
    <definedName name="OSRRefT22_17x_0" localSheetId="68">'Div 4'!$T$90:$T$91</definedName>
    <definedName name="OSRRefT22_17x_0" localSheetId="2">Summary!$T$123</definedName>
    <definedName name="OSRRefT22_18x_0" localSheetId="48">'300'!$T$118:$T$120</definedName>
    <definedName name="OSRRefT22_18x_0" localSheetId="49">'300 &amp; 317'!$T$124:$T$126</definedName>
    <definedName name="OSRRefT22_18x_0" localSheetId="50">'301'!$T$81:$T$86</definedName>
    <definedName name="OSRRefT22_18x_0" localSheetId="69">'310 &amp; 491'!$T$103</definedName>
    <definedName name="OSRRefT22_18x_0" localSheetId="56">'331'!$T$104:$T$108</definedName>
    <definedName name="OSRRefT22_18x_0" localSheetId="54">'333'!$T$108:$T$113</definedName>
    <definedName name="OSRRefT22_18x_0" localSheetId="70">'491'!$T$100</definedName>
    <definedName name="OSRRefT22_18x_0" localSheetId="82">'492'!$T$94:$T$95</definedName>
    <definedName name="OSRRefT22_18x_0" localSheetId="39">'Div 2'!$T$90</definedName>
    <definedName name="OSRRefT22_18x_0" localSheetId="47">'Div 3'!$T$119:$T$122</definedName>
    <definedName name="OSRRefT22_18x_0" localSheetId="68">'Div 4'!$T$93:$T$102</definedName>
    <definedName name="OSRRefT22_18x_0" localSheetId="2">Summary!$T$125:$T$128</definedName>
    <definedName name="OSRRefT22_19x_0" localSheetId="48">'300'!$T$122:$T$123</definedName>
    <definedName name="OSRRefT22_19x_0" localSheetId="49">'300 &amp; 317'!$T$128:$T$129</definedName>
    <definedName name="OSRRefT22_19x_0" localSheetId="50">'301'!$T$88</definedName>
    <definedName name="OSRRefT22_19x_0" localSheetId="69">'310 &amp; 491'!$T$105</definedName>
    <definedName name="OSRRefT22_19x_0" localSheetId="56">'331'!$T$110</definedName>
    <definedName name="OSRRefT22_19x_0" localSheetId="54">'333'!$T$115</definedName>
    <definedName name="OSRRefT22_19x_0" localSheetId="70">'491'!$T$102</definedName>
    <definedName name="OSRRefT22_19x_0" localSheetId="39">'Div 2'!$T$92:$T$93</definedName>
    <definedName name="OSRRefT22_19x_0" localSheetId="47">'Div 3'!$T$124:$T$127</definedName>
    <definedName name="OSRRefT22_19x_0" localSheetId="68">'Div 4'!$T$104:$T$105</definedName>
    <definedName name="OSRRefT22_19x_0" localSheetId="2">Summary!$T$130:$T$133</definedName>
    <definedName name="OSRRefT22_1x_0" localSheetId="40">'200'!$T$22</definedName>
    <definedName name="OSRRefT22_1x_0" localSheetId="41">'201'!$T$30:$T$39</definedName>
    <definedName name="OSRRefT22_1x_0" localSheetId="42">'202'!$T$30:$T$39</definedName>
    <definedName name="OSRRefT22_1x_0" localSheetId="43">'203'!$T$31:$T$40</definedName>
    <definedName name="OSRRefT22_1x_0" localSheetId="44">'204'!$T$30:$T$39</definedName>
    <definedName name="OSRRefT22_1x_0" localSheetId="45">'205'!$T$30:$T$39</definedName>
    <definedName name="OSRRefT22_1x_0" localSheetId="46">'206'!$T$30:$T$39</definedName>
    <definedName name="OSRRefT22_1x_0" localSheetId="48">'300'!$T$65:$T$74</definedName>
    <definedName name="OSRRefT22_1x_0" localSheetId="49">'300 &amp; 317'!$T$71:$T$80</definedName>
    <definedName name="OSRRefT22_1x_0" localSheetId="50">'301'!$T$32:$T$41</definedName>
    <definedName name="OSRRefT22_1x_0" localSheetId="55">'307'!$T$43:$T$52</definedName>
    <definedName name="OSRRefT22_1x_0" localSheetId="51">'308'!$T$46:$T$55</definedName>
    <definedName name="OSRRefT22_1x_0" localSheetId="64">'309'!$T$23</definedName>
    <definedName name="OSRRefT22_1x_0" localSheetId="63">'310'!$T$38:$T$47</definedName>
    <definedName name="OSRRefT22_1x_0" localSheetId="69">'310 &amp; 491'!$T$40:$T$49</definedName>
    <definedName name="OSRRefT22_1x_0" localSheetId="52">'311'!$T$46:$T$55</definedName>
    <definedName name="OSRRefT22_1x_0" localSheetId="57">'315'!$T$54:$T$63</definedName>
    <definedName name="OSRRefT22_1x_0" localSheetId="60">'316'!$T$37:$T$46</definedName>
    <definedName name="OSRRefT22_1x_0" localSheetId="62">'317'!$T$46:$T$55</definedName>
    <definedName name="OSRRefT22_1x_0" localSheetId="65">'321'!$T$35:$T$44</definedName>
    <definedName name="OSRRefT22_1x_0" localSheetId="66">'325'!$T$35:$T$44</definedName>
    <definedName name="OSRRefT22_1x_0" localSheetId="58">'326'!$T$38:$T$47</definedName>
    <definedName name="OSRRefT22_1x_0" localSheetId="67">'327'!$T$28</definedName>
    <definedName name="OSRRefT22_1x_0" localSheetId="56">'331'!$T$54:$T$63</definedName>
    <definedName name="OSRRefT22_1x_0" localSheetId="59">'332'!$T$37:$T$46</definedName>
    <definedName name="OSRRefT22_1x_0" localSheetId="54">'333'!$T$56:$T$65</definedName>
    <definedName name="OSRRefT22_1x_0" localSheetId="71">'405'!$T$37:$T$46</definedName>
    <definedName name="OSRRefT22_1x_0" localSheetId="72">'406'!$T$22</definedName>
    <definedName name="OSRRefT22_1x_0" localSheetId="73">'411'!$T$30:$T$39</definedName>
    <definedName name="OSRRefT22_1x_0" localSheetId="74">'412'!$T$22</definedName>
    <definedName name="OSRRefT22_1x_0" localSheetId="75">'413'!$T$22</definedName>
    <definedName name="OSRRefT22_1x_0" localSheetId="76">'414'!$T$22</definedName>
    <definedName name="OSRRefT22_1x_0" localSheetId="77">'415'!$T$37:$T$46</definedName>
    <definedName name="OSRRefT22_1x_0" localSheetId="78">'418'!$T$34:$T$43</definedName>
    <definedName name="OSRRefT22_1x_0" localSheetId="79">'423'!$T$29:$T$38</definedName>
    <definedName name="OSRRefT22_1x_0" localSheetId="80">'424'!$T$22</definedName>
    <definedName name="OSRRefT22_1x_0" localSheetId="81">'425'!$T$24</definedName>
    <definedName name="OSRRefT22_1x_0" localSheetId="83">'430'!$T$30:$T$39</definedName>
    <definedName name="OSRRefT22_1x_0" localSheetId="84">'433'!$T$38:$T$47</definedName>
    <definedName name="OSRRefT22_1x_0" localSheetId="86">'444'!$T$38:$T$47</definedName>
    <definedName name="OSRRefT22_1x_0" localSheetId="87">'450'!$T$38:$T$47</definedName>
    <definedName name="OSRRefT22_1x_0" localSheetId="70">'491'!$T$38:$T$47</definedName>
    <definedName name="OSRRefT22_1x_0" localSheetId="82">'492'!$T$38:$T$47</definedName>
    <definedName name="OSRRefT22_1x_0" localSheetId="89">'501'!$T$32:$T$41</definedName>
    <definedName name="OSRRefT22_1x_0" localSheetId="39">'Div 2'!$T$32:$T$41</definedName>
    <definedName name="OSRRefT22_1x_0" localSheetId="47">'Div 3'!$T$69:$T$78</definedName>
    <definedName name="OSRRefT22_1x_0" localSheetId="68">'Div 4'!$T$40:$T$49</definedName>
    <definedName name="OSRRefT22_1x_0" localSheetId="88">'Div 5'!$T$32:$T$41</definedName>
    <definedName name="OSRRefT22_1x_0" localSheetId="61">'Div 6'!$T$46:$T$55</definedName>
    <definedName name="OSRRefT22_1x_0" localSheetId="2">Summary!$T$77:$T$86</definedName>
    <definedName name="OSRRefT22_20x_0" localSheetId="48">'300'!$T$125:$T$131</definedName>
    <definedName name="OSRRefT22_20x_0" localSheetId="49">'300 &amp; 317'!$T$131:$T$137</definedName>
    <definedName name="OSRRefT22_20x_0" localSheetId="50">'301'!$T$90</definedName>
    <definedName name="OSRRefT22_20x_0" localSheetId="69">'310 &amp; 491'!$T$107</definedName>
    <definedName name="OSRRefT22_20x_0" localSheetId="56">'331'!$T$112:$T$113</definedName>
    <definedName name="OSRRefT22_20x_0" localSheetId="54">'333'!$T$117:$T$118</definedName>
    <definedName name="OSRRefT22_20x_0" localSheetId="70">'491'!$T$104</definedName>
    <definedName name="OSRRefT22_20x_0" localSheetId="47">'Div 3'!$T$129:$T$130</definedName>
    <definedName name="OSRRefT22_20x_0" localSheetId="68">'Div 4'!$T$107</definedName>
    <definedName name="OSRRefT22_20x_0" localSheetId="2">Summary!$T$135:$T$139</definedName>
    <definedName name="OSRRefT22_21x_0" localSheetId="48">'300'!$T$133:$T$134</definedName>
    <definedName name="OSRRefT22_21x_0" localSheetId="49">'300 &amp; 317'!$T$139:$T$140</definedName>
    <definedName name="OSRRefT22_21x_0" localSheetId="50">'301'!$T$92:$T$93</definedName>
    <definedName name="OSRRefT22_21x_0" localSheetId="56">'331'!$T$115</definedName>
    <definedName name="OSRRefT22_21x_0" localSheetId="54">'333'!$T$120</definedName>
    <definedName name="OSRRefT22_21x_0" localSheetId="47">'Div 3'!$T$132:$T$138</definedName>
    <definedName name="OSRRefT22_21x_0" localSheetId="68">'Div 4'!$T$109:$T$110</definedName>
    <definedName name="OSRRefT22_21x_0" localSheetId="2">Summary!$T$141:$T$142</definedName>
    <definedName name="OSRRefT22_22x_0" localSheetId="48">'300'!$T$136</definedName>
    <definedName name="OSRRefT22_22x_0" localSheetId="49">'300 &amp; 317'!$T$142</definedName>
    <definedName name="OSRRefT22_22x_0" localSheetId="50">'301'!$T$95</definedName>
    <definedName name="OSRRefT22_22x_0" localSheetId="47">'Div 3'!$T$140:$T$141</definedName>
    <definedName name="OSRRefT22_22x_0" localSheetId="68">'Div 4'!$T$112</definedName>
    <definedName name="OSRRefT22_22x_0" localSheetId="2">Summary!$T$144:$T$153</definedName>
    <definedName name="OSRRefT22_23x_0" localSheetId="48">'300'!$T$138:$T$140</definedName>
    <definedName name="OSRRefT22_23x_0" localSheetId="49">'300 &amp; 317'!$T$144:$T$146</definedName>
    <definedName name="OSRRefT22_23x_0" localSheetId="47">'Div 3'!$T$143</definedName>
    <definedName name="OSRRefT22_23x_0" localSheetId="2">Summary!$T$155:$T$156</definedName>
    <definedName name="OSRRefT22_24x_0" localSheetId="48">'300'!$T$142</definedName>
    <definedName name="OSRRefT22_24x_0" localSheetId="49">'300 &amp; 317'!$T$148</definedName>
    <definedName name="OSRRefT22_24x_0" localSheetId="47">'Div 3'!$T$145:$T$147</definedName>
    <definedName name="OSRRefT22_24x_0" localSheetId="2">Summary!$T$158</definedName>
    <definedName name="OSRRefT22_25x_0" localSheetId="47">'Div 3'!$T$149</definedName>
    <definedName name="OSRRefT22_25x_0" localSheetId="2">Summary!$T$160:$T$162</definedName>
    <definedName name="OSRRefT22_26x_0" localSheetId="2">Summary!$T$164</definedName>
    <definedName name="OSRRefT22_2x_0" localSheetId="40">'200'!$T$24</definedName>
    <definedName name="OSRRefT22_2x_0" localSheetId="41">'201'!$T$41</definedName>
    <definedName name="OSRRefT22_2x_0" localSheetId="42">'202'!$T$41</definedName>
    <definedName name="OSRRefT22_2x_0" localSheetId="43">'203'!$T$42</definedName>
    <definedName name="OSRRefT22_2x_0" localSheetId="44">'204'!$T$41</definedName>
    <definedName name="OSRRefT22_2x_0" localSheetId="45">'205'!$T$41</definedName>
    <definedName name="OSRRefT22_2x_0" localSheetId="46">'206'!$T$41</definedName>
    <definedName name="OSRRefT22_2x_0" localSheetId="48">'300'!$T$76</definedName>
    <definedName name="OSRRefT22_2x_0" localSheetId="49">'300 &amp; 317'!$T$82</definedName>
    <definedName name="OSRRefT22_2x_0" localSheetId="50">'301'!$T$43</definedName>
    <definedName name="OSRRefT22_2x_0" localSheetId="55">'307'!$T$54</definedName>
    <definedName name="OSRRefT22_2x_0" localSheetId="51">'308'!$T$57</definedName>
    <definedName name="OSRRefT22_2x_0" localSheetId="64">'309'!$T$25</definedName>
    <definedName name="OSRRefT22_2x_0" localSheetId="63">'310'!$T$49</definedName>
    <definedName name="OSRRefT22_2x_0" localSheetId="69">'310 &amp; 491'!$T$51</definedName>
    <definedName name="OSRRefT22_2x_0" localSheetId="52">'311'!$T$57</definedName>
    <definedName name="OSRRefT22_2x_0" localSheetId="57">'315'!$T$65</definedName>
    <definedName name="OSRRefT22_2x_0" localSheetId="60">'316'!$T$48</definedName>
    <definedName name="OSRRefT22_2x_0" localSheetId="62">'317'!$T$57</definedName>
    <definedName name="OSRRefT22_2x_0" localSheetId="65">'321'!$T$46</definedName>
    <definedName name="OSRRefT22_2x_0" localSheetId="66">'325'!$T$46</definedName>
    <definedName name="OSRRefT22_2x_0" localSheetId="58">'326'!$T$49</definedName>
    <definedName name="OSRRefT22_2x_0" localSheetId="56">'331'!$T$65</definedName>
    <definedName name="OSRRefT22_2x_0" localSheetId="59">'332'!$T$48</definedName>
    <definedName name="OSRRefT22_2x_0" localSheetId="54">'333'!$T$67</definedName>
    <definedName name="OSRRefT22_2x_0" localSheetId="71">'405'!$T$48</definedName>
    <definedName name="OSRRefT22_2x_0" localSheetId="73">'411'!$T$41</definedName>
    <definedName name="OSRRefT22_2x_0" localSheetId="74">'412'!$T$24</definedName>
    <definedName name="OSRRefT22_2x_0" localSheetId="75">'413'!$T$24</definedName>
    <definedName name="OSRRefT22_2x_0" localSheetId="76">'414'!$T$24</definedName>
    <definedName name="OSRRefT22_2x_0" localSheetId="77">'415'!$T$48</definedName>
    <definedName name="OSRRefT22_2x_0" localSheetId="78">'418'!$T$45</definedName>
    <definedName name="OSRRefT22_2x_0" localSheetId="79">'423'!$T$40</definedName>
    <definedName name="OSRRefT22_2x_0" localSheetId="80">'424'!$T$24</definedName>
    <definedName name="OSRRefT22_2x_0" localSheetId="81">'425'!$T$26</definedName>
    <definedName name="OSRRefT22_2x_0" localSheetId="83">'430'!$T$41</definedName>
    <definedName name="OSRRefT22_2x_0" localSheetId="84">'433'!$T$49</definedName>
    <definedName name="OSRRefT22_2x_0" localSheetId="86">'444'!$T$49</definedName>
    <definedName name="OSRRefT22_2x_0" localSheetId="87">'450'!$T$49</definedName>
    <definedName name="OSRRefT22_2x_0" localSheetId="70">'491'!$T$49</definedName>
    <definedName name="OSRRefT22_2x_0" localSheetId="82">'492'!$T$49</definedName>
    <definedName name="OSRRefT22_2x_0" localSheetId="89">'501'!$T$43</definedName>
    <definedName name="OSRRefT22_2x_0" localSheetId="39">'Div 2'!$T$43</definedName>
    <definedName name="OSRRefT22_2x_0" localSheetId="47">'Div 3'!$T$80</definedName>
    <definedName name="OSRRefT22_2x_0" localSheetId="68">'Div 4'!$T$51</definedName>
    <definedName name="OSRRefT22_2x_0" localSheetId="88">'Div 5'!$T$43</definedName>
    <definedName name="OSRRefT22_2x_0" localSheetId="61">'Div 6'!$T$57</definedName>
    <definedName name="OSRRefT22_2x_0" localSheetId="2">Summary!$T$88</definedName>
    <definedName name="OSRRefT22_3x_0" localSheetId="40">'200'!$T$26:$T$27</definedName>
    <definedName name="OSRRefT22_3x_0" localSheetId="41">'201'!$T$43</definedName>
    <definedName name="OSRRefT22_3x_0" localSheetId="42">'202'!$T$43</definedName>
    <definedName name="OSRRefT22_3x_0" localSheetId="43">'203'!$T$44</definedName>
    <definedName name="OSRRefT22_3x_0" localSheetId="44">'204'!$T$43:$T$44</definedName>
    <definedName name="OSRRefT22_3x_0" localSheetId="45">'205'!$T$43</definedName>
    <definedName name="OSRRefT22_3x_0" localSheetId="46">'206'!$T$43</definedName>
    <definedName name="OSRRefT22_3x_0" localSheetId="48">'300'!$T$78</definedName>
    <definedName name="OSRRefT22_3x_0" localSheetId="49">'300 &amp; 317'!$T$84</definedName>
    <definedName name="OSRRefT22_3x_0" localSheetId="50">'301'!$T$45</definedName>
    <definedName name="OSRRefT22_3x_0" localSheetId="55">'307'!$T$56</definedName>
    <definedName name="OSRRefT22_3x_0" localSheetId="51">'308'!$T$59</definedName>
    <definedName name="OSRRefT22_3x_0" localSheetId="64">'309'!$T$27</definedName>
    <definedName name="OSRRefT22_3x_0" localSheetId="63">'310'!$T$51</definedName>
    <definedName name="OSRRefT22_3x_0" localSheetId="69">'310 &amp; 491'!$T$53</definedName>
    <definedName name="OSRRefT22_3x_0" localSheetId="52">'311'!$T$59</definedName>
    <definedName name="OSRRefT22_3x_0" localSheetId="57">'315'!$T$67</definedName>
    <definedName name="OSRRefT22_3x_0" localSheetId="60">'316'!$T$50</definedName>
    <definedName name="OSRRefT22_3x_0" localSheetId="62">'317'!$T$59</definedName>
    <definedName name="OSRRefT22_3x_0" localSheetId="65">'321'!$T$48</definedName>
    <definedName name="OSRRefT22_3x_0" localSheetId="66">'325'!$T$48</definedName>
    <definedName name="OSRRefT22_3x_0" localSheetId="58">'326'!$T$51</definedName>
    <definedName name="OSRRefT22_3x_0" localSheetId="56">'331'!$T$67</definedName>
    <definedName name="OSRRefT22_3x_0" localSheetId="59">'332'!$T$50</definedName>
    <definedName name="OSRRefT22_3x_0" localSheetId="54">'333'!$T$69</definedName>
    <definedName name="OSRRefT22_3x_0" localSheetId="71">'405'!$T$50</definedName>
    <definedName name="OSRRefT22_3x_0" localSheetId="73">'411'!$T$43:$T$44</definedName>
    <definedName name="OSRRefT22_3x_0" localSheetId="74">'412'!$T$26</definedName>
    <definedName name="OSRRefT22_3x_0" localSheetId="77">'415'!$T$50</definedName>
    <definedName name="OSRRefT22_3x_0" localSheetId="78">'418'!$T$47</definedName>
    <definedName name="OSRRefT22_3x_0" localSheetId="79">'423'!$T$42</definedName>
    <definedName name="OSRRefT22_3x_0" localSheetId="81">'425'!$T$28</definedName>
    <definedName name="OSRRefT22_3x_0" localSheetId="83">'430'!$T$43</definedName>
    <definedName name="OSRRefT22_3x_0" localSheetId="84">'433'!$T$51</definedName>
    <definedName name="OSRRefT22_3x_0" localSheetId="86">'444'!$T$51</definedName>
    <definedName name="OSRRefT22_3x_0" localSheetId="87">'450'!$T$51</definedName>
    <definedName name="OSRRefT22_3x_0" localSheetId="70">'491'!$T$51</definedName>
    <definedName name="OSRRefT22_3x_0" localSheetId="82">'492'!$T$51</definedName>
    <definedName name="OSRRefT22_3x_0" localSheetId="89">'501'!$T$45</definedName>
    <definedName name="OSRRefT22_3x_0" localSheetId="39">'Div 2'!$T$45</definedName>
    <definedName name="OSRRefT22_3x_0" localSheetId="47">'Div 3'!$T$82</definedName>
    <definedName name="OSRRefT22_3x_0" localSheetId="68">'Div 4'!$T$53</definedName>
    <definedName name="OSRRefT22_3x_0" localSheetId="88">'Div 5'!$T$45</definedName>
    <definedName name="OSRRefT22_3x_0" localSheetId="61">'Div 6'!$T$59</definedName>
    <definedName name="OSRRefT22_3x_0" localSheetId="2">Summary!$T$90</definedName>
    <definedName name="OSRRefT22_4x_0" localSheetId="41">'201'!$T$45</definedName>
    <definedName name="OSRRefT22_4x_0" localSheetId="42">'202'!$T$45</definedName>
    <definedName name="OSRRefT22_4x_0" localSheetId="43">'203'!$T$46</definedName>
    <definedName name="OSRRefT22_4x_0" localSheetId="44">'204'!$T$46</definedName>
    <definedName name="OSRRefT22_4x_0" localSheetId="45">'205'!$T$45:$T$46</definedName>
    <definedName name="OSRRefT22_4x_0" localSheetId="46">'206'!$T$45:$T$46</definedName>
    <definedName name="OSRRefT22_4x_0" localSheetId="48">'300'!$T$80</definedName>
    <definedName name="OSRRefT22_4x_0" localSheetId="49">'300 &amp; 317'!$T$86</definedName>
    <definedName name="OSRRefT22_4x_0" localSheetId="50">'301'!$T$47</definedName>
    <definedName name="OSRRefT22_4x_0" localSheetId="55">'307'!$T$58</definedName>
    <definedName name="OSRRefT22_4x_0" localSheetId="51">'308'!$T$61</definedName>
    <definedName name="OSRRefT22_4x_0" localSheetId="64">'309'!$T$29</definedName>
    <definedName name="OSRRefT22_4x_0" localSheetId="63">'310'!$T$53</definedName>
    <definedName name="OSRRefT22_4x_0" localSheetId="69">'310 &amp; 491'!$T$55</definedName>
    <definedName name="OSRRefT22_4x_0" localSheetId="52">'311'!$T$61</definedName>
    <definedName name="OSRRefT22_4x_0" localSheetId="57">'315'!$T$69</definedName>
    <definedName name="OSRRefT22_4x_0" localSheetId="60">'316'!$T$52</definedName>
    <definedName name="OSRRefT22_4x_0" localSheetId="62">'317'!$T$61</definedName>
    <definedName name="OSRRefT22_4x_0" localSheetId="65">'321'!$T$50</definedName>
    <definedName name="OSRRefT22_4x_0" localSheetId="66">'325'!$T$50</definedName>
    <definedName name="OSRRefT22_4x_0" localSheetId="58">'326'!$T$53</definedName>
    <definedName name="OSRRefT22_4x_0" localSheetId="56">'331'!$T$69</definedName>
    <definedName name="OSRRefT22_4x_0" localSheetId="59">'332'!$T$52</definedName>
    <definedName name="OSRRefT22_4x_0" localSheetId="54">'333'!$T$71</definedName>
    <definedName name="OSRRefT22_4x_0" localSheetId="71">'405'!$T$52</definedName>
    <definedName name="OSRRefT22_4x_0" localSheetId="73">'411'!$T$46</definedName>
    <definedName name="OSRRefT22_4x_0" localSheetId="77">'415'!$T$52</definedName>
    <definedName name="OSRRefT22_4x_0" localSheetId="78">'418'!$T$49:$T$50</definedName>
    <definedName name="OSRRefT22_4x_0" localSheetId="79">'423'!$T$44</definedName>
    <definedName name="OSRRefT22_4x_0" localSheetId="81">'425'!$T$30</definedName>
    <definedName name="OSRRefT22_4x_0" localSheetId="83">'430'!$T$45</definedName>
    <definedName name="OSRRefT22_4x_0" localSheetId="84">'433'!$T$53</definedName>
    <definedName name="OSRRefT22_4x_0" localSheetId="86">'444'!$T$53</definedName>
    <definedName name="OSRRefT22_4x_0" localSheetId="87">'450'!$T$53</definedName>
    <definedName name="OSRRefT22_4x_0" localSheetId="70">'491'!$T$53</definedName>
    <definedName name="OSRRefT22_4x_0" localSheetId="82">'492'!$T$53</definedName>
    <definedName name="OSRRefT22_4x_0" localSheetId="89">'501'!$T$47</definedName>
    <definedName name="OSRRefT22_4x_0" localSheetId="39">'Div 2'!$T$47</definedName>
    <definedName name="OSRRefT22_4x_0" localSheetId="47">'Div 3'!$T$84</definedName>
    <definedName name="OSRRefT22_4x_0" localSheetId="68">'Div 4'!$T$55</definedName>
    <definedName name="OSRRefT22_4x_0" localSheetId="88">'Div 5'!$T$47</definedName>
    <definedName name="OSRRefT22_4x_0" localSheetId="61">'Div 6'!$T$61</definedName>
    <definedName name="OSRRefT22_4x_0" localSheetId="2">Summary!$T$92</definedName>
    <definedName name="OSRRefT22_5x_0" localSheetId="41">'201'!$T$47</definedName>
    <definedName name="OSRRefT22_5x_0" localSheetId="42">'202'!$T$47</definedName>
    <definedName name="OSRRefT22_5x_0" localSheetId="43">'203'!$T$48</definedName>
    <definedName name="OSRRefT22_5x_0" localSheetId="44">'204'!$T$48:$T$51</definedName>
    <definedName name="OSRRefT22_5x_0" localSheetId="45">'205'!$T$48</definedName>
    <definedName name="OSRRefT22_5x_0" localSheetId="46">'206'!$T$48</definedName>
    <definedName name="OSRRefT22_5x_0" localSheetId="48">'300'!$T$82:$T$83</definedName>
    <definedName name="OSRRefT22_5x_0" localSheetId="49">'300 &amp; 317'!$T$88:$T$89</definedName>
    <definedName name="OSRRefT22_5x_0" localSheetId="50">'301'!$T$49:$T$50</definedName>
    <definedName name="OSRRefT22_5x_0" localSheetId="55">'307'!$T$60:$T$61</definedName>
    <definedName name="OSRRefT22_5x_0" localSheetId="51">'308'!$T$63</definedName>
    <definedName name="OSRRefT22_5x_0" localSheetId="64">'309'!$T$31:$T$32</definedName>
    <definedName name="OSRRefT22_5x_0" localSheetId="63">'310'!$T$55:$T$56</definedName>
    <definedName name="OSRRefT22_5x_0" localSheetId="69">'310 &amp; 491'!$T$57:$T$58</definedName>
    <definedName name="OSRRefT22_5x_0" localSheetId="52">'311'!$T$63</definedName>
    <definedName name="OSRRefT22_5x_0" localSheetId="57">'315'!$T$71</definedName>
    <definedName name="OSRRefT22_5x_0" localSheetId="60">'316'!$T$54:$T$55</definedName>
    <definedName name="OSRRefT22_5x_0" localSheetId="62">'317'!$T$63</definedName>
    <definedName name="OSRRefT22_5x_0" localSheetId="65">'321'!$T$52</definedName>
    <definedName name="OSRRefT22_5x_0" localSheetId="66">'325'!$T$52:$T$53</definedName>
    <definedName name="OSRRefT22_5x_0" localSheetId="58">'326'!$T$55</definedName>
    <definedName name="OSRRefT22_5x_0" localSheetId="56">'331'!$T$71</definedName>
    <definedName name="OSRRefT22_5x_0" localSheetId="59">'332'!$T$54:$T$55</definedName>
    <definedName name="OSRRefT22_5x_0" localSheetId="54">'333'!$T$73:$T$74</definedName>
    <definedName name="OSRRefT22_5x_0" localSheetId="71">'405'!$T$54:$T$55</definedName>
    <definedName name="OSRRefT22_5x_0" localSheetId="73">'411'!$T$48</definedName>
    <definedName name="OSRRefT22_5x_0" localSheetId="77">'415'!$T$54:$T$55</definedName>
    <definedName name="OSRRefT22_5x_0" localSheetId="78">'418'!$T$52</definedName>
    <definedName name="OSRRefT22_5x_0" localSheetId="79">'423'!$T$46</definedName>
    <definedName name="OSRRefT22_5x_0" localSheetId="81">'425'!$T$32</definedName>
    <definedName name="OSRRefT22_5x_0" localSheetId="83">'430'!$T$47:$T$48</definedName>
    <definedName name="OSRRefT22_5x_0" localSheetId="84">'433'!$T$55</definedName>
    <definedName name="OSRRefT22_5x_0" localSheetId="86">'444'!$T$55</definedName>
    <definedName name="OSRRefT22_5x_0" localSheetId="87">'450'!$T$55</definedName>
    <definedName name="OSRRefT22_5x_0" localSheetId="70">'491'!$T$55:$T$56</definedName>
    <definedName name="OSRRefT22_5x_0" localSheetId="82">'492'!$T$55</definedName>
    <definedName name="OSRRefT22_5x_0" localSheetId="89">'501'!$T$49:$T$50</definedName>
    <definedName name="OSRRefT22_5x_0" localSheetId="39">'Div 2'!$T$49:$T$50</definedName>
    <definedName name="OSRRefT22_5x_0" localSheetId="47">'Div 3'!$T$86:$T$87</definedName>
    <definedName name="OSRRefT22_5x_0" localSheetId="68">'Div 4'!$T$57:$T$58</definedName>
    <definedName name="OSRRefT22_5x_0" localSheetId="88">'Div 5'!$T$49:$T$50</definedName>
    <definedName name="OSRRefT22_5x_0" localSheetId="61">'Div 6'!$T$63</definedName>
    <definedName name="OSRRefT22_5x_0" localSheetId="2">Summary!$T$94:$T$95</definedName>
    <definedName name="OSRRefT22_6x_0" localSheetId="41">'201'!$T$49</definedName>
    <definedName name="OSRRefT22_6x_0" localSheetId="42">'202'!$T$49</definedName>
    <definedName name="OSRRefT22_6x_0" localSheetId="43">'203'!$T$50</definedName>
    <definedName name="OSRRefT22_6x_0" localSheetId="44">'204'!$T$53:$T$54</definedName>
    <definedName name="OSRRefT22_6x_0" localSheetId="45">'205'!$T$50:$T$52</definedName>
    <definedName name="OSRRefT22_6x_0" localSheetId="46">'206'!$T$50:$T$51</definedName>
    <definedName name="OSRRefT22_6x_0" localSheetId="48">'300'!$T$85:$T$86</definedName>
    <definedName name="OSRRefT22_6x_0" localSheetId="49">'300 &amp; 317'!$T$91:$T$92</definedName>
    <definedName name="OSRRefT22_6x_0" localSheetId="50">'301'!$T$52:$T$53</definedName>
    <definedName name="OSRRefT22_6x_0" localSheetId="55">'307'!$T$63</definedName>
    <definedName name="OSRRefT22_6x_0" localSheetId="51">'308'!$T$65:$T$66</definedName>
    <definedName name="OSRRefT22_6x_0" localSheetId="64">'309'!$T$34:$T$35</definedName>
    <definedName name="OSRRefT22_6x_0" localSheetId="63">'310'!$T$58</definedName>
    <definedName name="OSRRefT22_6x_0" localSheetId="69">'310 &amp; 491'!$T$60</definedName>
    <definedName name="OSRRefT22_6x_0" localSheetId="52">'311'!$T$65:$T$66</definedName>
    <definedName name="OSRRefT22_6x_0" localSheetId="57">'315'!$T$73</definedName>
    <definedName name="OSRRefT22_6x_0" localSheetId="60">'316'!$T$57</definedName>
    <definedName name="OSRRefT22_6x_0" localSheetId="62">'317'!$T$65</definedName>
    <definedName name="OSRRefT22_6x_0" localSheetId="65">'321'!$T$54:$T$55</definedName>
    <definedName name="OSRRefT22_6x_0" localSheetId="66">'325'!$T$55</definedName>
    <definedName name="OSRRefT22_6x_0" localSheetId="58">'326'!$T$57:$T$58</definedName>
    <definedName name="OSRRefT22_6x_0" localSheetId="56">'331'!$T$73</definedName>
    <definedName name="OSRRefT22_6x_0" localSheetId="59">'332'!$T$57</definedName>
    <definedName name="OSRRefT22_6x_0" localSheetId="54">'333'!$T$76</definedName>
    <definedName name="OSRRefT22_6x_0" localSheetId="71">'405'!$T$57</definedName>
    <definedName name="OSRRefT22_6x_0" localSheetId="73">'411'!$T$50</definedName>
    <definedName name="OSRRefT22_6x_0" localSheetId="77">'415'!$T$57</definedName>
    <definedName name="OSRRefT22_6x_0" localSheetId="78">'418'!$T$54</definedName>
    <definedName name="OSRRefT22_6x_0" localSheetId="83">'430'!$T$50:$T$51</definedName>
    <definedName name="OSRRefT22_6x_0" localSheetId="84">'433'!$T$57</definedName>
    <definedName name="OSRRefT22_6x_0" localSheetId="86">'444'!$T$57</definedName>
    <definedName name="OSRRefT22_6x_0" localSheetId="87">'450'!$T$57</definedName>
    <definedName name="OSRRefT22_6x_0" localSheetId="70">'491'!$T$58</definedName>
    <definedName name="OSRRefT22_6x_0" localSheetId="82">'492'!$T$57</definedName>
    <definedName name="OSRRefT22_6x_0" localSheetId="89">'501'!$T$52</definedName>
    <definedName name="OSRRefT22_6x_0" localSheetId="39">'Div 2'!$T$52</definedName>
    <definedName name="OSRRefT22_6x_0" localSheetId="47">'Div 3'!$T$89:$T$90</definedName>
    <definedName name="OSRRefT22_6x_0" localSheetId="68">'Div 4'!$T$60</definedName>
    <definedName name="OSRRefT22_6x_0" localSheetId="88">'Div 5'!$T$52</definedName>
    <definedName name="OSRRefT22_6x_0" localSheetId="61">'Div 6'!$T$65</definedName>
    <definedName name="OSRRefT22_6x_0" localSheetId="2">Summary!$T$97:$T$98</definedName>
    <definedName name="OSRRefT22_7x_0" localSheetId="41">'201'!$T$51</definedName>
    <definedName name="OSRRefT22_7x_0" localSheetId="42">'202'!$T$51:$T$53</definedName>
    <definedName name="OSRRefT22_7x_0" localSheetId="43">'203'!$T$52</definedName>
    <definedName name="OSRRefT22_7x_0" localSheetId="44">'204'!$T$56</definedName>
    <definedName name="OSRRefT22_7x_0" localSheetId="45">'205'!$T$54</definedName>
    <definedName name="OSRRefT22_7x_0" localSheetId="46">'206'!$T$53</definedName>
    <definedName name="OSRRefT22_7x_0" localSheetId="48">'300'!$T$88</definedName>
    <definedName name="OSRRefT22_7x_0" localSheetId="49">'300 &amp; 317'!$T$94</definedName>
    <definedName name="OSRRefT22_7x_0" localSheetId="50">'301'!$T$55</definedName>
    <definedName name="OSRRefT22_7x_0" localSheetId="55">'307'!$T$65</definedName>
    <definedName name="OSRRefT22_7x_0" localSheetId="51">'308'!$T$68</definedName>
    <definedName name="OSRRefT22_7x_0" localSheetId="64">'309'!$T$37:$T$38</definedName>
    <definedName name="OSRRefT22_7x_0" localSheetId="63">'310'!$T$60</definedName>
    <definedName name="OSRRefT22_7x_0" localSheetId="69">'310 &amp; 491'!$T$62</definedName>
    <definedName name="OSRRefT22_7x_0" localSheetId="52">'311'!$T$68</definedName>
    <definedName name="OSRRefT22_7x_0" localSheetId="57">'315'!$T$75</definedName>
    <definedName name="OSRRefT22_7x_0" localSheetId="60">'316'!$T$59:$T$61</definedName>
    <definedName name="OSRRefT22_7x_0" localSheetId="62">'317'!$T$67</definedName>
    <definedName name="OSRRefT22_7x_0" localSheetId="65">'321'!$T$57</definedName>
    <definedName name="OSRRefT22_7x_0" localSheetId="66">'325'!$T$57</definedName>
    <definedName name="OSRRefT22_7x_0" localSheetId="58">'326'!$T$60</definedName>
    <definedName name="OSRRefT22_7x_0" localSheetId="56">'331'!$T$75</definedName>
    <definedName name="OSRRefT22_7x_0" localSheetId="59">'332'!$T$59:$T$61</definedName>
    <definedName name="OSRRefT22_7x_0" localSheetId="54">'333'!$T$78</definedName>
    <definedName name="OSRRefT22_7x_0" localSheetId="71">'405'!$T$59</definedName>
    <definedName name="OSRRefT22_7x_0" localSheetId="73">'411'!$T$52</definedName>
    <definedName name="OSRRefT22_7x_0" localSheetId="77">'415'!$T$59</definedName>
    <definedName name="OSRRefT22_7x_0" localSheetId="78">'418'!$T$56:$T$57</definedName>
    <definedName name="OSRRefT22_7x_0" localSheetId="83">'430'!$T$53</definedName>
    <definedName name="OSRRefT22_7x_0" localSheetId="84">'433'!$T$59</definedName>
    <definedName name="OSRRefT22_7x_0" localSheetId="86">'444'!$T$59</definedName>
    <definedName name="OSRRefT22_7x_0" localSheetId="87">'450'!$T$59</definedName>
    <definedName name="OSRRefT22_7x_0" localSheetId="70">'491'!$T$60</definedName>
    <definedName name="OSRRefT22_7x_0" localSheetId="82">'492'!$T$59</definedName>
    <definedName name="OSRRefT22_7x_0" localSheetId="89">'501'!$T$54</definedName>
    <definedName name="OSRRefT22_7x_0" localSheetId="39">'Div 2'!$T$54</definedName>
    <definedName name="OSRRefT22_7x_0" localSheetId="47">'Div 3'!$T$92</definedName>
    <definedName name="OSRRefT22_7x_0" localSheetId="68">'Div 4'!$T$62</definedName>
    <definedName name="OSRRefT22_7x_0" localSheetId="88">'Div 5'!$T$54</definedName>
    <definedName name="OSRRefT22_7x_0" localSheetId="61">'Div 6'!$T$67</definedName>
    <definedName name="OSRRefT22_7x_0" localSheetId="2">Summary!$T$100</definedName>
    <definedName name="OSRRefT22_8x_0" localSheetId="41">'201'!$T$53</definedName>
    <definedName name="OSRRefT22_8x_0" localSheetId="42">'202'!$T$55</definedName>
    <definedName name="OSRRefT22_8x_0" localSheetId="43">'203'!$T$54:$T$56</definedName>
    <definedName name="OSRRefT22_8x_0" localSheetId="44">'204'!$T$58:$T$59</definedName>
    <definedName name="OSRRefT22_8x_0" localSheetId="48">'300'!$T$90</definedName>
    <definedName name="OSRRefT22_8x_0" localSheetId="49">'300 &amp; 317'!$T$96</definedName>
    <definedName name="OSRRefT22_8x_0" localSheetId="50">'301'!$T$57</definedName>
    <definedName name="OSRRefT22_8x_0" localSheetId="55">'307'!$T$67</definedName>
    <definedName name="OSRRefT22_8x_0" localSheetId="51">'308'!$T$70</definedName>
    <definedName name="OSRRefT22_8x_0" localSheetId="64">'309'!$T$40</definedName>
    <definedName name="OSRRefT22_8x_0" localSheetId="63">'310'!$T$62</definedName>
    <definedName name="OSRRefT22_8x_0" localSheetId="69">'310 &amp; 491'!$T$64:$T$65</definedName>
    <definedName name="OSRRefT22_8x_0" localSheetId="52">'311'!$T$70</definedName>
    <definedName name="OSRRefT22_8x_0" localSheetId="57">'315'!$T$77:$T$78</definedName>
    <definedName name="OSRRefT22_8x_0" localSheetId="60">'316'!$T$63</definedName>
    <definedName name="OSRRefT22_8x_0" localSheetId="62">'317'!$T$69:$T$70</definedName>
    <definedName name="OSRRefT22_8x_0" localSheetId="65">'321'!$T$59:$T$60</definedName>
    <definedName name="OSRRefT22_8x_0" localSheetId="66">'325'!$T$59</definedName>
    <definedName name="OSRRefT22_8x_0" localSheetId="58">'326'!$T$62</definedName>
    <definedName name="OSRRefT22_8x_0" localSheetId="56">'331'!$T$77:$T$78</definedName>
    <definedName name="OSRRefT22_8x_0" localSheetId="59">'332'!$T$63</definedName>
    <definedName name="OSRRefT22_8x_0" localSheetId="54">'333'!$T$80:$T$81</definedName>
    <definedName name="OSRRefT22_8x_0" localSheetId="71">'405'!$T$61</definedName>
    <definedName name="OSRRefT22_8x_0" localSheetId="73">'411'!$T$54:$T$57</definedName>
    <definedName name="OSRRefT22_8x_0" localSheetId="77">'415'!$T$61</definedName>
    <definedName name="OSRRefT22_8x_0" localSheetId="78">'418'!$T$59:$T$60</definedName>
    <definedName name="OSRRefT22_8x_0" localSheetId="83">'430'!$T$55</definedName>
    <definedName name="OSRRefT22_8x_0" localSheetId="84">'433'!$T$61</definedName>
    <definedName name="OSRRefT22_8x_0" localSheetId="86">'444'!$T$61</definedName>
    <definedName name="OSRRefT22_8x_0" localSheetId="87">'450'!$T$61</definedName>
    <definedName name="OSRRefT22_8x_0" localSheetId="70">'491'!$T$62:$T$63</definedName>
    <definedName name="OSRRefT22_8x_0" localSheetId="82">'492'!$T$61</definedName>
    <definedName name="OSRRefT22_8x_0" localSheetId="89">'501'!$T$56</definedName>
    <definedName name="OSRRefT22_8x_0" localSheetId="39">'Div 2'!$T$56</definedName>
    <definedName name="OSRRefT22_8x_0" localSheetId="47">'Div 3'!$T$94</definedName>
    <definedName name="OSRRefT22_8x_0" localSheetId="68">'Div 4'!$T$64</definedName>
    <definedName name="OSRRefT22_8x_0" localSheetId="88">'Div 5'!$T$56</definedName>
    <definedName name="OSRRefT22_8x_0" localSheetId="61">'Div 6'!$T$69:$T$70</definedName>
    <definedName name="OSRRefT22_8x_0" localSheetId="2">Summary!$T$102</definedName>
    <definedName name="OSRRefT22_9x_0" localSheetId="41">'201'!$T$55:$T$57</definedName>
    <definedName name="OSRRefT22_9x_0" localSheetId="42">'202'!$T$57</definedName>
    <definedName name="OSRRefT22_9x_0" localSheetId="43">'203'!$T$58:$T$59</definedName>
    <definedName name="OSRRefT22_9x_0" localSheetId="44">'204'!$T$61</definedName>
    <definedName name="OSRRefT22_9x_0" localSheetId="48">'300'!$T$92</definedName>
    <definedName name="OSRRefT22_9x_0" localSheetId="49">'300 &amp; 317'!$T$98</definedName>
    <definedName name="OSRRefT22_9x_0" localSheetId="50">'301'!$T$59</definedName>
    <definedName name="OSRRefT22_9x_0" localSheetId="55">'307'!$T$69:$T$70</definedName>
    <definedName name="OSRRefT22_9x_0" localSheetId="51">'308'!$T$72:$T$74</definedName>
    <definedName name="OSRRefT22_9x_0" localSheetId="63">'310'!$T$64</definedName>
    <definedName name="OSRRefT22_9x_0" localSheetId="69">'310 &amp; 491'!$T$67</definedName>
    <definedName name="OSRRefT22_9x_0" localSheetId="52">'311'!$T$72:$T$74</definedName>
    <definedName name="OSRRefT22_9x_0" localSheetId="57">'315'!$T$80</definedName>
    <definedName name="OSRRefT22_9x_0" localSheetId="60">'316'!$T$65:$T$68</definedName>
    <definedName name="OSRRefT22_9x_0" localSheetId="62">'317'!$T$72</definedName>
    <definedName name="OSRRefT22_9x_0" localSheetId="65">'321'!$T$62:$T$65</definedName>
    <definedName name="OSRRefT22_9x_0" localSheetId="66">'325'!$T$61</definedName>
    <definedName name="OSRRefT22_9x_0" localSheetId="58">'326'!$T$64</definedName>
    <definedName name="OSRRefT22_9x_0" localSheetId="56">'331'!$T$80:$T$81</definedName>
    <definedName name="OSRRefT22_9x_0" localSheetId="59">'332'!$T$65:$T$68</definedName>
    <definedName name="OSRRefT22_9x_0" localSheetId="54">'333'!$T$83:$T$84</definedName>
    <definedName name="OSRRefT22_9x_0" localSheetId="71">'405'!$T$63:$T$64</definedName>
    <definedName name="OSRRefT22_9x_0" localSheetId="73">'411'!$T$59:$T$61</definedName>
    <definedName name="OSRRefT22_9x_0" localSheetId="77">'415'!$T$63</definedName>
    <definedName name="OSRRefT22_9x_0" localSheetId="78">'418'!$T$62:$T$65</definedName>
    <definedName name="OSRRefT22_9x_0" localSheetId="84">'433'!$T$63</definedName>
    <definedName name="OSRRefT22_9x_0" localSheetId="86">'444'!$T$63</definedName>
    <definedName name="OSRRefT22_9x_0" localSheetId="87">'450'!$T$63</definedName>
    <definedName name="OSRRefT22_9x_0" localSheetId="70">'491'!$T$65</definedName>
    <definedName name="OSRRefT22_9x_0" localSheetId="82">'492'!$T$63</definedName>
    <definedName name="OSRRefT22_9x_0" localSheetId="89">'501'!$T$58:$T$60</definedName>
    <definedName name="OSRRefT22_9x_0" localSheetId="39">'Div 2'!$T$58</definedName>
    <definedName name="OSRRefT22_9x_0" localSheetId="47">'Div 3'!$T$96</definedName>
    <definedName name="OSRRefT22_9x_0" localSheetId="68">'Div 4'!$T$66:$T$67</definedName>
    <definedName name="OSRRefT22_9x_0" localSheetId="88">'Div 5'!$T$58:$T$60</definedName>
    <definedName name="OSRRefT22_9x_0" localSheetId="61">'Div 6'!$T$72</definedName>
    <definedName name="OSRRefT22_9x_0" localSheetId="2">Summary!$T$104</definedName>
    <definedName name="OSRRefT22x_0" localSheetId="40">'200'!$T$20,'200'!$T$22,'200'!$T$24,'200'!$T$26:$T$27</definedName>
    <definedName name="OSRRefT22x_0" localSheetId="41">'201'!$T$20:$T$28,'201'!$T$30:$T$39,'201'!$T$41,'201'!$T$43,'201'!$T$45,'201'!$T$47,'201'!$T$49,'201'!$T$51,'201'!$T$53,'201'!$T$55:$T$57,'201'!$T$59:$T$60,'201'!$T$62,'201'!$T$64:$T$65,'201'!$T$67,'201'!$T$69,'201'!$T$71</definedName>
    <definedName name="OSRRefT22x_0" localSheetId="42">'202'!$T$20:$T$28,'202'!$T$30:$T$39,'202'!$T$41,'202'!$T$43,'202'!$T$45,'202'!$T$47,'202'!$T$49,'202'!$T$51:$T$53,'202'!$T$55,'202'!$T$57,'202'!$T$59,'202'!$T$61,'202'!$T$63</definedName>
    <definedName name="OSRRefT22x_0" localSheetId="43">'203'!$T$20:$T$29,'203'!$T$31:$T$40,'203'!$T$42,'203'!$T$44,'203'!$T$46,'203'!$T$48,'203'!$T$50,'203'!$T$52,'203'!$T$54:$T$56,'203'!$T$58:$T$59,'203'!$T$61,'203'!$T$63:$T$66,'203'!$T$68,'203'!$T$70,'203'!$T$72</definedName>
    <definedName name="OSRRefT22x_0" localSheetId="44">'204'!$T$20:$T$28,'204'!$T$30:$T$39,'204'!$T$41,'204'!$T$43:$T$44,'204'!$T$46,'204'!$T$48:$T$51,'204'!$T$53:$T$54,'204'!$T$56,'204'!$T$58:$T$59,'204'!$T$61,'204'!$T$63</definedName>
    <definedName name="OSRRefT22x_0" localSheetId="45">'205'!$T$20:$T$28,'205'!$T$30:$T$39,'205'!$T$41,'205'!$T$43,'205'!$T$45:$T$46,'205'!$T$48,'205'!$T$50:$T$52,'205'!$T$54</definedName>
    <definedName name="OSRRefT22x_0" localSheetId="46">'206'!$T$20:$T$28,'206'!$T$30:$T$39,'206'!$T$41,'206'!$T$43,'206'!$T$45:$T$46,'206'!$T$48,'206'!$T$50:$T$51,'206'!$T$53</definedName>
    <definedName name="OSRRefT22x_0" localSheetId="48">'300'!$T$54:$T$63,'300'!$T$65:$T$74,'300'!$T$76,'300'!$T$78,'300'!$T$80,'300'!$T$82:$T$83,'300'!$T$85:$T$86,'300'!$T$88,'300'!$T$90,'300'!$T$92,'300'!$T$94:$T$95,'300'!$T$97:$T$98,'300'!$T$100,'300'!$T$102,'300'!$T$104,'300'!$T$106,'300'!$T$108:$T$111,'300'!$T$113:$T$116,'300'!$T$118:$T$120,'300'!$T$122:$T$123,'300'!$T$125:$T$131,'300'!$T$133:$T$134,'300'!$T$136,'300'!$T$138:$T$140,'300'!$T$142</definedName>
    <definedName name="OSRRefT22x_0" localSheetId="49">'300 &amp; 317'!$T$60:$T$69,'300 &amp; 317'!$T$71:$T$80,'300 &amp; 317'!$T$82,'300 &amp; 317'!$T$84,'300 &amp; 317'!$T$86,'300 &amp; 317'!$T$88:$T$89,'300 &amp; 317'!$T$91:$T$92,'300 &amp; 317'!$T$94,'300 &amp; 317'!$T$96,'300 &amp; 317'!$T$98,'300 &amp; 317'!$T$100:$T$101,'300 &amp; 317'!$T$103:$T$104,'300 &amp; 317'!$T$106,'300 &amp; 317'!$T$108,'300 &amp; 317'!$T$110,'300 &amp; 317'!$T$112,'300 &amp; 317'!$T$114:$T$117,'300 &amp; 317'!$T$119:$T$122,'300 &amp; 317'!$T$124:$T$126,'300 &amp; 317'!$T$128:$T$129,'300 &amp; 317'!$T$131:$T$137,'300 &amp; 317'!$T$139:$T$140,'300 &amp; 317'!$T$142,'300 &amp; 317'!$T$144:$T$146,'300 &amp; 317'!$T$148</definedName>
    <definedName name="OSRRefT22x_0" localSheetId="50">'301'!$T$21:$T$30,'301'!$T$32:$T$41,'301'!$T$43,'301'!$T$45,'301'!$T$47,'301'!$T$49:$T$50,'301'!$T$52:$T$53,'301'!$T$55,'301'!$T$57,'301'!$T$59,'301'!$T$61,'301'!$T$63,'301'!$T$65,'301'!$T$67,'301'!$T$69,'301'!$T$71:$T$74,'301'!$T$76:$T$77,'301'!$T$79,'301'!$T$81:$T$86,'301'!$T$88,'301'!$T$90,'301'!$T$92:$T$93,'301'!$T$95</definedName>
    <definedName name="OSRRefT22x_0" localSheetId="55">'307'!$T$34:$T$41,'307'!$T$43:$T$52,'307'!$T$54,'307'!$T$56,'307'!$T$58,'307'!$T$60:$T$61,'307'!$T$63,'307'!$T$65,'307'!$T$67,'307'!$T$69:$T$70,'307'!$T$72:$T$73,'307'!$T$75:$T$78,'307'!$T$80</definedName>
    <definedName name="OSRRefT22x_0" localSheetId="51">'308'!$T$35:$T$44,'308'!$T$46:$T$55,'308'!$T$57,'308'!$T$59,'308'!$T$61,'308'!$T$63,'308'!$T$65:$T$66,'308'!$T$68,'308'!$T$70,'308'!$T$72:$T$74,'308'!$T$76:$T$77,'308'!$T$79:$T$80,'308'!$T$82:$T$83,'308'!$T$85</definedName>
    <definedName name="OSRRefT22x_0" localSheetId="64">'309'!$T$21,'309'!$T$23,'309'!$T$25,'309'!$T$27,'309'!$T$29,'309'!$T$31:$T$32,'309'!$T$34:$T$35,'309'!$T$37:$T$38,'309'!$T$40</definedName>
    <definedName name="OSRRefT22x_0" localSheetId="63">'310'!$T$27:$T$36,'310'!$T$38:$T$47,'310'!$T$49,'310'!$T$51,'310'!$T$53,'310'!$T$55:$T$56,'310'!$T$58,'310'!$T$60,'310'!$T$62,'310'!$T$64,'310'!$T$66,'310'!$T$68:$T$70,'310'!$T$72,'310'!$T$74:$T$76,'310'!$T$78:$T$82,'310'!$T$84:$T$85,'310'!$T$87,'310'!$T$89</definedName>
    <definedName name="OSRRefT22x_0" localSheetId="69">'310 &amp; 491'!$T$29:$T$38,'310 &amp; 491'!$T$40:$T$49,'310 &amp; 491'!$T$51,'310 &amp; 491'!$T$53,'310 &amp; 491'!$T$55,'310 &amp; 491'!$T$57:$T$58,'310 &amp; 491'!$T$60,'310 &amp; 491'!$T$62,'310 &amp; 491'!$T$64:$T$65,'310 &amp; 491'!$T$67,'310 &amp; 491'!$T$69,'310 &amp; 491'!$T$71,'310 &amp; 491'!$T$73:$T$76,'310 &amp; 491'!$T$78:$T$79,'310 &amp; 491'!$T$81:$T$85,'310 &amp; 491'!$T$87,'310 &amp; 491'!$T$89:$T$98,'310 &amp; 491'!$T$100:$T$101,'310 &amp; 491'!$T$103,'310 &amp; 491'!$T$105,'310 &amp; 491'!$T$107</definedName>
    <definedName name="OSRRefT22x_0" localSheetId="52">'311'!$T$35:$T$44,'311'!$T$46:$T$55,'311'!$T$57,'311'!$T$59,'311'!$T$61,'311'!$T$63,'311'!$T$65:$T$66,'311'!$T$68,'311'!$T$70,'311'!$T$72:$T$74,'311'!$T$76:$T$77,'311'!$T$79:$T$80,'311'!$T$82:$T$83,'311'!$T$85</definedName>
    <definedName name="OSRRefT22x_0" localSheetId="57">'315'!$T$44:$T$52,'315'!$T$54:$T$63,'315'!$T$65,'315'!$T$67,'315'!$T$69,'315'!$T$71,'315'!$T$73,'315'!$T$75,'315'!$T$77:$T$78,'315'!$T$80,'315'!$T$82,'315'!$T$84,'315'!$T$86:$T$87,'315'!$T$89:$T$91,'315'!$T$93:$T$94,'315'!$T$96:$T$99,'315'!$T$101,'315'!$T$103</definedName>
    <definedName name="OSRRefT22x_0" localSheetId="60">'316'!$T$27:$T$35,'316'!$T$37:$T$46,'316'!$T$48,'316'!$T$50,'316'!$T$52,'316'!$T$54:$T$55,'316'!$T$57,'316'!$T$59:$T$61,'316'!$T$63,'316'!$T$65:$T$68,'316'!$T$70</definedName>
    <definedName name="OSRRefT22x_0" localSheetId="62">'317'!$T$35:$T$44,'317'!$T$46:$T$55,'317'!$T$57,'317'!$T$59,'317'!$T$61,'317'!$T$63,'317'!$T$65,'317'!$T$67,'317'!$T$69:$T$70,'317'!$T$72</definedName>
    <definedName name="OSRRefT22x_0" localSheetId="65">'321'!$T$24:$T$33,'321'!$T$35:$T$44,'321'!$T$46,'321'!$T$48,'321'!$T$50,'321'!$T$52,'321'!$T$54:$T$55,'321'!$T$57,'321'!$T$59:$T$60,'321'!$T$62:$T$65,'321'!$T$67,'321'!$T$69</definedName>
    <definedName name="OSRRefT22x_0" localSheetId="66">'325'!$T$25:$T$33,'325'!$T$35:$T$44,'325'!$T$46,'325'!$T$48,'325'!$T$50,'325'!$T$52:$T$53,'325'!$T$55,'325'!$T$57,'325'!$T$59,'325'!$T$61,'325'!$T$63,'325'!$T$65:$T$67,'325'!$T$69:$T$71,'325'!$T$73:$T$77,'325'!$T$79:$T$80,'325'!$T$82</definedName>
    <definedName name="OSRRefT22x_0" localSheetId="58">'326'!$T$28:$T$36,'326'!$T$38:$T$47,'326'!$T$49,'326'!$T$51,'326'!$T$53,'326'!$T$55,'326'!$T$57:$T$58,'326'!$T$60,'326'!$T$62,'326'!$T$64,'326'!$T$66,'326'!$T$68:$T$69,'326'!$T$71:$T$72,'326'!$T$74:$T$75,'326'!$T$77:$T$79,'326'!$T$81,'326'!$T$83:$T$84,'326'!$T$86</definedName>
    <definedName name="OSRRefT22x_0" localSheetId="67">'327'!$T$26,'327'!$T$28</definedName>
    <definedName name="OSRRefT22x_0" localSheetId="56">'331'!$T$44:$T$52,'331'!$T$54:$T$63,'331'!$T$65,'331'!$T$67,'331'!$T$69,'331'!$T$71,'331'!$T$73,'331'!$T$75,'331'!$T$77:$T$78,'331'!$T$80:$T$81,'331'!$T$83,'331'!$T$85,'331'!$T$87,'331'!$T$89,'331'!$T$91:$T$92,'331'!$T$94:$T$96,'331'!$T$98:$T$99,'331'!$T$101:$T$102,'331'!$T$104:$T$108,'331'!$T$110,'331'!$T$112:$T$113,'331'!$T$115</definedName>
    <definedName name="OSRRefT22x_0" localSheetId="59">'332'!$T$27:$T$35,'332'!$T$37:$T$46,'332'!$T$48,'332'!$T$50,'332'!$T$52,'332'!$T$54:$T$55,'332'!$T$57,'332'!$T$59:$T$61,'332'!$T$63,'332'!$T$65:$T$68,'332'!$T$70</definedName>
    <definedName name="OSRRefT22x_0" localSheetId="54">'333'!$T$46:$T$54,'333'!$T$56:$T$65,'333'!$T$67,'333'!$T$69,'333'!$T$71,'333'!$T$73:$T$74,'333'!$T$76,'333'!$T$78,'333'!$T$80:$T$81,'333'!$T$83:$T$84,'333'!$T$86,'333'!$T$88,'333'!$T$90,'333'!$T$92,'333'!$T$94:$T$95,'333'!$T$97:$T$99,'333'!$T$101:$T$103,'333'!$T$105:$T$106,'333'!$T$108:$T$113,'333'!$T$115,'333'!$T$117:$T$118,'333'!$T$120</definedName>
    <definedName name="OSRRefT22x_0" localSheetId="71">'405'!$T$27:$T$35,'405'!$T$37:$T$46,'405'!$T$48,'405'!$T$50,'405'!$T$52,'405'!$T$54:$T$55,'405'!$T$57,'405'!$T$59,'405'!$T$61,'405'!$T$63:$T$64,'405'!$T$66:$T$69,'405'!$T$71,'405'!$T$73:$T$80,'405'!$T$82,'405'!$T$84,'405'!$T$86</definedName>
    <definedName name="OSRRefT22x_0" localSheetId="72">'406'!$T$20,'406'!$T$22</definedName>
    <definedName name="OSRRefT22x_0" localSheetId="73">'411'!$T$20:$T$28,'411'!$T$30:$T$39,'411'!$T$41,'411'!$T$43:$T$44,'411'!$T$46,'411'!$T$48,'411'!$T$50,'411'!$T$52,'411'!$T$54:$T$57,'411'!$T$59:$T$61,'411'!$T$63:$T$64,'411'!$T$66,'411'!$T$68,'411'!$T$70,'411'!$T$72</definedName>
    <definedName name="OSRRefT22x_0" localSheetId="74">'412'!$T$20,'412'!$T$22,'412'!$T$24,'412'!$T$26</definedName>
    <definedName name="OSRRefT22x_0" localSheetId="75">'413'!$T$20,'413'!$T$22,'413'!$T$24</definedName>
    <definedName name="OSRRefT22x_0" localSheetId="76">'414'!$T$20,'414'!$T$22,'414'!$T$24</definedName>
    <definedName name="OSRRefT22x_0" localSheetId="77">'415'!$T$27:$T$35,'415'!$T$37:$T$46,'415'!$T$48,'415'!$T$50,'415'!$T$52,'415'!$T$54:$T$55,'415'!$T$57,'415'!$T$59,'415'!$T$61,'415'!$T$63,'415'!$T$65,'415'!$T$67:$T$68,'415'!$T$70:$T$73,'415'!$T$75,'415'!$T$77:$T$83,'415'!$T$85:$T$86,'415'!$T$88,'415'!$T$90</definedName>
    <definedName name="OSRRefT22x_0" localSheetId="78">'418'!$T$24:$T$32,'418'!$T$34:$T$43,'418'!$T$45,'418'!$T$47,'418'!$T$49:$T$50,'418'!$T$52,'418'!$T$54,'418'!$T$56:$T$57,'418'!$T$59:$T$60,'418'!$T$62:$T$65,'418'!$T$67,'418'!$T$69:$T$76,'418'!$T$78:$T$79,'418'!$T$81,'418'!$T$83</definedName>
    <definedName name="OSRRefT22x_0" localSheetId="79">'423'!$T$20:$T$27,'423'!$T$29:$T$38,'423'!$T$40,'423'!$T$42,'423'!$T$44,'423'!$T$46</definedName>
    <definedName name="OSRRefT22x_0" localSheetId="80">'424'!$T$20,'424'!$T$22,'424'!$T$24</definedName>
    <definedName name="OSRRefT22x_0" localSheetId="81">'425'!$T$22,'425'!$T$24,'425'!$T$26,'425'!$T$28,'425'!$T$30,'425'!$T$32</definedName>
    <definedName name="OSRRefT22x_0" localSheetId="83">'430'!$T$20:$T$28,'430'!$T$30:$T$39,'430'!$T$41,'430'!$T$43,'430'!$T$45,'430'!$T$47:$T$48,'430'!$T$50:$T$51,'430'!$T$53,'430'!$T$55</definedName>
    <definedName name="OSRRefT22x_0" localSheetId="84">'433'!$T$27:$T$36,'433'!$T$38:$T$47,'433'!$T$49,'433'!$T$51,'433'!$T$53,'433'!$T$55,'433'!$T$57,'433'!$T$59,'433'!$T$61,'433'!$T$63,'433'!$T$65,'433'!$T$67:$T$69,'433'!$T$71:$T$74,'433'!$T$76:$T$83,'433'!$T$85,'433'!$T$87</definedName>
    <definedName name="OSRRefT22x_0" localSheetId="85">'435'!$T$20</definedName>
    <definedName name="OSRRefT22x_0" localSheetId="86">'444'!$T$27:$T$36,'444'!$T$38:$T$47,'444'!$T$49,'444'!$T$51,'444'!$T$53,'444'!$T$55,'444'!$T$57,'444'!$T$59,'444'!$T$61,'444'!$T$63,'444'!$T$65,'444'!$T$67:$T$68,'444'!$T$70:$T$73,'444'!$T$75,'444'!$T$77:$T$84,'444'!$T$86,'444'!$T$88</definedName>
    <definedName name="OSRRefT22x_0" localSheetId="87">'450'!$T$27:$T$36,'450'!$T$38:$T$47,'450'!$T$49,'450'!$T$51,'450'!$T$53,'450'!$T$55,'450'!$T$57,'450'!$T$59,'450'!$T$61,'450'!$T$63,'450'!$T$65,'450'!$T$67:$T$69,'450'!$T$71:$T$74,'450'!$T$76:$T$82,'450'!$T$84,'450'!$T$86,'450'!$T$88</definedName>
    <definedName name="OSRRefT22x_0" localSheetId="70">'491'!$T$28:$T$36,'491'!$T$38:$T$47,'491'!$T$49,'491'!$T$51,'491'!$T$53,'491'!$T$55:$T$56,'491'!$T$58,'491'!$T$60,'491'!$T$62:$T$63,'491'!$T$65,'491'!$T$67,'491'!$T$69,'491'!$T$71:$T$74,'491'!$T$76,'491'!$T$78:$T$82,'491'!$T$84,'491'!$T$86:$T$95,'491'!$T$97:$T$98,'491'!$T$100,'491'!$T$102,'491'!$T$104</definedName>
    <definedName name="OSRRefT22x_0" localSheetId="82">'492'!$T$27:$T$36,'492'!$T$38:$T$47,'492'!$T$49,'492'!$T$51,'492'!$T$53,'492'!$T$55,'492'!$T$57,'492'!$T$59,'492'!$T$61,'492'!$T$63,'492'!$T$65,'492'!$T$67,'492'!$T$69:$T$71,'492'!$T$73:$T$76,'492'!$T$78,'492'!$T$80:$T$87,'492'!$T$89:$T$90,'492'!$T$92,'492'!$T$94:$T$95</definedName>
    <definedName name="OSRRefT22x_0" localSheetId="89">'501'!$T$21:$T$30,'501'!$T$32:$T$41,'501'!$T$43,'501'!$T$45,'501'!$T$47,'501'!$T$49:$T$50,'501'!$T$52,'501'!$T$54,'501'!$T$56,'501'!$T$58:$T$60,'501'!$T$62,'501'!$T$64:$T$66,'501'!$T$68,'501'!$T$70</definedName>
    <definedName name="OSRRefT22x_0" localSheetId="39">'Div 2'!$T$20:$T$30,'Div 2'!$T$32:$T$41,'Div 2'!$T$43,'Div 2'!$T$45,'Div 2'!$T$47,'Div 2'!$T$49:$T$50,'Div 2'!$T$52,'Div 2'!$T$54,'Div 2'!$T$56,'Div 2'!$T$58,'Div 2'!$T$60,'Div 2'!$T$62,'Div 2'!$T$64:$T$67,'Div 2'!$T$69:$T$72,'Div 2'!$T$74:$T$75,'Div 2'!$T$77:$T$78,'Div 2'!$T$80:$T$85,'Div 2'!$T$87:$T$88,'Div 2'!$T$90,'Div 2'!$T$92:$T$93</definedName>
    <definedName name="OSRRefT22x_0" localSheetId="47">'Div 3'!$T$58:$T$67,'Div 3'!$T$69:$T$78,'Div 3'!$T$80,'Div 3'!$T$82,'Div 3'!$T$84,'Div 3'!$T$86:$T$87,'Div 3'!$T$89:$T$90,'Div 3'!$T$92,'Div 3'!$T$94,'Div 3'!$T$96,'Div 3'!$T$98:$T$99,'Div 3'!$T$101:$T$102,'Div 3'!$T$104,'Div 3'!$T$106,'Div 3'!$T$108,'Div 3'!$T$110,'Div 3'!$T$112,'Div 3'!$T$114:$T$117,'Div 3'!$T$119:$T$122,'Div 3'!$T$124:$T$127,'Div 3'!$T$129:$T$130,'Div 3'!$T$132:$T$138,'Div 3'!$T$140:$T$141,'Div 3'!$T$143,'Div 3'!$T$145:$T$147,'Div 3'!$T$149</definedName>
    <definedName name="OSRRefT22x_0" localSheetId="68">'Div 4'!$T$29:$T$38,'Div 4'!$T$40:$T$49,'Div 4'!$T$51,'Div 4'!$T$53,'Div 4'!$T$55,'Div 4'!$T$57:$T$58,'Div 4'!$T$60,'Div 4'!$T$62,'Div 4'!$T$64,'Div 4'!$T$66:$T$67,'Div 4'!$T$69,'Div 4'!$T$71,'Div 4'!$T$73,'Div 4'!$T$75,'Div 4'!$T$77:$T$80,'Div 4'!$T$82,'Div 4'!$T$84:$T$88,'Div 4'!$T$90:$T$91,'Div 4'!$T$93:$T$102,'Div 4'!$T$104:$T$105,'Div 4'!$T$107,'Div 4'!$T$109:$T$110,'Div 4'!$T$112</definedName>
    <definedName name="OSRRefT22x_0" localSheetId="88">'Div 5'!$T$21:$T$30,'Div 5'!$T$32:$T$41,'Div 5'!$T$43,'Div 5'!$T$45,'Div 5'!$T$47,'Div 5'!$T$49:$T$50,'Div 5'!$T$52,'Div 5'!$T$54,'Div 5'!$T$56,'Div 5'!$T$58:$T$60,'Div 5'!$T$62,'Div 5'!$T$64:$T$66,'Div 5'!$T$68,'Div 5'!$T$70</definedName>
    <definedName name="OSRRefT22x_0" localSheetId="61">'Div 6'!$T$35:$T$44,'Div 6'!$T$46:$T$55,'Div 6'!$T$57,'Div 6'!$T$59,'Div 6'!$T$61,'Div 6'!$T$63,'Div 6'!$T$65,'Div 6'!$T$67,'Div 6'!$T$69:$T$70,'Div 6'!$T$72</definedName>
    <definedName name="OSRRefT22x_0" localSheetId="2">Summary!$T$66:$T$75,Summary!$T$77:$T$86,Summary!$T$88,Summary!$T$90,Summary!$T$92,Summary!$T$94:$T$95,Summary!$T$97:$T$98,Summary!$T$100,Summary!$T$102,Summary!$T$104,Summary!$T$106:$T$107,Summary!$T$109:$T$111,Summary!$T$113,Summary!$T$115,Summary!$T$117,Summary!$T$119,Summary!$T$121,Summary!$T$123,Summary!$T$125:$T$128,Summary!$T$130:$T$133,Summary!$T$135:$T$139,Summary!$T$141:$T$142,Summary!$T$144:$T$153,Summary!$T$155:$T$156,Summary!$T$158,Summary!$T$160:$T$162,Summary!$T$164</definedName>
    <definedName name="OSRRefT25x_0" localSheetId="48">'300'!$T$145:$T$149</definedName>
    <definedName name="OSRRefT25x_0" localSheetId="49">'300 &amp; 317'!$T$151:$T$157</definedName>
    <definedName name="OSRRefT25x_0" localSheetId="50">'301'!$T$98:$T$99</definedName>
    <definedName name="OSRRefT25x_0" localSheetId="51">'308'!$T$88:$T$91</definedName>
    <definedName name="OSRRefT25x_0" localSheetId="69">'310 &amp; 491'!$T$110:$T$113</definedName>
    <definedName name="OSRRefT25x_0" localSheetId="52">'311'!$T$88:$T$91</definedName>
    <definedName name="OSRRefT25x_0" localSheetId="57">'315'!$T$106:$T$108</definedName>
    <definedName name="OSRRefT25x_0" localSheetId="60">'316'!$T$73</definedName>
    <definedName name="OSRRefT25x_0" localSheetId="62">'317'!$T$75:$T$77</definedName>
    <definedName name="OSRRefT25x_0" localSheetId="56">'331'!$T$118:$T$120</definedName>
    <definedName name="OSRRefT25x_0" localSheetId="59">'332'!$T$73</definedName>
    <definedName name="OSRRefT25x_0" localSheetId="54">'333'!$T$123:$T$125</definedName>
    <definedName name="OSRRefT25x_0" localSheetId="71">'405'!$T$89</definedName>
    <definedName name="OSRRefT25x_0" localSheetId="73">'411'!$T$75</definedName>
    <definedName name="OSRRefT25x_0" localSheetId="77">'415'!$T$93</definedName>
    <definedName name="OSRRefT25x_0" localSheetId="78">'418'!$T$86</definedName>
    <definedName name="OSRRefT25x_0" localSheetId="79">'423'!$T$49:$T$51</definedName>
    <definedName name="OSRRefT25x_0" localSheetId="70">'491'!$T$107:$T$110</definedName>
    <definedName name="OSRRefT25x_0" localSheetId="89">'501'!$T$73</definedName>
    <definedName name="OSRRefT25x_0" localSheetId="47">'Div 3'!$T$152:$T$156</definedName>
    <definedName name="OSRRefT25x_0" localSheetId="68">'Div 4'!$T$115:$T$118</definedName>
    <definedName name="OSRRefT25x_0" localSheetId="88">'Div 5'!$T$73</definedName>
    <definedName name="OSRRefT25x_0" localSheetId="61">'Div 6'!$T$75:$T$77</definedName>
    <definedName name="OSRRefT25x_0" localSheetId="2">Summary!$T$167:$T$174</definedName>
    <definedName name="_xlnm.Print_Area" localSheetId="38">'100'!$A$1:$Z$34</definedName>
    <definedName name="_xlnm.Print_Area" localSheetId="40">'200'!$A$1:$Z$41</definedName>
    <definedName name="_xlnm.Print_Area" localSheetId="41">'201'!$A$1:$Z$85</definedName>
    <definedName name="_xlnm.Print_Area" localSheetId="42">'202'!$A$1:$Z$77</definedName>
    <definedName name="_xlnm.Print_Area" localSheetId="43">'203'!$A$1:$Z$86</definedName>
    <definedName name="_xlnm.Print_Area" localSheetId="44">'204'!$A$1:$Z$77</definedName>
    <definedName name="_xlnm.Print_Area" localSheetId="45">'205'!$A$1:$Z$68</definedName>
    <definedName name="_xlnm.Print_Area" localSheetId="46">'206'!$A$1:$Z$67</definedName>
    <definedName name="_xlnm.Print_Area" localSheetId="48">'300'!$A$1:$Z$161</definedName>
    <definedName name="_xlnm.Print_Area" localSheetId="49">'300 &amp; 317'!$A$1:$Z$169</definedName>
    <definedName name="_xlnm.Print_Area" localSheetId="50">'301'!$A$1:$Z$111</definedName>
    <definedName name="_xlnm.Print_Area" localSheetId="55">'307'!$A$1:$Z$94</definedName>
    <definedName name="_xlnm.Print_Area" localSheetId="51">'308'!$A$1:$Z$103</definedName>
    <definedName name="_xlnm.Print_Area" localSheetId="64">'309'!$A$1:$Z$54</definedName>
    <definedName name="_xlnm.Print_Area" localSheetId="63">'310'!$A$1:$Z$103</definedName>
    <definedName name="_xlnm.Print_Area" localSheetId="69">'310 &amp; 491'!$A$1:$Z$125</definedName>
    <definedName name="_xlnm.Print_Area" localSheetId="52">'311'!$A$1:$Z$103</definedName>
    <definedName name="_xlnm.Print_Area" localSheetId="57">'315'!$A$1:$Z$120</definedName>
    <definedName name="_xlnm.Print_Area" localSheetId="60">'316'!$A$1:$Z$85</definedName>
    <definedName name="_xlnm.Print_Area" localSheetId="62">'317'!$A$1:$Z$89</definedName>
    <definedName name="_xlnm.Print_Area" localSheetId="65">'321'!$A$1:$Z$83</definedName>
    <definedName name="_xlnm.Print_Area" localSheetId="53">'324'!$A$1:$Z$35</definedName>
    <definedName name="_xlnm.Print_Area" localSheetId="66">'325'!$A$1:$Z$96</definedName>
    <definedName name="_xlnm.Print_Area" localSheetId="58">'326'!$A$1:$Z$100</definedName>
    <definedName name="_xlnm.Print_Area" localSheetId="67">'327'!$A$1:$Z$42</definedName>
    <definedName name="_xlnm.Print_Area" localSheetId="56">'331'!$A$1:$Z$132</definedName>
    <definedName name="_xlnm.Print_Area" localSheetId="59">'332'!$A$1:$Z$85</definedName>
    <definedName name="_xlnm.Print_Area" localSheetId="54">'333'!$A$1:$Z$137</definedName>
    <definedName name="_xlnm.Print_Area" localSheetId="71">'405'!$A$1:$Z$101</definedName>
    <definedName name="_xlnm.Print_Area" localSheetId="72">'406'!$A$1:$Z$36</definedName>
    <definedName name="_xlnm.Print_Area" localSheetId="73">'411'!$A$1:$Z$87</definedName>
    <definedName name="_xlnm.Print_Area" localSheetId="74">'412'!$A$1:$Z$40</definedName>
    <definedName name="_xlnm.Print_Area" localSheetId="75">'413'!$A$1:$Z$38</definedName>
    <definedName name="_xlnm.Print_Area" localSheetId="76">'414'!$A$1:$Z$38</definedName>
    <definedName name="_xlnm.Print_Area" localSheetId="77">'415'!$A$1:$Z$105</definedName>
    <definedName name="_xlnm.Print_Area" localSheetId="78">'418'!$A$1:$Z$98</definedName>
    <definedName name="_xlnm.Print_Area" localSheetId="79">'423'!$A$1:$Z$63</definedName>
    <definedName name="_xlnm.Print_Area" localSheetId="80">'424'!$A$1:$Z$38</definedName>
    <definedName name="_xlnm.Print_Area" localSheetId="81">'425'!$A$1:$Z$46</definedName>
    <definedName name="_xlnm.Print_Area" localSheetId="83">'430'!$A$1:$Z$69</definedName>
    <definedName name="_xlnm.Print_Area" localSheetId="84">'433'!$A$1:$Z$101</definedName>
    <definedName name="_xlnm.Print_Area" localSheetId="85">'435'!$A$1:$Z$34</definedName>
    <definedName name="_xlnm.Print_Area" localSheetId="86">'444'!$A$1:$Z$102</definedName>
    <definedName name="_xlnm.Print_Area" localSheetId="87">'450'!$A$1:$Z$102</definedName>
    <definedName name="_xlnm.Print_Area" localSheetId="70">'491'!$A$1:$Z$122</definedName>
    <definedName name="_xlnm.Print_Area" localSheetId="82">'492'!$A$1:$Z$109</definedName>
    <definedName name="_xlnm.Print_Area" localSheetId="89">'501'!$A$1:$Z$85</definedName>
    <definedName name="_xlnm.Print_Area" localSheetId="90">Dept!$A$1:$Z$39</definedName>
    <definedName name="_xlnm.Print_Area" localSheetId="5">'Div 1'!$A$1:$Z$34</definedName>
    <definedName name="_xlnm.Print_Area" localSheetId="39">'Div 2'!$A$1:$Z$107</definedName>
    <definedName name="_xlnm.Print_Area" localSheetId="47">'Div 3'!$A$1:$Z$168</definedName>
    <definedName name="_xlnm.Print_Area" localSheetId="68">'Div 4'!$A$1:$Z$130</definedName>
    <definedName name="_xlnm.Print_Area" localSheetId="88">'Div 5'!$A$1:$Z$85</definedName>
    <definedName name="_xlnm.Print_Area" localSheetId="61">'Div 6'!$A$1:$Z$89</definedName>
    <definedName name="_xlnm.Print_Area" localSheetId="14">'OSR_300 &amp; 317_1C00ID4'!$A$1:$Z$39</definedName>
    <definedName name="_xlnm.Print_Area" localSheetId="15">'OSR_300 (2)_...6aa5a22d_14M6XO4'!$A$1:$Z$39</definedName>
    <definedName name="_xlnm.Print_Area" localSheetId="11">'OSR_300 (2)_7...54cb56fc_UFX0O2'!$A$1:$Z$39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8">'OSR_310 &amp; 491_1NGRCS9'!$A$1:$Z$39</definedName>
    <definedName name="_xlnm.Print_Area" localSheetId="18">'OSR_310 (2)_...6e684f08_1FLCNJG'!$A$1:$Z$39</definedName>
    <definedName name="_xlnm.Print_Area" localSheetId="27">'OSR_310 (2)_...8cac1423_1JTU33X'!$A$1:$Z$39</definedName>
    <definedName name="_xlnm.Print_Area" localSheetId="13">'OSR_310 (2)_5...3d931dee_QNK8R2'!$A$1:$Z$39</definedName>
    <definedName name="_xlnm.Print_Area" localSheetId="16">OSR_310_1CMTOSB!$A$1:$Z$39</definedName>
    <definedName name="_xlnm.Print_Area" localSheetId="20">'OSR_330 (2)_...8a14c83e_1NSH7XI'!$A$1:$Z$39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5">OSR_333_69UF5U!$A$1:$Z$39</definedName>
    <definedName name="_xlnm.Print_Area" localSheetId="29">'OSR_491 (2)_...853a34aa_1UNC34K'!$A$1:$Z$39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1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(2)...32d16c57_IVJ1QO'!$A$1:$Z$39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92">'OSR_Summary (...56e5d78f_5JEYZH'!$A$1:$Z$39</definedName>
    <definedName name="_xlnm.Print_Area" localSheetId="3">OSR_Summary_18VAVWG!$A$1:$Z$39</definedName>
    <definedName name="_xlnm.Print_Area" localSheetId="2">Summary!$A$1:$Z$188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5">'307'!$A:$C,'307'!$1:$10</definedName>
    <definedName name="_xlnm.Print_Titles" localSheetId="51">'308'!$A:$C,'308'!$1:$10</definedName>
    <definedName name="_xlnm.Print_Titles" localSheetId="64">'309'!$A:$C,'309'!$1:$10</definedName>
    <definedName name="_xlnm.Print_Titles" localSheetId="63">'310'!$A:$C,'310'!$1:$10</definedName>
    <definedName name="_xlnm.Print_Titles" localSheetId="69">'310 &amp; 491'!$A:$C,'310 &amp; 491'!$1:$10</definedName>
    <definedName name="_xlnm.Print_Titles" localSheetId="52">'311'!$A:$C,'311'!$1:$10</definedName>
    <definedName name="_xlnm.Print_Titles" localSheetId="57">'315'!$A:$C,'315'!$1:$10</definedName>
    <definedName name="_xlnm.Print_Titles" localSheetId="60">'316'!$A:$C,'316'!$1:$10</definedName>
    <definedName name="_xlnm.Print_Titles" localSheetId="62">'317'!$A:$C,'317'!$1:$10</definedName>
    <definedName name="_xlnm.Print_Titles" localSheetId="65">'321'!$A:$C,'321'!$1:$10</definedName>
    <definedName name="_xlnm.Print_Titles" localSheetId="53">'324'!$A:$C,'324'!$1:$10</definedName>
    <definedName name="_xlnm.Print_Titles" localSheetId="66">'325'!$A:$C,'325'!$1:$10</definedName>
    <definedName name="_xlnm.Print_Titles" localSheetId="58">'326'!$A:$C,'326'!$1:$10</definedName>
    <definedName name="_xlnm.Print_Titles" localSheetId="67">'327'!$A:$C,'327'!$1:$10</definedName>
    <definedName name="_xlnm.Print_Titles" localSheetId="56">'331'!$A:$C,'331'!$1:$10</definedName>
    <definedName name="_xlnm.Print_Titles" localSheetId="59">'332'!$A:$C,'332'!$1:$10</definedName>
    <definedName name="_xlnm.Print_Titles" localSheetId="54">'333'!$A:$C,'333'!$1:$10</definedName>
    <definedName name="_xlnm.Print_Titles" localSheetId="71">'405'!$A:$C,'405'!$1:$10</definedName>
    <definedName name="_xlnm.Print_Titles" localSheetId="72">'406'!$A:$C,'406'!$1:$10</definedName>
    <definedName name="_xlnm.Print_Titles" localSheetId="73">'411'!$A:$C,'411'!$1:$10</definedName>
    <definedName name="_xlnm.Print_Titles" localSheetId="74">'412'!$A:$C,'412'!$1:$10</definedName>
    <definedName name="_xlnm.Print_Titles" localSheetId="75">'413'!$A:$C,'413'!$1:$10</definedName>
    <definedName name="_xlnm.Print_Titles" localSheetId="76">'414'!$A:$C,'414'!$1:$10</definedName>
    <definedName name="_xlnm.Print_Titles" localSheetId="77">'415'!$A:$C,'415'!$1:$10</definedName>
    <definedName name="_xlnm.Print_Titles" localSheetId="78">'418'!$A:$C,'418'!$1:$10</definedName>
    <definedName name="_xlnm.Print_Titles" localSheetId="79">'423'!$A:$C,'423'!$1:$10</definedName>
    <definedName name="_xlnm.Print_Titles" localSheetId="80">'424'!$A:$C,'424'!$1:$10</definedName>
    <definedName name="_xlnm.Print_Titles" localSheetId="81">'425'!$A:$C,'425'!$1:$10</definedName>
    <definedName name="_xlnm.Print_Titles" localSheetId="83">'430'!$A:$C,'430'!$1:$10</definedName>
    <definedName name="_xlnm.Print_Titles" localSheetId="84">'433'!$A:$C,'433'!$1:$10</definedName>
    <definedName name="_xlnm.Print_Titles" localSheetId="85">'435'!$A:$C,'435'!$1:$10</definedName>
    <definedName name="_xlnm.Print_Titles" localSheetId="86">'444'!$A:$C,'444'!$1:$10</definedName>
    <definedName name="_xlnm.Print_Titles" localSheetId="87">'450'!$A:$C,'450'!$1:$10</definedName>
    <definedName name="_xlnm.Print_Titles" localSheetId="70">'491'!$A:$C,'491'!$1:$10</definedName>
    <definedName name="_xlnm.Print_Titles" localSheetId="82">'492'!$A:$C,'492'!$1:$10</definedName>
    <definedName name="_xlnm.Print_Titles" localSheetId="89">'501'!$A:$C,'501'!$1:$10</definedName>
    <definedName name="_xlnm.Print_Titles" localSheetId="90">Dept!$A:$C,Dept!$1:$10</definedName>
    <definedName name="_xlnm.Print_Titles" localSheetId="5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68">'Div 4'!$A:$C,'Div 4'!$1:$10</definedName>
    <definedName name="_xlnm.Print_Titles" localSheetId="88">'Div 5'!$A:$C,'Div 5'!$1:$10</definedName>
    <definedName name="_xlnm.Print_Titles" localSheetId="61">'Div 6'!$A:$C,'Div 6'!$1:$10</definedName>
    <definedName name="_xlnm.Print_Titles" localSheetId="14">'OSR_300 &amp; 317_1C00ID4'!$A:$C,'OSR_300 &amp; 317_1C00ID4'!$1:$10</definedName>
    <definedName name="_xlnm.Print_Titles" localSheetId="15">'OSR_300 (2)_...6aa5a22d_14M6XO4'!$A:$C,'OSR_300 (2)_...6aa5a22d_14M6XO4'!$1:$10</definedName>
    <definedName name="_xlnm.Print_Titles" localSheetId="11">'OSR_300 (2)_7...54cb56fc_UFX0O2'!$A:$C,'OSR_300 (2)_7...54cb56fc_UFX0O2'!$1:$10</definedName>
    <definedName name="_xlnm.Print_Titles" localSheetId="17">'OSR_300 (2)_e...5d0da5bf_6BPGAO'!$A:$C,'OSR_300 (2)_e...5d0da5bf_6BPGAO'!$1:$10</definedName>
    <definedName name="_xlnm.Print_Titles" localSheetId="12">OSR_300_IYZXI6!$A:$C,OSR_300_IYZXI6!$1:$10</definedName>
    <definedName name="_xlnm.Print_Titles" localSheetId="22">'OSR_308 (2)_...47685838_1YQW4QY'!$A:$C,'OSR_308 (2)_...47685838_1YQW4QY'!$1:$10</definedName>
    <definedName name="_xlnm.Print_Titles" localSheetId="19">OSR_308_UAWDAG!$A:$C,OSR_308_UAWDAG!$1:$10</definedName>
    <definedName name="_xlnm.Print_Titles" localSheetId="28">'OSR_310 &amp; 491_1NGRCS9'!$A:$C,'OSR_310 &amp; 491_1NGRCS9'!$1:$10</definedName>
    <definedName name="_xlnm.Print_Titles" localSheetId="18">'OSR_310 (2)_...6e684f08_1FLCNJG'!$A:$C,'OSR_310 (2)_...6e684f08_1FLCNJG'!$1:$10</definedName>
    <definedName name="_xlnm.Print_Titles" localSheetId="27">'OSR_310 (2)_...8cac1423_1JTU33X'!$A:$C,'OSR_310 (2)_...8cac1423_1JTU33X'!$1:$10</definedName>
    <definedName name="_xlnm.Print_Titles" localSheetId="13">'OSR_310 (2)_5...3d931dee_QNK8R2'!$A:$C,'OSR_310 (2)_5...3d931dee_QNK8R2'!$1:$10</definedName>
    <definedName name="_xlnm.Print_Titles" localSheetId="16">OSR_310_1CMTOSB!$A:$C,OSR_310_1CMTOSB!$1:$10</definedName>
    <definedName name="_xlnm.Print_Titles" localSheetId="20">'OSR_330 (2)_...8a14c83e_1NSH7XI'!$A:$C,'OSR_330 (2)_...8a14c83e_1NSH7XI'!$1:$10</definedName>
    <definedName name="_xlnm.Print_Titles" localSheetId="24">'OSR_331 (2)_...7280af70_1P5SPLT'!$A:$C,'OSR_331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5">OSR_333_69UF5U!$A:$C,OSR_333_69UF5U!$1:$10</definedName>
    <definedName name="_xlnm.Print_Titles" localSheetId="29">'OSR_491 (2)_...853a34aa_1UNC34K'!$A:$C,'OSR_491 (2)_...853a34aa_1UNC34K'!$1:$10</definedName>
    <definedName name="_xlnm.Print_Titles" localSheetId="30">OSR_491_9Z9JH5!$A:$C,OSR_491_9Z9JH5!$1:$10</definedName>
    <definedName name="_xlnm.Print_Titles" localSheetId="35">'OSR_492 (2)_...cd97c6a6_13HYXEV'!$A:$C,'OSR_492 (2)_...cd97c6a6_13HYXEV'!$1:$10</definedName>
    <definedName name="_xlnm.Print_Titles" localSheetId="32">OSR_492_943FP1!$A:$C,OSR_492_943FP1!$1:$10</definedName>
    <definedName name="_xlnm.Print_Titles" localSheetId="4">'OSR_Current ...69b7dd8c_1IEQKFK'!$A:$C,'OSR_Current ...69b7dd8c_1IEQKFK'!$1:$10</definedName>
    <definedName name="_xlnm.Print_Titles" localSheetId="91">OSR_Dept_Y0WUKY!$A:$C,OSR_Dept_Y0WUKY!$1:$10</definedName>
    <definedName name="_xlnm.Print_Titles" localSheetId="9">'OSR_Div 1 (2)...789fe994_2NV3KA'!$A:$C,'OSR_Div 1 (2)...789fe994_2NV3KA'!$1:$10</definedName>
    <definedName name="_xlnm.Print_Titles" localSheetId="6">'OSR_Div 1_7H47HR'!$A:$C,'OSR_Div 1_7H47HR'!$1:$10</definedName>
    <definedName name="_xlnm.Print_Titles" localSheetId="8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10">'OSR_Div 3_18723PH'!$A:$C,'OSR_Div 3_18723PH'!$1:$10</definedName>
    <definedName name="_xlnm.Print_Titles" localSheetId="33">'OSR_Div 4 (2)...1a9a4454_CQFRNE'!$A:$C,'OSR_Div 4 (2)...1a9a4454_CQFRNE'!$1:$10</definedName>
    <definedName name="_xlnm.Print_Titles" localSheetId="31">'OSR_Div 4 (2...2533da42_174R6QX'!$A:$C,'OSR_Div 4 (2...2533da42_174R6QX'!$1:$10</definedName>
    <definedName name="_xlnm.Print_Titles" localSheetId="26">'OSR_Div 4_1740TMT'!$A:$C,'OSR_Div 4_1740TMT'!$1:$10</definedName>
    <definedName name="_xlnm.Print_Titles" localSheetId="37">'OSR_Div 5 (2)...32d16c57_IVJ1QO'!$A:$C,'OSR_Div 5 (2)...32d16c57_IVJ1QO'!$1:$10</definedName>
    <definedName name="_xlnm.Print_Titles" localSheetId="34">'OSR_Div 5_16NAZO2'!$A:$C,'OSR_Div 5_16NAZO2'!$1:$10</definedName>
    <definedName name="_xlnm.Print_Titles" localSheetId="36">'OSR_Div 6_P37YY7'!$A:$C,'OSR_Div 6_P37YY7'!$1:$10</definedName>
    <definedName name="_xlnm.Print_Titles" localSheetId="92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95" l="1"/>
  <c r="B38" i="95"/>
  <c r="T34" i="95"/>
  <c r="Z34" i="95" s="1"/>
  <c r="P34" i="95"/>
  <c r="H34" i="95"/>
  <c r="N34" i="95" s="1"/>
  <c r="D34" i="95"/>
  <c r="T33" i="95"/>
  <c r="Z33" i="95" s="1"/>
  <c r="P33" i="95"/>
  <c r="H33" i="95"/>
  <c r="N33" i="95" s="1"/>
  <c r="D33" i="95"/>
  <c r="T29" i="95"/>
  <c r="Z29" i="95" s="1"/>
  <c r="P29" i="95"/>
  <c r="H29" i="95"/>
  <c r="D29" i="95"/>
  <c r="T25" i="95"/>
  <c r="Z25" i="95" s="1"/>
  <c r="P25" i="95"/>
  <c r="H25" i="95"/>
  <c r="N25" i="95" s="1"/>
  <c r="D25" i="95"/>
  <c r="B25" i="95"/>
  <c r="T24" i="95"/>
  <c r="Z24" i="95" s="1"/>
  <c r="P24" i="95"/>
  <c r="H24" i="95"/>
  <c r="N24" i="95" s="1"/>
  <c r="D24" i="95"/>
  <c r="T22" i="95"/>
  <c r="Z22" i="95" s="1"/>
  <c r="P22" i="95"/>
  <c r="H22" i="95"/>
  <c r="N22" i="95" s="1"/>
  <c r="D22" i="95"/>
  <c r="B22" i="95"/>
  <c r="T21" i="95"/>
  <c r="Z21" i="95" s="1"/>
  <c r="P21" i="95"/>
  <c r="H21" i="95"/>
  <c r="N21" i="95" s="1"/>
  <c r="D21" i="95"/>
  <c r="B21" i="95"/>
  <c r="T20" i="95"/>
  <c r="Z20" i="95" s="1"/>
  <c r="P20" i="95"/>
  <c r="H20" i="95"/>
  <c r="N20" i="95" s="1"/>
  <c r="D20" i="95"/>
  <c r="T16" i="95"/>
  <c r="Z16" i="95" s="1"/>
  <c r="P16" i="95"/>
  <c r="H16" i="95"/>
  <c r="N16" i="95" s="1"/>
  <c r="D16" i="95"/>
  <c r="B16" i="95"/>
  <c r="T15" i="95"/>
  <c r="Z15" i="95" s="1"/>
  <c r="P15" i="95"/>
  <c r="H15" i="95"/>
  <c r="D15" i="95"/>
  <c r="T13" i="95"/>
  <c r="Z13" i="95" s="1"/>
  <c r="P13" i="95"/>
  <c r="H13" i="95"/>
  <c r="N13" i="95" s="1"/>
  <c r="D13" i="95"/>
  <c r="B13" i="95"/>
  <c r="T12" i="95"/>
  <c r="V34" i="95" s="1"/>
  <c r="P12" i="95"/>
  <c r="R34" i="95" s="1"/>
  <c r="H12" i="95"/>
  <c r="D12" i="95"/>
  <c r="F34" i="95" s="1"/>
  <c r="D6" i="95"/>
  <c r="D5" i="95"/>
  <c r="D4" i="95"/>
  <c r="B39" i="94"/>
  <c r="B38" i="94"/>
  <c r="T34" i="94"/>
  <c r="Z34" i="94" s="1"/>
  <c r="P34" i="94"/>
  <c r="H34" i="94"/>
  <c r="N34" i="94" s="1"/>
  <c r="D34" i="94"/>
  <c r="T33" i="94"/>
  <c r="Z33" i="94" s="1"/>
  <c r="P33" i="94"/>
  <c r="H33" i="94"/>
  <c r="N33" i="94" s="1"/>
  <c r="D33" i="94"/>
  <c r="T29" i="94"/>
  <c r="Z29" i="94" s="1"/>
  <c r="P29" i="94"/>
  <c r="H29" i="94"/>
  <c r="N29" i="94" s="1"/>
  <c r="D29" i="94"/>
  <c r="T25" i="94"/>
  <c r="Z25" i="94" s="1"/>
  <c r="P25" i="94"/>
  <c r="H25" i="94"/>
  <c r="N25" i="94" s="1"/>
  <c r="D25" i="94"/>
  <c r="B25" i="94"/>
  <c r="T24" i="94"/>
  <c r="Z24" i="94" s="1"/>
  <c r="P24" i="94"/>
  <c r="H24" i="94"/>
  <c r="N24" i="94" s="1"/>
  <c r="D24" i="94"/>
  <c r="T22" i="94"/>
  <c r="Z22" i="94" s="1"/>
  <c r="P22" i="94"/>
  <c r="H22" i="94"/>
  <c r="N22" i="94" s="1"/>
  <c r="D22" i="94"/>
  <c r="B22" i="94"/>
  <c r="T21" i="94"/>
  <c r="Z21" i="94" s="1"/>
  <c r="P21" i="94"/>
  <c r="H21" i="94"/>
  <c r="N21" i="94" s="1"/>
  <c r="D21" i="94"/>
  <c r="B21" i="94"/>
  <c r="T20" i="94"/>
  <c r="Z20" i="94" s="1"/>
  <c r="P20" i="94"/>
  <c r="H20" i="94"/>
  <c r="N20" i="94" s="1"/>
  <c r="D20" i="94"/>
  <c r="T16" i="94"/>
  <c r="Z16" i="94" s="1"/>
  <c r="P16" i="94"/>
  <c r="H16" i="94"/>
  <c r="N16" i="94" s="1"/>
  <c r="D16" i="94"/>
  <c r="B16" i="94"/>
  <c r="T15" i="94"/>
  <c r="Z15" i="94" s="1"/>
  <c r="P15" i="94"/>
  <c r="H15" i="94"/>
  <c r="N15" i="94" s="1"/>
  <c r="D15" i="94"/>
  <c r="T13" i="94"/>
  <c r="Z13" i="94" s="1"/>
  <c r="P13" i="94"/>
  <c r="H13" i="94"/>
  <c r="N13" i="94" s="1"/>
  <c r="D13" i="94"/>
  <c r="B13" i="94"/>
  <c r="T12" i="94"/>
  <c r="V34" i="94" s="1"/>
  <c r="P12" i="94"/>
  <c r="R36" i="94" s="1"/>
  <c r="H12" i="94"/>
  <c r="J20" i="94" s="1"/>
  <c r="D12" i="94"/>
  <c r="D6" i="94"/>
  <c r="D5" i="94"/>
  <c r="D4" i="94"/>
  <c r="B39" i="93"/>
  <c r="B38" i="93"/>
  <c r="T34" i="93"/>
  <c r="Z34" i="93" s="1"/>
  <c r="P34" i="93"/>
  <c r="H34" i="93"/>
  <c r="N34" i="93" s="1"/>
  <c r="D34" i="93"/>
  <c r="T33" i="93"/>
  <c r="Z33" i="93" s="1"/>
  <c r="P33" i="93"/>
  <c r="H33" i="93"/>
  <c r="N33" i="93" s="1"/>
  <c r="D33" i="93"/>
  <c r="T29" i="93"/>
  <c r="Z29" i="93" s="1"/>
  <c r="P29" i="93"/>
  <c r="H29" i="93"/>
  <c r="N29" i="93" s="1"/>
  <c r="D29" i="93"/>
  <c r="T25" i="93"/>
  <c r="Z25" i="93" s="1"/>
  <c r="P25" i="93"/>
  <c r="H25" i="93"/>
  <c r="N25" i="93" s="1"/>
  <c r="D25" i="93"/>
  <c r="B25" i="93"/>
  <c r="T24" i="93"/>
  <c r="Z24" i="93" s="1"/>
  <c r="P24" i="93"/>
  <c r="H24" i="93"/>
  <c r="N24" i="93" s="1"/>
  <c r="D24" i="93"/>
  <c r="T22" i="93"/>
  <c r="Z22" i="93" s="1"/>
  <c r="P22" i="93"/>
  <c r="H22" i="93"/>
  <c r="N22" i="93" s="1"/>
  <c r="D22" i="93"/>
  <c r="B22" i="93"/>
  <c r="T21" i="93"/>
  <c r="Z21" i="93" s="1"/>
  <c r="P21" i="93"/>
  <c r="H21" i="93"/>
  <c r="N21" i="93" s="1"/>
  <c r="D21" i="93"/>
  <c r="B21" i="93"/>
  <c r="T20" i="93"/>
  <c r="Z20" i="93" s="1"/>
  <c r="P20" i="93"/>
  <c r="H20" i="93"/>
  <c r="D20" i="93"/>
  <c r="T16" i="93"/>
  <c r="Z16" i="93" s="1"/>
  <c r="P16" i="93"/>
  <c r="H16" i="93"/>
  <c r="N16" i="93" s="1"/>
  <c r="D16" i="93"/>
  <c r="B16" i="93"/>
  <c r="T15" i="93"/>
  <c r="Z15" i="93" s="1"/>
  <c r="P15" i="93"/>
  <c r="H15" i="93"/>
  <c r="N15" i="93" s="1"/>
  <c r="D15" i="93"/>
  <c r="T13" i="93"/>
  <c r="Z13" i="93" s="1"/>
  <c r="P13" i="93"/>
  <c r="H13" i="93"/>
  <c r="N13" i="93" s="1"/>
  <c r="D13" i="93"/>
  <c r="B13" i="93"/>
  <c r="T12" i="93"/>
  <c r="V36" i="93" s="1"/>
  <c r="P12" i="93"/>
  <c r="H12" i="93"/>
  <c r="D12" i="93"/>
  <c r="F36" i="93" s="1"/>
  <c r="D6" i="93"/>
  <c r="D5" i="93"/>
  <c r="D4" i="93"/>
  <c r="X77" i="92"/>
  <c r="Z77" i="92" s="1"/>
  <c r="L77" i="92"/>
  <c r="N77" i="92" s="1"/>
  <c r="X73" i="92"/>
  <c r="Z73" i="92" s="1"/>
  <c r="P73" i="92"/>
  <c r="N73" i="92"/>
  <c r="D73" i="92"/>
  <c r="L73" i="92" s="1"/>
  <c r="B73" i="92"/>
  <c r="T72" i="92"/>
  <c r="Z72" i="92" s="1"/>
  <c r="P72" i="92"/>
  <c r="X72" i="92" s="1"/>
  <c r="L72" i="92"/>
  <c r="N72" i="92" s="1"/>
  <c r="H72" i="92"/>
  <c r="D72" i="92"/>
  <c r="Z70" i="92"/>
  <c r="X70" i="92"/>
  <c r="N70" i="92"/>
  <c r="L70" i="92"/>
  <c r="B70" i="92"/>
  <c r="T69" i="92"/>
  <c r="Z69" i="92" s="1"/>
  <c r="P69" i="92"/>
  <c r="X69" i="92" s="1"/>
  <c r="L69" i="92"/>
  <c r="H69" i="92"/>
  <c r="N69" i="92" s="1"/>
  <c r="D69" i="92"/>
  <c r="B69" i="92"/>
  <c r="Z68" i="92"/>
  <c r="X68" i="92"/>
  <c r="L68" i="92"/>
  <c r="N68" i="92" s="1"/>
  <c r="B68" i="92"/>
  <c r="X67" i="92"/>
  <c r="T67" i="92"/>
  <c r="Z67" i="92" s="1"/>
  <c r="P67" i="92"/>
  <c r="L67" i="92"/>
  <c r="H67" i="92"/>
  <c r="D67" i="92"/>
  <c r="B67" i="92"/>
  <c r="Z66" i="92"/>
  <c r="X66" i="92"/>
  <c r="N66" i="92"/>
  <c r="L66" i="92"/>
  <c r="B66" i="92"/>
  <c r="Z65" i="92"/>
  <c r="X65" i="92"/>
  <c r="N65" i="92"/>
  <c r="L65" i="92"/>
  <c r="B65" i="92"/>
  <c r="Z64" i="92"/>
  <c r="X64" i="92"/>
  <c r="L64" i="92"/>
  <c r="N64" i="92" s="1"/>
  <c r="B64" i="92"/>
  <c r="X63" i="92"/>
  <c r="T63" i="92"/>
  <c r="Z63" i="92" s="1"/>
  <c r="P63" i="92"/>
  <c r="L63" i="92"/>
  <c r="H63" i="92"/>
  <c r="N63" i="92" s="1"/>
  <c r="D63" i="92"/>
  <c r="B63" i="92"/>
  <c r="Z62" i="92"/>
  <c r="X62" i="92"/>
  <c r="N62" i="92"/>
  <c r="L62" i="92"/>
  <c r="B62" i="92"/>
  <c r="X61" i="92"/>
  <c r="T61" i="92"/>
  <c r="P61" i="92"/>
  <c r="H61" i="92"/>
  <c r="D61" i="92"/>
  <c r="B61" i="92"/>
  <c r="Z60" i="92"/>
  <c r="X60" i="92"/>
  <c r="N60" i="92"/>
  <c r="L60" i="92"/>
  <c r="B60" i="92"/>
  <c r="X59" i="92"/>
  <c r="Z59" i="92" s="1"/>
  <c r="L59" i="92"/>
  <c r="N59" i="92" s="1"/>
  <c r="B59" i="92"/>
  <c r="Z58" i="92"/>
  <c r="X58" i="92"/>
  <c r="N58" i="92"/>
  <c r="L58" i="92"/>
  <c r="B58" i="92"/>
  <c r="X57" i="92"/>
  <c r="T57" i="92"/>
  <c r="P57" i="92"/>
  <c r="H57" i="92"/>
  <c r="D57" i="92"/>
  <c r="B57" i="92"/>
  <c r="X56" i="92"/>
  <c r="Z56" i="92" s="1"/>
  <c r="N56" i="92"/>
  <c r="L56" i="92"/>
  <c r="B56" i="92"/>
  <c r="T55" i="92"/>
  <c r="P55" i="92"/>
  <c r="H55" i="92"/>
  <c r="D55" i="92"/>
  <c r="L55" i="92" s="1"/>
  <c r="B55" i="92"/>
  <c r="Z54" i="92"/>
  <c r="X54" i="92"/>
  <c r="N54" i="92"/>
  <c r="L54" i="92"/>
  <c r="B54" i="92"/>
  <c r="T53" i="92"/>
  <c r="P53" i="92"/>
  <c r="X53" i="92" s="1"/>
  <c r="L53" i="92"/>
  <c r="H53" i="92"/>
  <c r="N53" i="92" s="1"/>
  <c r="D53" i="92"/>
  <c r="B53" i="92"/>
  <c r="Z52" i="92"/>
  <c r="X52" i="92"/>
  <c r="L52" i="92"/>
  <c r="N52" i="92" s="1"/>
  <c r="B52" i="92"/>
  <c r="X51" i="92"/>
  <c r="T51" i="92"/>
  <c r="Z51" i="92" s="1"/>
  <c r="P51" i="92"/>
  <c r="L51" i="92"/>
  <c r="H51" i="92"/>
  <c r="D51" i="92"/>
  <c r="B51" i="92"/>
  <c r="Z50" i="92"/>
  <c r="X50" i="92"/>
  <c r="N50" i="92"/>
  <c r="L50" i="92"/>
  <c r="B50" i="92"/>
  <c r="Z49" i="92"/>
  <c r="X49" i="92"/>
  <c r="N49" i="92"/>
  <c r="L49" i="92"/>
  <c r="B49" i="92"/>
  <c r="T48" i="92"/>
  <c r="P48" i="92"/>
  <c r="X48" i="92" s="1"/>
  <c r="Z48" i="92" s="1"/>
  <c r="N48" i="92"/>
  <c r="L48" i="92"/>
  <c r="J48" i="92"/>
  <c r="H48" i="92"/>
  <c r="D48" i="92"/>
  <c r="B48" i="92"/>
  <c r="X47" i="92"/>
  <c r="Z47" i="92" s="1"/>
  <c r="L47" i="92"/>
  <c r="N47" i="92" s="1"/>
  <c r="B47" i="92"/>
  <c r="Z46" i="92"/>
  <c r="X46" i="92"/>
  <c r="V46" i="92"/>
  <c r="T46" i="92"/>
  <c r="P46" i="92"/>
  <c r="L46" i="92"/>
  <c r="N46" i="92" s="1"/>
  <c r="H46" i="92"/>
  <c r="D46" i="92"/>
  <c r="B46" i="92"/>
  <c r="X45" i="92"/>
  <c r="Z45" i="92" s="1"/>
  <c r="L45" i="92"/>
  <c r="N45" i="92" s="1"/>
  <c r="B45" i="92"/>
  <c r="X44" i="92"/>
  <c r="Z44" i="92" s="1"/>
  <c r="T44" i="92"/>
  <c r="P44" i="92"/>
  <c r="H44" i="92"/>
  <c r="D44" i="92"/>
  <c r="B44" i="92"/>
  <c r="X43" i="92"/>
  <c r="Z43" i="92" s="1"/>
  <c r="N43" i="92"/>
  <c r="L43" i="92"/>
  <c r="B43" i="92"/>
  <c r="T42" i="92"/>
  <c r="P42" i="92"/>
  <c r="H42" i="92"/>
  <c r="D42" i="92"/>
  <c r="L42" i="92" s="1"/>
  <c r="N42" i="92" s="1"/>
  <c r="B42" i="92"/>
  <c r="Z41" i="92"/>
  <c r="X41" i="92"/>
  <c r="N41" i="92"/>
  <c r="L41" i="92"/>
  <c r="B41" i="92"/>
  <c r="Z40" i="92"/>
  <c r="X40" i="92"/>
  <c r="N40" i="92"/>
  <c r="L40" i="92"/>
  <c r="B40" i="92"/>
  <c r="X39" i="92"/>
  <c r="Z39" i="92" s="1"/>
  <c r="N39" i="92"/>
  <c r="L39" i="92"/>
  <c r="B39" i="92"/>
  <c r="Z38" i="92"/>
  <c r="X38" i="92"/>
  <c r="R38" i="92"/>
  <c r="N38" i="92"/>
  <c r="L38" i="92"/>
  <c r="B38" i="92"/>
  <c r="Z37" i="92"/>
  <c r="X37" i="92"/>
  <c r="R37" i="92"/>
  <c r="N37" i="92"/>
  <c r="L37" i="92"/>
  <c r="B37" i="92"/>
  <c r="Z36" i="92"/>
  <c r="X36" i="92"/>
  <c r="R36" i="92"/>
  <c r="N36" i="92"/>
  <c r="L36" i="92"/>
  <c r="B36" i="92"/>
  <c r="X35" i="92"/>
  <c r="Z35" i="92" s="1"/>
  <c r="L35" i="92"/>
  <c r="N35" i="92" s="1"/>
  <c r="B35" i="92"/>
  <c r="Z34" i="92"/>
  <c r="X34" i="92"/>
  <c r="N34" i="92"/>
  <c r="L34" i="92"/>
  <c r="B34" i="92"/>
  <c r="X33" i="92"/>
  <c r="Z33" i="92" s="1"/>
  <c r="R33" i="92"/>
  <c r="L33" i="92"/>
  <c r="N33" i="92" s="1"/>
  <c r="B33" i="92"/>
  <c r="Z32" i="92"/>
  <c r="X32" i="92"/>
  <c r="N32" i="92"/>
  <c r="L32" i="92"/>
  <c r="B32" i="92"/>
  <c r="X31" i="92"/>
  <c r="T31" i="92"/>
  <c r="Z31" i="92" s="1"/>
  <c r="P31" i="92"/>
  <c r="H31" i="92"/>
  <c r="D31" i="92"/>
  <c r="B31" i="92"/>
  <c r="Z30" i="92"/>
  <c r="X30" i="92"/>
  <c r="V30" i="92"/>
  <c r="N30" i="92"/>
  <c r="L30" i="92"/>
  <c r="B30" i="92"/>
  <c r="X29" i="92"/>
  <c r="Z29" i="92" s="1"/>
  <c r="R29" i="92"/>
  <c r="L29" i="92"/>
  <c r="N29" i="92" s="1"/>
  <c r="B29" i="92"/>
  <c r="Z28" i="92"/>
  <c r="X28" i="92"/>
  <c r="N28" i="92"/>
  <c r="L28" i="92"/>
  <c r="B28" i="92"/>
  <c r="Z27" i="92"/>
  <c r="X27" i="92"/>
  <c r="N27" i="92"/>
  <c r="L27" i="92"/>
  <c r="B27" i="92"/>
  <c r="Z26" i="92"/>
  <c r="X26" i="92"/>
  <c r="N26" i="92"/>
  <c r="L26" i="92"/>
  <c r="J26" i="92"/>
  <c r="B26" i="92"/>
  <c r="X25" i="92"/>
  <c r="Z25" i="92" s="1"/>
  <c r="L25" i="92"/>
  <c r="N25" i="92" s="1"/>
  <c r="B25" i="92"/>
  <c r="Z24" i="92"/>
  <c r="X24" i="92"/>
  <c r="N24" i="92"/>
  <c r="L24" i="92"/>
  <c r="J24" i="92"/>
  <c r="B24" i="92"/>
  <c r="Z23" i="92"/>
  <c r="X23" i="92"/>
  <c r="R23" i="92"/>
  <c r="L23" i="92"/>
  <c r="N23" i="92" s="1"/>
  <c r="B23" i="92"/>
  <c r="X22" i="92"/>
  <c r="Z22" i="92" s="1"/>
  <c r="N22" i="92"/>
  <c r="L22" i="92"/>
  <c r="B22" i="92"/>
  <c r="X21" i="92"/>
  <c r="Z21" i="92" s="1"/>
  <c r="R21" i="92"/>
  <c r="L21" i="92"/>
  <c r="N21" i="92" s="1"/>
  <c r="B21" i="92"/>
  <c r="T20" i="92"/>
  <c r="R20" i="92"/>
  <c r="P20" i="92"/>
  <c r="X20" i="92" s="1"/>
  <c r="Z20" i="92" s="1"/>
  <c r="J20" i="92"/>
  <c r="H20" i="92"/>
  <c r="N20" i="92" s="1"/>
  <c r="D20" i="92"/>
  <c r="L20" i="92" s="1"/>
  <c r="B20" i="92"/>
  <c r="T19" i="92"/>
  <c r="P19" i="92"/>
  <c r="H19" i="92"/>
  <c r="N19" i="92" s="1"/>
  <c r="D19" i="92"/>
  <c r="L19" i="92" s="1"/>
  <c r="H17" i="92"/>
  <c r="T15" i="92"/>
  <c r="Z15" i="92" s="1"/>
  <c r="P15" i="92"/>
  <c r="H15" i="92"/>
  <c r="N15" i="92" s="1"/>
  <c r="D15" i="92"/>
  <c r="L15" i="92" s="1"/>
  <c r="X13" i="92"/>
  <c r="Z13" i="92" s="1"/>
  <c r="P13" i="92"/>
  <c r="D13" i="92"/>
  <c r="L13" i="92" s="1"/>
  <c r="N13" i="92" s="1"/>
  <c r="B13" i="92"/>
  <c r="T12" i="92"/>
  <c r="P12" i="92"/>
  <c r="R46" i="92" s="1"/>
  <c r="H12" i="92"/>
  <c r="J46" i="92" s="1"/>
  <c r="D6" i="92"/>
  <c r="D4" i="92"/>
  <c r="Z94" i="91"/>
  <c r="X94" i="91"/>
  <c r="N94" i="91"/>
  <c r="L94" i="91"/>
  <c r="Z90" i="91"/>
  <c r="V90" i="91"/>
  <c r="T90" i="91"/>
  <c r="X90" i="91" s="1"/>
  <c r="P90" i="91"/>
  <c r="N90" i="91"/>
  <c r="H90" i="91"/>
  <c r="D90" i="91"/>
  <c r="L90" i="91" s="1"/>
  <c r="Z88" i="91"/>
  <c r="X88" i="91"/>
  <c r="N88" i="91"/>
  <c r="L88" i="91"/>
  <c r="B88" i="91"/>
  <c r="T87" i="91"/>
  <c r="Z87" i="91" s="1"/>
  <c r="P87" i="91"/>
  <c r="X87" i="91" s="1"/>
  <c r="L87" i="91"/>
  <c r="H87" i="91"/>
  <c r="N87" i="91" s="1"/>
  <c r="D87" i="91"/>
  <c r="B87" i="91"/>
  <c r="Z86" i="91"/>
  <c r="X86" i="91"/>
  <c r="N86" i="91"/>
  <c r="L86" i="91"/>
  <c r="B86" i="91"/>
  <c r="X85" i="91"/>
  <c r="T85" i="91"/>
  <c r="Z85" i="91" s="1"/>
  <c r="P85" i="91"/>
  <c r="L85" i="91"/>
  <c r="H85" i="91"/>
  <c r="D85" i="91"/>
  <c r="B85" i="91"/>
  <c r="Z84" i="91"/>
  <c r="X84" i="91"/>
  <c r="N84" i="91"/>
  <c r="L84" i="91"/>
  <c r="B84" i="91"/>
  <c r="T83" i="91"/>
  <c r="P83" i="91"/>
  <c r="H83" i="91"/>
  <c r="D83" i="91"/>
  <c r="L83" i="91" s="1"/>
  <c r="B83" i="91"/>
  <c r="Z82" i="91"/>
  <c r="X82" i="91"/>
  <c r="N82" i="91"/>
  <c r="L82" i="91"/>
  <c r="J82" i="91"/>
  <c r="B82" i="91"/>
  <c r="Z81" i="91"/>
  <c r="X81" i="91"/>
  <c r="N81" i="91"/>
  <c r="L81" i="91"/>
  <c r="B81" i="91"/>
  <c r="Z80" i="91"/>
  <c r="X80" i="91"/>
  <c r="N80" i="91"/>
  <c r="L80" i="91"/>
  <c r="B80" i="91"/>
  <c r="X79" i="91"/>
  <c r="Z79" i="91" s="1"/>
  <c r="R79" i="91"/>
  <c r="L79" i="91"/>
  <c r="N79" i="91" s="1"/>
  <c r="B79" i="91"/>
  <c r="Z78" i="91"/>
  <c r="X78" i="91"/>
  <c r="N78" i="91"/>
  <c r="L78" i="91"/>
  <c r="B78" i="91"/>
  <c r="X77" i="91"/>
  <c r="Z77" i="91" s="1"/>
  <c r="L77" i="91"/>
  <c r="N77" i="91" s="1"/>
  <c r="B77" i="91"/>
  <c r="Z76" i="91"/>
  <c r="X76" i="91"/>
  <c r="N76" i="91"/>
  <c r="L76" i="91"/>
  <c r="J76" i="91"/>
  <c r="B76" i="91"/>
  <c r="T75" i="91"/>
  <c r="P75" i="91"/>
  <c r="X75" i="91" s="1"/>
  <c r="L75" i="91"/>
  <c r="H75" i="91"/>
  <c r="D75" i="91"/>
  <c r="B75" i="91"/>
  <c r="Z74" i="91"/>
  <c r="X74" i="91"/>
  <c r="N74" i="91"/>
  <c r="L74" i="91"/>
  <c r="B74" i="91"/>
  <c r="X73" i="91"/>
  <c r="Z73" i="91" s="1"/>
  <c r="L73" i="91"/>
  <c r="N73" i="91" s="1"/>
  <c r="B73" i="91"/>
  <c r="Z72" i="91"/>
  <c r="X72" i="91"/>
  <c r="N72" i="91"/>
  <c r="L72" i="91"/>
  <c r="B72" i="91"/>
  <c r="X71" i="91"/>
  <c r="Z71" i="91" s="1"/>
  <c r="L71" i="91"/>
  <c r="N71" i="91" s="1"/>
  <c r="B71" i="91"/>
  <c r="T70" i="91"/>
  <c r="Z70" i="91" s="1"/>
  <c r="P70" i="91"/>
  <c r="X70" i="91" s="1"/>
  <c r="N70" i="91"/>
  <c r="H70" i="91"/>
  <c r="D70" i="91"/>
  <c r="L70" i="91" s="1"/>
  <c r="B70" i="91"/>
  <c r="X69" i="91"/>
  <c r="Z69" i="91" s="1"/>
  <c r="L69" i="91"/>
  <c r="N69" i="91" s="1"/>
  <c r="B69" i="91"/>
  <c r="Z68" i="91"/>
  <c r="X68" i="91"/>
  <c r="N68" i="91"/>
  <c r="L68" i="91"/>
  <c r="J68" i="91"/>
  <c r="B68" i="91"/>
  <c r="Z67" i="91"/>
  <c r="X67" i="91"/>
  <c r="N67" i="91"/>
  <c r="L67" i="91"/>
  <c r="B67" i="91"/>
  <c r="T66" i="91"/>
  <c r="Z66" i="91" s="1"/>
  <c r="P66" i="91"/>
  <c r="X66" i="91" s="1"/>
  <c r="H66" i="91"/>
  <c r="D66" i="91"/>
  <c r="L66" i="91" s="1"/>
  <c r="N66" i="91" s="1"/>
  <c r="B66" i="91"/>
  <c r="X65" i="91"/>
  <c r="Z65" i="91" s="1"/>
  <c r="L65" i="91"/>
  <c r="N65" i="91" s="1"/>
  <c r="B65" i="91"/>
  <c r="T64" i="91"/>
  <c r="P64" i="91"/>
  <c r="X64" i="91" s="1"/>
  <c r="Z64" i="91" s="1"/>
  <c r="N64" i="91"/>
  <c r="L64" i="91"/>
  <c r="J64" i="91"/>
  <c r="H64" i="91"/>
  <c r="D64" i="91"/>
  <c r="B64" i="91"/>
  <c r="X63" i="91"/>
  <c r="Z63" i="91" s="1"/>
  <c r="N63" i="91"/>
  <c r="L63" i="91"/>
  <c r="B63" i="91"/>
  <c r="Z62" i="91"/>
  <c r="X62" i="91"/>
  <c r="T62" i="91"/>
  <c r="P62" i="91"/>
  <c r="L62" i="91"/>
  <c r="H62" i="91"/>
  <c r="N62" i="91" s="1"/>
  <c r="D62" i="91"/>
  <c r="B62" i="91"/>
  <c r="X61" i="91"/>
  <c r="Z61" i="91" s="1"/>
  <c r="N61" i="91"/>
  <c r="L61" i="91"/>
  <c r="B61" i="91"/>
  <c r="X60" i="91"/>
  <c r="T60" i="91"/>
  <c r="Z60" i="91" s="1"/>
  <c r="P60" i="91"/>
  <c r="H60" i="91"/>
  <c r="N60" i="91" s="1"/>
  <c r="D60" i="91"/>
  <c r="L60" i="91" s="1"/>
  <c r="B60" i="91"/>
  <c r="Z59" i="91"/>
  <c r="X59" i="91"/>
  <c r="L59" i="91"/>
  <c r="N59" i="91" s="1"/>
  <c r="B59" i="91"/>
  <c r="T58" i="91"/>
  <c r="P58" i="91"/>
  <c r="X58" i="91" s="1"/>
  <c r="H58" i="91"/>
  <c r="D58" i="91"/>
  <c r="L58" i="91" s="1"/>
  <c r="N58" i="91" s="1"/>
  <c r="B58" i="91"/>
  <c r="X57" i="91"/>
  <c r="Z57" i="91" s="1"/>
  <c r="L57" i="91"/>
  <c r="N57" i="91" s="1"/>
  <c r="B57" i="91"/>
  <c r="T56" i="91"/>
  <c r="P56" i="91"/>
  <c r="X56" i="91" s="1"/>
  <c r="Z56" i="91" s="1"/>
  <c r="N56" i="91"/>
  <c r="L56" i="91"/>
  <c r="H56" i="91"/>
  <c r="D56" i="91"/>
  <c r="B56" i="91"/>
  <c r="X55" i="91"/>
  <c r="Z55" i="91" s="1"/>
  <c r="N55" i="91"/>
  <c r="L55" i="91"/>
  <c r="B55" i="91"/>
  <c r="Z54" i="91"/>
  <c r="X54" i="91"/>
  <c r="T54" i="91"/>
  <c r="P54" i="91"/>
  <c r="L54" i="91"/>
  <c r="H54" i="91"/>
  <c r="N54" i="91" s="1"/>
  <c r="D54" i="91"/>
  <c r="B54" i="91"/>
  <c r="X53" i="91"/>
  <c r="Z53" i="91" s="1"/>
  <c r="L53" i="91"/>
  <c r="N53" i="91" s="1"/>
  <c r="B53" i="91"/>
  <c r="X52" i="91"/>
  <c r="V52" i="91"/>
  <c r="T52" i="91"/>
  <c r="Z52" i="91" s="1"/>
  <c r="P52" i="91"/>
  <c r="H52" i="91"/>
  <c r="N52" i="91" s="1"/>
  <c r="D52" i="91"/>
  <c r="L52" i="91" s="1"/>
  <c r="B52" i="91"/>
  <c r="Z51" i="91"/>
  <c r="X51" i="91"/>
  <c r="L51" i="91"/>
  <c r="N51" i="91" s="1"/>
  <c r="B51" i="91"/>
  <c r="T50" i="91"/>
  <c r="Z50" i="91" s="1"/>
  <c r="P50" i="91"/>
  <c r="X50" i="91" s="1"/>
  <c r="N50" i="91"/>
  <c r="H50" i="91"/>
  <c r="D50" i="91"/>
  <c r="L50" i="91" s="1"/>
  <c r="B50" i="91"/>
  <c r="X49" i="91"/>
  <c r="Z49" i="91" s="1"/>
  <c r="N49" i="91"/>
  <c r="L49" i="91"/>
  <c r="B49" i="91"/>
  <c r="Z48" i="91"/>
  <c r="T48" i="91"/>
  <c r="P48" i="91"/>
  <c r="X48" i="91" s="1"/>
  <c r="N48" i="91"/>
  <c r="L48" i="91"/>
  <c r="H48" i="91"/>
  <c r="D48" i="91"/>
  <c r="B48" i="91"/>
  <c r="Z47" i="91"/>
  <c r="X47" i="91"/>
  <c r="N47" i="91"/>
  <c r="L47" i="91"/>
  <c r="B47" i="91"/>
  <c r="Z46" i="91"/>
  <c r="X46" i="91"/>
  <c r="N46" i="91"/>
  <c r="L46" i="91"/>
  <c r="B46" i="91"/>
  <c r="X45" i="91"/>
  <c r="Z45" i="91" s="1"/>
  <c r="N45" i="91"/>
  <c r="L45" i="91"/>
  <c r="B45" i="91"/>
  <c r="Z44" i="91"/>
  <c r="X44" i="91"/>
  <c r="N44" i="91"/>
  <c r="L44" i="91"/>
  <c r="B44" i="91"/>
  <c r="Z43" i="91"/>
  <c r="X43" i="91"/>
  <c r="N43" i="91"/>
  <c r="L43" i="91"/>
  <c r="B43" i="91"/>
  <c r="X42" i="91"/>
  <c r="Z42" i="91" s="1"/>
  <c r="N42" i="91"/>
  <c r="L42" i="91"/>
  <c r="B42" i="91"/>
  <c r="Z41" i="91"/>
  <c r="X41" i="91"/>
  <c r="L41" i="91"/>
  <c r="N41" i="91" s="1"/>
  <c r="B41" i="91"/>
  <c r="Z40" i="91"/>
  <c r="X40" i="91"/>
  <c r="N40" i="91"/>
  <c r="L40" i="91"/>
  <c r="B40" i="91"/>
  <c r="X39" i="91"/>
  <c r="Z39" i="91" s="1"/>
  <c r="N39" i="91"/>
  <c r="L39" i="91"/>
  <c r="B39" i="91"/>
  <c r="Z38" i="91"/>
  <c r="X38" i="91"/>
  <c r="N38" i="91"/>
  <c r="L38" i="91"/>
  <c r="B38" i="91"/>
  <c r="X37" i="91"/>
  <c r="Z37" i="91" s="1"/>
  <c r="T37" i="91"/>
  <c r="P37" i="91"/>
  <c r="L37" i="91"/>
  <c r="H37" i="91"/>
  <c r="D37" i="91"/>
  <c r="B37" i="91"/>
  <c r="X36" i="91"/>
  <c r="Z36" i="91" s="1"/>
  <c r="V36" i="91"/>
  <c r="N36" i="91"/>
  <c r="L36" i="91"/>
  <c r="B36" i="91"/>
  <c r="X35" i="91"/>
  <c r="Z35" i="91" s="1"/>
  <c r="N35" i="91"/>
  <c r="L35" i="91"/>
  <c r="B35" i="91"/>
  <c r="Z34" i="91"/>
  <c r="X34" i="91"/>
  <c r="V34" i="91"/>
  <c r="L34" i="91"/>
  <c r="N34" i="91" s="1"/>
  <c r="B34" i="91"/>
  <c r="Z33" i="91"/>
  <c r="X33" i="91"/>
  <c r="N33" i="91"/>
  <c r="L33" i="91"/>
  <c r="B33" i="91"/>
  <c r="Z32" i="91"/>
  <c r="X32" i="91"/>
  <c r="N32" i="91"/>
  <c r="L32" i="91"/>
  <c r="B32" i="91"/>
  <c r="Z31" i="91"/>
  <c r="X31" i="91"/>
  <c r="L31" i="91"/>
  <c r="N31" i="91" s="1"/>
  <c r="B31" i="91"/>
  <c r="X30" i="91"/>
  <c r="Z30" i="91" s="1"/>
  <c r="N30" i="91"/>
  <c r="L30" i="91"/>
  <c r="J30" i="91"/>
  <c r="B30" i="91"/>
  <c r="X29" i="91"/>
  <c r="Z29" i="91" s="1"/>
  <c r="L29" i="91"/>
  <c r="N29" i="91" s="1"/>
  <c r="B29" i="91"/>
  <c r="X28" i="91"/>
  <c r="Z28" i="91" s="1"/>
  <c r="N28" i="91"/>
  <c r="L28" i="91"/>
  <c r="B28" i="91"/>
  <c r="X27" i="91"/>
  <c r="Z27" i="91" s="1"/>
  <c r="L27" i="91"/>
  <c r="N27" i="91" s="1"/>
  <c r="B27" i="91"/>
  <c r="V26" i="91"/>
  <c r="T26" i="91"/>
  <c r="X26" i="91" s="1"/>
  <c r="Z26" i="91" s="1"/>
  <c r="P26" i="91"/>
  <c r="L26" i="91"/>
  <c r="J26" i="91"/>
  <c r="H26" i="91"/>
  <c r="N26" i="91" s="1"/>
  <c r="D26" i="91"/>
  <c r="B26" i="91"/>
  <c r="V25" i="91"/>
  <c r="T25" i="91"/>
  <c r="P25" i="91"/>
  <c r="X25" i="91" s="1"/>
  <c r="H25" i="91"/>
  <c r="N25" i="91" s="1"/>
  <c r="D25" i="91"/>
  <c r="L25" i="91" s="1"/>
  <c r="Z21" i="91"/>
  <c r="X21" i="91"/>
  <c r="V21" i="91"/>
  <c r="N21" i="91"/>
  <c r="L21" i="91"/>
  <c r="B21" i="91"/>
  <c r="Z20" i="91"/>
  <c r="X20" i="91"/>
  <c r="V20" i="91"/>
  <c r="N20" i="91"/>
  <c r="L20" i="91"/>
  <c r="B20" i="91"/>
  <c r="Z19" i="91"/>
  <c r="X19" i="91"/>
  <c r="N19" i="91"/>
  <c r="L19" i="91"/>
  <c r="B19" i="91"/>
  <c r="Z18" i="91"/>
  <c r="V18" i="91"/>
  <c r="T18" i="91"/>
  <c r="X18" i="91" s="1"/>
  <c r="P18" i="91"/>
  <c r="J18" i="91"/>
  <c r="H18" i="91"/>
  <c r="D18" i="91"/>
  <c r="L18" i="91" s="1"/>
  <c r="N18" i="91" s="1"/>
  <c r="Z16" i="91"/>
  <c r="P16" i="91"/>
  <c r="X16" i="91" s="1"/>
  <c r="N16" i="91"/>
  <c r="D16" i="91"/>
  <c r="L16" i="91" s="1"/>
  <c r="B16" i="91"/>
  <c r="Z15" i="91"/>
  <c r="X15" i="91"/>
  <c r="P15" i="91"/>
  <c r="N15" i="91"/>
  <c r="L15" i="91"/>
  <c r="D15" i="91"/>
  <c r="B15" i="91"/>
  <c r="X14" i="91"/>
  <c r="Z14" i="91" s="1"/>
  <c r="P14" i="91"/>
  <c r="D14" i="91"/>
  <c r="B14" i="91"/>
  <c r="Z13" i="91"/>
  <c r="P13" i="91"/>
  <c r="X13" i="91" s="1"/>
  <c r="N13" i="91"/>
  <c r="D13" i="91"/>
  <c r="L13" i="91" s="1"/>
  <c r="B13" i="91"/>
  <c r="T12" i="91"/>
  <c r="P12" i="91"/>
  <c r="H12" i="91"/>
  <c r="J88" i="91" s="1"/>
  <c r="D6" i="91"/>
  <c r="D4" i="91"/>
  <c r="X94" i="90"/>
  <c r="Z94" i="90" s="1"/>
  <c r="L94" i="90"/>
  <c r="N94" i="90" s="1"/>
  <c r="X90" i="90"/>
  <c r="T90" i="90"/>
  <c r="Z90" i="90" s="1"/>
  <c r="P90" i="90"/>
  <c r="H90" i="90"/>
  <c r="N90" i="90" s="1"/>
  <c r="D90" i="90"/>
  <c r="X88" i="90"/>
  <c r="Z88" i="90" s="1"/>
  <c r="L88" i="90"/>
  <c r="N88" i="90" s="1"/>
  <c r="B88" i="90"/>
  <c r="Z87" i="90"/>
  <c r="X87" i="90"/>
  <c r="T87" i="90"/>
  <c r="P87" i="90"/>
  <c r="J87" i="90"/>
  <c r="H87" i="90"/>
  <c r="N87" i="90" s="1"/>
  <c r="D87" i="90"/>
  <c r="L87" i="90" s="1"/>
  <c r="B87" i="90"/>
  <c r="X86" i="90"/>
  <c r="Z86" i="90" s="1"/>
  <c r="N86" i="90"/>
  <c r="L86" i="90"/>
  <c r="B86" i="90"/>
  <c r="V85" i="90"/>
  <c r="T85" i="90"/>
  <c r="Z85" i="90" s="1"/>
  <c r="P85" i="90"/>
  <c r="X85" i="90" s="1"/>
  <c r="H85" i="90"/>
  <c r="D85" i="90"/>
  <c r="L85" i="90" s="1"/>
  <c r="N85" i="90" s="1"/>
  <c r="B85" i="90"/>
  <c r="X84" i="90"/>
  <c r="Z84" i="90" s="1"/>
  <c r="L84" i="90"/>
  <c r="N84" i="90" s="1"/>
  <c r="B84" i="90"/>
  <c r="Z83" i="90"/>
  <c r="X83" i="90"/>
  <c r="N83" i="90"/>
  <c r="L83" i="90"/>
  <c r="B83" i="90"/>
  <c r="X82" i="90"/>
  <c r="Z82" i="90" s="1"/>
  <c r="N82" i="90"/>
  <c r="L82" i="90"/>
  <c r="B82" i="90"/>
  <c r="Z81" i="90"/>
  <c r="X81" i="90"/>
  <c r="V81" i="90"/>
  <c r="L81" i="90"/>
  <c r="N81" i="90" s="1"/>
  <c r="J81" i="90"/>
  <c r="B81" i="90"/>
  <c r="X80" i="90"/>
  <c r="Z80" i="90" s="1"/>
  <c r="L80" i="90"/>
  <c r="N80" i="90" s="1"/>
  <c r="B80" i="90"/>
  <c r="Z79" i="90"/>
  <c r="X79" i="90"/>
  <c r="N79" i="90"/>
  <c r="L79" i="90"/>
  <c r="B79" i="90"/>
  <c r="Z78" i="90"/>
  <c r="X78" i="90"/>
  <c r="L78" i="90"/>
  <c r="N78" i="90" s="1"/>
  <c r="B78" i="90"/>
  <c r="Z77" i="90"/>
  <c r="X77" i="90"/>
  <c r="V77" i="90"/>
  <c r="N77" i="90"/>
  <c r="L77" i="90"/>
  <c r="J77" i="90"/>
  <c r="B77" i="90"/>
  <c r="X76" i="90"/>
  <c r="T76" i="90"/>
  <c r="P76" i="90"/>
  <c r="H76" i="90"/>
  <c r="D76" i="90"/>
  <c r="B76" i="90"/>
  <c r="Z75" i="90"/>
  <c r="X75" i="90"/>
  <c r="N75" i="90"/>
  <c r="L75" i="90"/>
  <c r="B75" i="90"/>
  <c r="T74" i="90"/>
  <c r="P74" i="90"/>
  <c r="L74" i="90"/>
  <c r="H74" i="90"/>
  <c r="N74" i="90" s="1"/>
  <c r="D74" i="90"/>
  <c r="B74" i="90"/>
  <c r="Z73" i="90"/>
  <c r="X73" i="90"/>
  <c r="V73" i="90"/>
  <c r="L73" i="90"/>
  <c r="N73" i="90" s="1"/>
  <c r="J73" i="90"/>
  <c r="B73" i="90"/>
  <c r="X72" i="90"/>
  <c r="Z72" i="90" s="1"/>
  <c r="L72" i="90"/>
  <c r="N72" i="90" s="1"/>
  <c r="B72" i="90"/>
  <c r="Z71" i="90"/>
  <c r="X71" i="90"/>
  <c r="N71" i="90"/>
  <c r="L71" i="90"/>
  <c r="B71" i="90"/>
  <c r="Z70" i="90"/>
  <c r="X70" i="90"/>
  <c r="L70" i="90"/>
  <c r="N70" i="90" s="1"/>
  <c r="B70" i="90"/>
  <c r="V69" i="90"/>
  <c r="T69" i="90"/>
  <c r="Z69" i="90" s="1"/>
  <c r="P69" i="90"/>
  <c r="X69" i="90" s="1"/>
  <c r="N69" i="90"/>
  <c r="L69" i="90"/>
  <c r="H69" i="90"/>
  <c r="D69" i="90"/>
  <c r="B69" i="90"/>
  <c r="X68" i="90"/>
  <c r="Z68" i="90" s="1"/>
  <c r="L68" i="90"/>
  <c r="N68" i="90" s="1"/>
  <c r="B68" i="90"/>
  <c r="Z67" i="90"/>
  <c r="X67" i="90"/>
  <c r="N67" i="90"/>
  <c r="L67" i="90"/>
  <c r="B67" i="90"/>
  <c r="T66" i="90"/>
  <c r="P66" i="90"/>
  <c r="L66" i="90"/>
  <c r="N66" i="90" s="1"/>
  <c r="H66" i="90"/>
  <c r="D66" i="90"/>
  <c r="B66" i="90"/>
  <c r="Z65" i="90"/>
  <c r="X65" i="90"/>
  <c r="V65" i="90"/>
  <c r="L65" i="90"/>
  <c r="N65" i="90" s="1"/>
  <c r="J65" i="90"/>
  <c r="B65" i="90"/>
  <c r="X64" i="90"/>
  <c r="Z64" i="90" s="1"/>
  <c r="T64" i="90"/>
  <c r="P64" i="90"/>
  <c r="H64" i="90"/>
  <c r="D64" i="90"/>
  <c r="B64" i="90"/>
  <c r="Z63" i="90"/>
  <c r="X63" i="90"/>
  <c r="N63" i="90"/>
  <c r="L63" i="90"/>
  <c r="B63" i="90"/>
  <c r="T62" i="90"/>
  <c r="P62" i="90"/>
  <c r="H62" i="90"/>
  <c r="D62" i="90"/>
  <c r="L62" i="90" s="1"/>
  <c r="B62" i="90"/>
  <c r="Z61" i="90"/>
  <c r="X61" i="90"/>
  <c r="V61" i="90"/>
  <c r="N61" i="90"/>
  <c r="L61" i="90"/>
  <c r="J61" i="90"/>
  <c r="B61" i="90"/>
  <c r="X60" i="90"/>
  <c r="T60" i="90"/>
  <c r="Z60" i="90" s="1"/>
  <c r="P60" i="90"/>
  <c r="H60" i="90"/>
  <c r="D60" i="90"/>
  <c r="L60" i="90" s="1"/>
  <c r="B60" i="90"/>
  <c r="Z59" i="90"/>
  <c r="X59" i="90"/>
  <c r="N59" i="90"/>
  <c r="L59" i="90"/>
  <c r="B59" i="90"/>
  <c r="T58" i="90"/>
  <c r="P58" i="90"/>
  <c r="L58" i="90"/>
  <c r="J58" i="90"/>
  <c r="H58" i="90"/>
  <c r="D58" i="90"/>
  <c r="B58" i="90"/>
  <c r="Z57" i="90"/>
  <c r="X57" i="90"/>
  <c r="V57" i="90"/>
  <c r="N57" i="90"/>
  <c r="L57" i="90"/>
  <c r="J57" i="90"/>
  <c r="B57" i="90"/>
  <c r="V56" i="90"/>
  <c r="T56" i="90"/>
  <c r="P56" i="90"/>
  <c r="X56" i="90" s="1"/>
  <c r="H56" i="90"/>
  <c r="D56" i="90"/>
  <c r="B56" i="90"/>
  <c r="Z55" i="90"/>
  <c r="X55" i="90"/>
  <c r="L55" i="90"/>
  <c r="N55" i="90" s="1"/>
  <c r="B55" i="90"/>
  <c r="T54" i="90"/>
  <c r="P54" i="90"/>
  <c r="L54" i="90"/>
  <c r="H54" i="90"/>
  <c r="N54" i="90" s="1"/>
  <c r="D54" i="90"/>
  <c r="B54" i="90"/>
  <c r="Z53" i="90"/>
  <c r="X53" i="90"/>
  <c r="V53" i="90"/>
  <c r="N53" i="90"/>
  <c r="L53" i="90"/>
  <c r="J53" i="90"/>
  <c r="B53" i="90"/>
  <c r="T52" i="90"/>
  <c r="P52" i="90"/>
  <c r="X52" i="90" s="1"/>
  <c r="H52" i="90"/>
  <c r="N52" i="90" s="1"/>
  <c r="D52" i="90"/>
  <c r="L52" i="90" s="1"/>
  <c r="B52" i="90"/>
  <c r="Z51" i="90"/>
  <c r="X51" i="90"/>
  <c r="N51" i="90"/>
  <c r="L51" i="90"/>
  <c r="B51" i="90"/>
  <c r="T50" i="90"/>
  <c r="P50" i="90"/>
  <c r="L50" i="90"/>
  <c r="J50" i="90"/>
  <c r="H50" i="90"/>
  <c r="D50" i="90"/>
  <c r="B50" i="90"/>
  <c r="Z49" i="90"/>
  <c r="X49" i="90"/>
  <c r="V49" i="90"/>
  <c r="N49" i="90"/>
  <c r="L49" i="90"/>
  <c r="J49" i="90"/>
  <c r="B49" i="90"/>
  <c r="V48" i="90"/>
  <c r="T48" i="90"/>
  <c r="P48" i="90"/>
  <c r="X48" i="90" s="1"/>
  <c r="H48" i="90"/>
  <c r="D48" i="90"/>
  <c r="B48" i="90"/>
  <c r="Z47" i="90"/>
  <c r="X47" i="90"/>
  <c r="N47" i="90"/>
  <c r="L47" i="90"/>
  <c r="B47" i="90"/>
  <c r="Z46" i="90"/>
  <c r="X46" i="90"/>
  <c r="N46" i="90"/>
  <c r="L46" i="90"/>
  <c r="B46" i="90"/>
  <c r="Z45" i="90"/>
  <c r="X45" i="90"/>
  <c r="V45" i="90"/>
  <c r="N45" i="90"/>
  <c r="L45" i="90"/>
  <c r="J45" i="90"/>
  <c r="B45" i="90"/>
  <c r="X44" i="90"/>
  <c r="Z44" i="90" s="1"/>
  <c r="V44" i="90"/>
  <c r="N44" i="90"/>
  <c r="L44" i="90"/>
  <c r="B44" i="90"/>
  <c r="Z43" i="90"/>
  <c r="X43" i="90"/>
  <c r="N43" i="90"/>
  <c r="L43" i="90"/>
  <c r="B43" i="90"/>
  <c r="Z42" i="90"/>
  <c r="X42" i="90"/>
  <c r="L42" i="90"/>
  <c r="N42" i="90" s="1"/>
  <c r="B42" i="90"/>
  <c r="Z41" i="90"/>
  <c r="X41" i="90"/>
  <c r="V41" i="90"/>
  <c r="N41" i="90"/>
  <c r="L41" i="90"/>
  <c r="J41" i="90"/>
  <c r="B41" i="90"/>
  <c r="Z40" i="90"/>
  <c r="X40" i="90"/>
  <c r="N40" i="90"/>
  <c r="L40" i="90"/>
  <c r="J40" i="90"/>
  <c r="B40" i="90"/>
  <c r="Z39" i="90"/>
  <c r="X39" i="90"/>
  <c r="L39" i="90"/>
  <c r="N39" i="90" s="1"/>
  <c r="B39" i="90"/>
  <c r="Z38" i="90"/>
  <c r="X38" i="90"/>
  <c r="N38" i="90"/>
  <c r="L38" i="90"/>
  <c r="B38" i="90"/>
  <c r="V37" i="90"/>
  <c r="T37" i="90"/>
  <c r="P37" i="90"/>
  <c r="X37" i="90" s="1"/>
  <c r="N37" i="90"/>
  <c r="H37" i="90"/>
  <c r="D37" i="90"/>
  <c r="L37" i="90" s="1"/>
  <c r="B37" i="90"/>
  <c r="X36" i="90"/>
  <c r="Z36" i="90" s="1"/>
  <c r="L36" i="90"/>
  <c r="N36" i="90" s="1"/>
  <c r="J36" i="90"/>
  <c r="B36" i="90"/>
  <c r="Z35" i="90"/>
  <c r="X35" i="90"/>
  <c r="N35" i="90"/>
  <c r="L35" i="90"/>
  <c r="B35" i="90"/>
  <c r="X34" i="90"/>
  <c r="Z34" i="90" s="1"/>
  <c r="N34" i="90"/>
  <c r="L34" i="90"/>
  <c r="B34" i="90"/>
  <c r="Z33" i="90"/>
  <c r="X33" i="90"/>
  <c r="V33" i="90"/>
  <c r="N33" i="90"/>
  <c r="L33" i="90"/>
  <c r="J33" i="90"/>
  <c r="B33" i="90"/>
  <c r="Z32" i="90"/>
  <c r="X32" i="90"/>
  <c r="V32" i="90"/>
  <c r="N32" i="90"/>
  <c r="L32" i="90"/>
  <c r="B32" i="90"/>
  <c r="Z31" i="90"/>
  <c r="X31" i="90"/>
  <c r="N31" i="90"/>
  <c r="L31" i="90"/>
  <c r="J31" i="90"/>
  <c r="B31" i="90"/>
  <c r="Z30" i="90"/>
  <c r="X30" i="90"/>
  <c r="L30" i="90"/>
  <c r="N30" i="90" s="1"/>
  <c r="B30" i="90"/>
  <c r="Z29" i="90"/>
  <c r="X29" i="90"/>
  <c r="V29" i="90"/>
  <c r="N29" i="90"/>
  <c r="L29" i="90"/>
  <c r="J29" i="90"/>
  <c r="B29" i="90"/>
  <c r="X28" i="90"/>
  <c r="Z28" i="90" s="1"/>
  <c r="L28" i="90"/>
  <c r="N28" i="90" s="1"/>
  <c r="J28" i="90"/>
  <c r="B28" i="90"/>
  <c r="Z27" i="90"/>
  <c r="X27" i="90"/>
  <c r="V27" i="90"/>
  <c r="N27" i="90"/>
  <c r="L27" i="90"/>
  <c r="B27" i="90"/>
  <c r="T26" i="90"/>
  <c r="P26" i="90"/>
  <c r="H26" i="90"/>
  <c r="D26" i="90"/>
  <c r="L26" i="90" s="1"/>
  <c r="B26" i="90"/>
  <c r="V25" i="90"/>
  <c r="T25" i="90"/>
  <c r="Z25" i="90" s="1"/>
  <c r="P25" i="90"/>
  <c r="X25" i="90" s="1"/>
  <c r="N25" i="90"/>
  <c r="L25" i="90"/>
  <c r="H25" i="90"/>
  <c r="D25" i="90"/>
  <c r="T23" i="90"/>
  <c r="Z21" i="90"/>
  <c r="X21" i="90"/>
  <c r="V21" i="90"/>
  <c r="N21" i="90"/>
  <c r="L21" i="90"/>
  <c r="J21" i="90"/>
  <c r="B21" i="90"/>
  <c r="Z20" i="90"/>
  <c r="X20" i="90"/>
  <c r="V20" i="90"/>
  <c r="N20" i="90"/>
  <c r="L20" i="90"/>
  <c r="J20" i="90"/>
  <c r="B20" i="90"/>
  <c r="X19" i="90"/>
  <c r="Z19" i="90" s="1"/>
  <c r="V19" i="90"/>
  <c r="L19" i="90"/>
  <c r="N19" i="90" s="1"/>
  <c r="B19" i="90"/>
  <c r="X18" i="90"/>
  <c r="Z18" i="90" s="1"/>
  <c r="T18" i="90"/>
  <c r="P18" i="90"/>
  <c r="J18" i="90"/>
  <c r="H18" i="90"/>
  <c r="D18" i="90"/>
  <c r="L18" i="90" s="1"/>
  <c r="Z16" i="90"/>
  <c r="X16" i="90"/>
  <c r="P16" i="90"/>
  <c r="N16" i="90"/>
  <c r="D16" i="90"/>
  <c r="L16" i="90" s="1"/>
  <c r="B16" i="90"/>
  <c r="Z15" i="90"/>
  <c r="X15" i="90"/>
  <c r="P15" i="90"/>
  <c r="N15" i="90"/>
  <c r="L15" i="90"/>
  <c r="D15" i="90"/>
  <c r="B15" i="90"/>
  <c r="X14" i="90"/>
  <c r="Z14" i="90" s="1"/>
  <c r="P14" i="90"/>
  <c r="D14" i="90"/>
  <c r="L14" i="90" s="1"/>
  <c r="N14" i="90" s="1"/>
  <c r="B14" i="90"/>
  <c r="Z13" i="90"/>
  <c r="P13" i="90"/>
  <c r="X13" i="90" s="1"/>
  <c r="N13" i="90"/>
  <c r="L13" i="90"/>
  <c r="D13" i="90"/>
  <c r="B13" i="90"/>
  <c r="T12" i="90"/>
  <c r="H12" i="90"/>
  <c r="J84" i="90" s="1"/>
  <c r="D6" i="90"/>
  <c r="D4" i="90"/>
  <c r="Z26" i="89"/>
  <c r="X26" i="89"/>
  <c r="N26" i="89"/>
  <c r="L26" i="89"/>
  <c r="J26" i="89"/>
  <c r="V24" i="89"/>
  <c r="T22" i="89"/>
  <c r="Z22" i="89" s="1"/>
  <c r="P22" i="89"/>
  <c r="H22" i="89"/>
  <c r="N22" i="89" s="1"/>
  <c r="D22" i="89"/>
  <c r="L22" i="89" s="1"/>
  <c r="Z20" i="89"/>
  <c r="X20" i="89"/>
  <c r="V20" i="89"/>
  <c r="N20" i="89"/>
  <c r="L20" i="89"/>
  <c r="J20" i="89"/>
  <c r="B20" i="89"/>
  <c r="Z19" i="89"/>
  <c r="V19" i="89"/>
  <c r="T19" i="89"/>
  <c r="P19" i="89"/>
  <c r="X19" i="89" s="1"/>
  <c r="J19" i="89"/>
  <c r="H19" i="89"/>
  <c r="N19" i="89" s="1"/>
  <c r="D19" i="89"/>
  <c r="L19" i="89" s="1"/>
  <c r="B19" i="89"/>
  <c r="Z18" i="89"/>
  <c r="X18" i="89"/>
  <c r="T18" i="89"/>
  <c r="R18" i="89"/>
  <c r="P18" i="89"/>
  <c r="J18" i="89"/>
  <c r="H18" i="89"/>
  <c r="N18" i="89" s="1"/>
  <c r="D18" i="89"/>
  <c r="L18" i="89" s="1"/>
  <c r="R16" i="89"/>
  <c r="H16" i="89"/>
  <c r="T14" i="89"/>
  <c r="Z14" i="89" s="1"/>
  <c r="P14" i="89"/>
  <c r="N14" i="89"/>
  <c r="J14" i="89"/>
  <c r="H14" i="89"/>
  <c r="D14" i="89"/>
  <c r="L14" i="89" s="1"/>
  <c r="X12" i="89"/>
  <c r="T12" i="89"/>
  <c r="V18" i="89" s="1"/>
  <c r="P12" i="89"/>
  <c r="P16" i="89" s="1"/>
  <c r="P24" i="89" s="1"/>
  <c r="N12" i="89"/>
  <c r="H12" i="89"/>
  <c r="J16" i="89" s="1"/>
  <c r="D12" i="89"/>
  <c r="F24" i="89" s="1"/>
  <c r="D6" i="89"/>
  <c r="D4" i="89"/>
  <c r="Z93" i="88"/>
  <c r="X93" i="88"/>
  <c r="L93" i="88"/>
  <c r="N93" i="88" s="1"/>
  <c r="T89" i="88"/>
  <c r="Z89" i="88" s="1"/>
  <c r="P89" i="88"/>
  <c r="H89" i="88"/>
  <c r="N89" i="88" s="1"/>
  <c r="D89" i="88"/>
  <c r="Z87" i="88"/>
  <c r="X87" i="88"/>
  <c r="L87" i="88"/>
  <c r="N87" i="88" s="1"/>
  <c r="B87" i="88"/>
  <c r="X86" i="88"/>
  <c r="T86" i="88"/>
  <c r="Z86" i="88" s="1"/>
  <c r="P86" i="88"/>
  <c r="N86" i="88"/>
  <c r="H86" i="88"/>
  <c r="D86" i="88"/>
  <c r="L86" i="88" s="1"/>
  <c r="B86" i="88"/>
  <c r="X85" i="88"/>
  <c r="Z85" i="88" s="1"/>
  <c r="N85" i="88"/>
  <c r="L85" i="88"/>
  <c r="B85" i="88"/>
  <c r="T84" i="88"/>
  <c r="P84" i="88"/>
  <c r="X84" i="88" s="1"/>
  <c r="Z84" i="88" s="1"/>
  <c r="N84" i="88"/>
  <c r="H84" i="88"/>
  <c r="D84" i="88"/>
  <c r="L84" i="88" s="1"/>
  <c r="B84" i="88"/>
  <c r="X83" i="88"/>
  <c r="Z83" i="88" s="1"/>
  <c r="N83" i="88"/>
  <c r="L83" i="88"/>
  <c r="B83" i="88"/>
  <c r="Z82" i="88"/>
  <c r="X82" i="88"/>
  <c r="N82" i="88"/>
  <c r="L82" i="88"/>
  <c r="B82" i="88"/>
  <c r="X81" i="88"/>
  <c r="Z81" i="88" s="1"/>
  <c r="N81" i="88"/>
  <c r="L81" i="88"/>
  <c r="B81" i="88"/>
  <c r="Z80" i="88"/>
  <c r="X80" i="88"/>
  <c r="L80" i="88"/>
  <c r="N80" i="88" s="1"/>
  <c r="B80" i="88"/>
  <c r="Z79" i="88"/>
  <c r="X79" i="88"/>
  <c r="L79" i="88"/>
  <c r="N79" i="88" s="1"/>
  <c r="B79" i="88"/>
  <c r="X78" i="88"/>
  <c r="Z78" i="88" s="1"/>
  <c r="N78" i="88"/>
  <c r="L78" i="88"/>
  <c r="B78" i="88"/>
  <c r="Z77" i="88"/>
  <c r="X77" i="88"/>
  <c r="L77" i="88"/>
  <c r="N77" i="88" s="1"/>
  <c r="B77" i="88"/>
  <c r="Z76" i="88"/>
  <c r="X76" i="88"/>
  <c r="N76" i="88"/>
  <c r="L76" i="88"/>
  <c r="B76" i="88"/>
  <c r="X75" i="88"/>
  <c r="T75" i="88"/>
  <c r="P75" i="88"/>
  <c r="H75" i="88"/>
  <c r="D75" i="88"/>
  <c r="B75" i="88"/>
  <c r="X74" i="88"/>
  <c r="Z74" i="88" s="1"/>
  <c r="N74" i="88"/>
  <c r="L74" i="88"/>
  <c r="B74" i="88"/>
  <c r="Z73" i="88"/>
  <c r="X73" i="88"/>
  <c r="L73" i="88"/>
  <c r="N73" i="88" s="1"/>
  <c r="B73" i="88"/>
  <c r="X72" i="88"/>
  <c r="Z72" i="88" s="1"/>
  <c r="N72" i="88"/>
  <c r="L72" i="88"/>
  <c r="B72" i="88"/>
  <c r="X71" i="88"/>
  <c r="Z71" i="88" s="1"/>
  <c r="N71" i="88"/>
  <c r="L71" i="88"/>
  <c r="B71" i="88"/>
  <c r="Z70" i="88"/>
  <c r="V70" i="88"/>
  <c r="T70" i="88"/>
  <c r="P70" i="88"/>
  <c r="X70" i="88" s="1"/>
  <c r="H70" i="88"/>
  <c r="D70" i="88"/>
  <c r="L70" i="88" s="1"/>
  <c r="N70" i="88" s="1"/>
  <c r="B70" i="88"/>
  <c r="Z69" i="88"/>
  <c r="X69" i="88"/>
  <c r="L69" i="88"/>
  <c r="N69" i="88" s="1"/>
  <c r="B69" i="88"/>
  <c r="X68" i="88"/>
  <c r="Z68" i="88" s="1"/>
  <c r="N68" i="88"/>
  <c r="L68" i="88"/>
  <c r="B68" i="88"/>
  <c r="Z67" i="88"/>
  <c r="X67" i="88"/>
  <c r="N67" i="88"/>
  <c r="L67" i="88"/>
  <c r="B67" i="88"/>
  <c r="Z66" i="88"/>
  <c r="T66" i="88"/>
  <c r="P66" i="88"/>
  <c r="X66" i="88" s="1"/>
  <c r="H66" i="88"/>
  <c r="D66" i="88"/>
  <c r="L66" i="88" s="1"/>
  <c r="N66" i="88" s="1"/>
  <c r="B66" i="88"/>
  <c r="Z65" i="88"/>
  <c r="X65" i="88"/>
  <c r="L65" i="88"/>
  <c r="N65" i="88" s="1"/>
  <c r="B65" i="88"/>
  <c r="T64" i="88"/>
  <c r="P64" i="88"/>
  <c r="X64" i="88" s="1"/>
  <c r="Z64" i="88" s="1"/>
  <c r="L64" i="88"/>
  <c r="H64" i="88"/>
  <c r="N64" i="88" s="1"/>
  <c r="D64" i="88"/>
  <c r="B64" i="88"/>
  <c r="Z63" i="88"/>
  <c r="X63" i="88"/>
  <c r="L63" i="88"/>
  <c r="N63" i="88" s="1"/>
  <c r="B63" i="88"/>
  <c r="X62" i="88"/>
  <c r="T62" i="88"/>
  <c r="Z62" i="88" s="1"/>
  <c r="P62" i="88"/>
  <c r="N62" i="88"/>
  <c r="H62" i="88"/>
  <c r="L62" i="88" s="1"/>
  <c r="D62" i="88"/>
  <c r="B62" i="88"/>
  <c r="X61" i="88"/>
  <c r="Z61" i="88" s="1"/>
  <c r="N61" i="88"/>
  <c r="L61" i="88"/>
  <c r="B61" i="88"/>
  <c r="Z60" i="88"/>
  <c r="T60" i="88"/>
  <c r="X60" i="88" s="1"/>
  <c r="P60" i="88"/>
  <c r="H60" i="88"/>
  <c r="D60" i="88"/>
  <c r="L60" i="88" s="1"/>
  <c r="N60" i="88" s="1"/>
  <c r="B60" i="88"/>
  <c r="X59" i="88"/>
  <c r="Z59" i="88" s="1"/>
  <c r="N59" i="88"/>
  <c r="L59" i="88"/>
  <c r="B59" i="88"/>
  <c r="Z58" i="88"/>
  <c r="V58" i="88"/>
  <c r="T58" i="88"/>
  <c r="P58" i="88"/>
  <c r="X58" i="88" s="1"/>
  <c r="H58" i="88"/>
  <c r="N58" i="88" s="1"/>
  <c r="D58" i="88"/>
  <c r="L58" i="88" s="1"/>
  <c r="B58" i="88"/>
  <c r="Z57" i="88"/>
  <c r="X57" i="88"/>
  <c r="L57" i="88"/>
  <c r="N57" i="88" s="1"/>
  <c r="B57" i="88"/>
  <c r="T56" i="88"/>
  <c r="P56" i="88"/>
  <c r="X56" i="88" s="1"/>
  <c r="L56" i="88"/>
  <c r="H56" i="88"/>
  <c r="N56" i="88" s="1"/>
  <c r="D56" i="88"/>
  <c r="B56" i="88"/>
  <c r="Z55" i="88"/>
  <c r="X55" i="88"/>
  <c r="N55" i="88"/>
  <c r="L55" i="88"/>
  <c r="B55" i="88"/>
  <c r="X54" i="88"/>
  <c r="T54" i="88"/>
  <c r="Z54" i="88" s="1"/>
  <c r="P54" i="88"/>
  <c r="N54" i="88"/>
  <c r="H54" i="88"/>
  <c r="L54" i="88" s="1"/>
  <c r="D54" i="88"/>
  <c r="B54" i="88"/>
  <c r="X53" i="88"/>
  <c r="Z53" i="88" s="1"/>
  <c r="N53" i="88"/>
  <c r="L53" i="88"/>
  <c r="B53" i="88"/>
  <c r="Z52" i="88"/>
  <c r="T52" i="88"/>
  <c r="X52" i="88" s="1"/>
  <c r="P52" i="88"/>
  <c r="H52" i="88"/>
  <c r="D52" i="88"/>
  <c r="L52" i="88" s="1"/>
  <c r="N52" i="88" s="1"/>
  <c r="B52" i="88"/>
  <c r="X51" i="88"/>
  <c r="Z51" i="88" s="1"/>
  <c r="N51" i="88"/>
  <c r="L51" i="88"/>
  <c r="B51" i="88"/>
  <c r="T50" i="88"/>
  <c r="P50" i="88"/>
  <c r="X50" i="88" s="1"/>
  <c r="Z50" i="88" s="1"/>
  <c r="H50" i="88"/>
  <c r="N50" i="88" s="1"/>
  <c r="D50" i="88"/>
  <c r="L50" i="88" s="1"/>
  <c r="B50" i="88"/>
  <c r="Z49" i="88"/>
  <c r="X49" i="88"/>
  <c r="L49" i="88"/>
  <c r="N49" i="88" s="1"/>
  <c r="B49" i="88"/>
  <c r="T48" i="88"/>
  <c r="P48" i="88"/>
  <c r="X48" i="88" s="1"/>
  <c r="L48" i="88"/>
  <c r="H48" i="88"/>
  <c r="N48" i="88" s="1"/>
  <c r="D48" i="88"/>
  <c r="B48" i="88"/>
  <c r="Z47" i="88"/>
  <c r="X47" i="88"/>
  <c r="N47" i="88"/>
  <c r="L47" i="88"/>
  <c r="B47" i="88"/>
  <c r="Z46" i="88"/>
  <c r="X46" i="88"/>
  <c r="N46" i="88"/>
  <c r="L46" i="88"/>
  <c r="B46" i="88"/>
  <c r="Z45" i="88"/>
  <c r="X45" i="88"/>
  <c r="L45" i="88"/>
  <c r="N45" i="88" s="1"/>
  <c r="B45" i="88"/>
  <c r="Z44" i="88"/>
  <c r="X44" i="88"/>
  <c r="V44" i="88"/>
  <c r="N44" i="88"/>
  <c r="L44" i="88"/>
  <c r="B44" i="88"/>
  <c r="Z43" i="88"/>
  <c r="X43" i="88"/>
  <c r="N43" i="88"/>
  <c r="L43" i="88"/>
  <c r="B43" i="88"/>
  <c r="Z42" i="88"/>
  <c r="X42" i="88"/>
  <c r="N42" i="88"/>
  <c r="L42" i="88"/>
  <c r="B42" i="88"/>
  <c r="X41" i="88"/>
  <c r="Z41" i="88" s="1"/>
  <c r="N41" i="88"/>
  <c r="L41" i="88"/>
  <c r="B41" i="88"/>
  <c r="Z40" i="88"/>
  <c r="X40" i="88"/>
  <c r="N40" i="88"/>
  <c r="L40" i="88"/>
  <c r="B40" i="88"/>
  <c r="Z39" i="88"/>
  <c r="X39" i="88"/>
  <c r="L39" i="88"/>
  <c r="N39" i="88" s="1"/>
  <c r="B39" i="88"/>
  <c r="Z38" i="88"/>
  <c r="X38" i="88"/>
  <c r="N38" i="88"/>
  <c r="L38" i="88"/>
  <c r="B38" i="88"/>
  <c r="T37" i="88"/>
  <c r="P37" i="88"/>
  <c r="H37" i="88"/>
  <c r="D37" i="88"/>
  <c r="L37" i="88" s="1"/>
  <c r="N37" i="88" s="1"/>
  <c r="B37" i="88"/>
  <c r="Z36" i="88"/>
  <c r="X36" i="88"/>
  <c r="N36" i="88"/>
  <c r="L36" i="88"/>
  <c r="B36" i="88"/>
  <c r="Z35" i="88"/>
  <c r="X35" i="88"/>
  <c r="V35" i="88"/>
  <c r="L35" i="88"/>
  <c r="N35" i="88" s="1"/>
  <c r="B35" i="88"/>
  <c r="X34" i="88"/>
  <c r="Z34" i="88" s="1"/>
  <c r="N34" i="88"/>
  <c r="L34" i="88"/>
  <c r="B34" i="88"/>
  <c r="Z33" i="88"/>
  <c r="X33" i="88"/>
  <c r="N33" i="88"/>
  <c r="L33" i="88"/>
  <c r="B33" i="88"/>
  <c r="Z32" i="88"/>
  <c r="X32" i="88"/>
  <c r="V32" i="88"/>
  <c r="N32" i="88"/>
  <c r="L32" i="88"/>
  <c r="B32" i="88"/>
  <c r="X31" i="88"/>
  <c r="Z31" i="88" s="1"/>
  <c r="N31" i="88"/>
  <c r="L31" i="88"/>
  <c r="B31" i="88"/>
  <c r="Z30" i="88"/>
  <c r="X30" i="88"/>
  <c r="L30" i="88"/>
  <c r="N30" i="88" s="1"/>
  <c r="B30" i="88"/>
  <c r="X29" i="88"/>
  <c r="Z29" i="88" s="1"/>
  <c r="N29" i="88"/>
  <c r="L29" i="88"/>
  <c r="B29" i="88"/>
  <c r="Z28" i="88"/>
  <c r="X28" i="88"/>
  <c r="L28" i="88"/>
  <c r="N28" i="88" s="1"/>
  <c r="B28" i="88"/>
  <c r="Z27" i="88"/>
  <c r="X27" i="88"/>
  <c r="L27" i="88"/>
  <c r="N27" i="88" s="1"/>
  <c r="B27" i="88"/>
  <c r="X26" i="88"/>
  <c r="T26" i="88"/>
  <c r="Z26" i="88" s="1"/>
  <c r="P26" i="88"/>
  <c r="H26" i="88"/>
  <c r="D26" i="88"/>
  <c r="B26" i="88"/>
  <c r="X25" i="88"/>
  <c r="T25" i="88"/>
  <c r="Z25" i="88" s="1"/>
  <c r="P25" i="88"/>
  <c r="H25" i="88"/>
  <c r="D25" i="88"/>
  <c r="Z21" i="88"/>
  <c r="X21" i="88"/>
  <c r="N21" i="88"/>
  <c r="L21" i="88"/>
  <c r="B21" i="88"/>
  <c r="Z20" i="88"/>
  <c r="X20" i="88"/>
  <c r="N20" i="88"/>
  <c r="L20" i="88"/>
  <c r="B20" i="88"/>
  <c r="Z19" i="88"/>
  <c r="X19" i="88"/>
  <c r="L19" i="88"/>
  <c r="N19" i="88" s="1"/>
  <c r="B19" i="88"/>
  <c r="T18" i="88"/>
  <c r="X18" i="88" s="1"/>
  <c r="Z18" i="88" s="1"/>
  <c r="P18" i="88"/>
  <c r="H18" i="88"/>
  <c r="D18" i="88"/>
  <c r="Z16" i="88"/>
  <c r="P16" i="88"/>
  <c r="X16" i="88" s="1"/>
  <c r="N16" i="88"/>
  <c r="D16" i="88"/>
  <c r="L16" i="88" s="1"/>
  <c r="B16" i="88"/>
  <c r="Z15" i="88"/>
  <c r="X15" i="88"/>
  <c r="P15" i="88"/>
  <c r="N15" i="88"/>
  <c r="D15" i="88"/>
  <c r="L15" i="88" s="1"/>
  <c r="B15" i="88"/>
  <c r="Z14" i="88"/>
  <c r="X14" i="88"/>
  <c r="P14" i="88"/>
  <c r="L14" i="88"/>
  <c r="N14" i="88" s="1"/>
  <c r="D14" i="88"/>
  <c r="B14" i="88"/>
  <c r="Z13" i="88"/>
  <c r="P13" i="88"/>
  <c r="N13" i="88"/>
  <c r="D13" i="88"/>
  <c r="L13" i="88" s="1"/>
  <c r="B13" i="88"/>
  <c r="T12" i="88"/>
  <c r="V72" i="88" s="1"/>
  <c r="H12" i="88"/>
  <c r="D6" i="88"/>
  <c r="D4" i="88"/>
  <c r="R66" i="87"/>
  <c r="J63" i="87"/>
  <c r="Z61" i="87"/>
  <c r="X61" i="87"/>
  <c r="N61" i="87"/>
  <c r="L61" i="87"/>
  <c r="R59" i="87"/>
  <c r="P59" i="87"/>
  <c r="Z57" i="87"/>
  <c r="X57" i="87"/>
  <c r="T57" i="87"/>
  <c r="P57" i="87"/>
  <c r="J57" i="87"/>
  <c r="H57" i="87"/>
  <c r="N57" i="87" s="1"/>
  <c r="D57" i="87"/>
  <c r="L57" i="87" s="1"/>
  <c r="Z55" i="87"/>
  <c r="X55" i="87"/>
  <c r="N55" i="87"/>
  <c r="L55" i="87"/>
  <c r="B55" i="87"/>
  <c r="T54" i="87"/>
  <c r="R54" i="87"/>
  <c r="P54" i="87"/>
  <c r="N54" i="87"/>
  <c r="H54" i="87"/>
  <c r="D54" i="87"/>
  <c r="L54" i="87" s="1"/>
  <c r="B54" i="87"/>
  <c r="X53" i="87"/>
  <c r="Z53" i="87" s="1"/>
  <c r="L53" i="87"/>
  <c r="N53" i="87" s="1"/>
  <c r="J53" i="87"/>
  <c r="B53" i="87"/>
  <c r="T52" i="87"/>
  <c r="P52" i="87"/>
  <c r="X52" i="87" s="1"/>
  <c r="Z52" i="87" s="1"/>
  <c r="N52" i="87"/>
  <c r="H52" i="87"/>
  <c r="D52" i="87"/>
  <c r="L52" i="87" s="1"/>
  <c r="B52" i="87"/>
  <c r="X51" i="87"/>
  <c r="Z51" i="87" s="1"/>
  <c r="N51" i="87"/>
  <c r="L51" i="87"/>
  <c r="B51" i="87"/>
  <c r="Z50" i="87"/>
  <c r="X50" i="87"/>
  <c r="L50" i="87"/>
  <c r="N50" i="87" s="1"/>
  <c r="B50" i="87"/>
  <c r="T49" i="87"/>
  <c r="P49" i="87"/>
  <c r="X49" i="87" s="1"/>
  <c r="Z49" i="87" s="1"/>
  <c r="N49" i="87"/>
  <c r="L49" i="87"/>
  <c r="H49" i="87"/>
  <c r="D49" i="87"/>
  <c r="B49" i="87"/>
  <c r="Z48" i="87"/>
  <c r="X48" i="87"/>
  <c r="V48" i="87"/>
  <c r="N48" i="87"/>
  <c r="L48" i="87"/>
  <c r="B48" i="87"/>
  <c r="X47" i="87"/>
  <c r="Z47" i="87" s="1"/>
  <c r="N47" i="87"/>
  <c r="L47" i="87"/>
  <c r="B47" i="87"/>
  <c r="Z46" i="87"/>
  <c r="T46" i="87"/>
  <c r="P46" i="87"/>
  <c r="X46" i="87" s="1"/>
  <c r="L46" i="87"/>
  <c r="N46" i="87" s="1"/>
  <c r="J46" i="87"/>
  <c r="H46" i="87"/>
  <c r="D46" i="87"/>
  <c r="B46" i="87"/>
  <c r="X45" i="87"/>
  <c r="Z45" i="87" s="1"/>
  <c r="V45" i="87"/>
  <c r="R45" i="87"/>
  <c r="L45" i="87"/>
  <c r="N45" i="87" s="1"/>
  <c r="B45" i="87"/>
  <c r="X44" i="87"/>
  <c r="Z44" i="87" s="1"/>
  <c r="V44" i="87"/>
  <c r="T44" i="87"/>
  <c r="P44" i="87"/>
  <c r="H44" i="87"/>
  <c r="D44" i="87"/>
  <c r="B44" i="87"/>
  <c r="X43" i="87"/>
  <c r="Z43" i="87" s="1"/>
  <c r="L43" i="87"/>
  <c r="N43" i="87" s="1"/>
  <c r="B43" i="87"/>
  <c r="T42" i="87"/>
  <c r="R42" i="87"/>
  <c r="P42" i="87"/>
  <c r="H42" i="87"/>
  <c r="D42" i="87"/>
  <c r="L42" i="87" s="1"/>
  <c r="B42" i="87"/>
  <c r="Z41" i="87"/>
  <c r="X41" i="87"/>
  <c r="N41" i="87"/>
  <c r="L41" i="87"/>
  <c r="J41" i="87"/>
  <c r="B41" i="87"/>
  <c r="T40" i="87"/>
  <c r="Z40" i="87" s="1"/>
  <c r="P40" i="87"/>
  <c r="X40" i="87" s="1"/>
  <c r="N40" i="87"/>
  <c r="H40" i="87"/>
  <c r="D40" i="87"/>
  <c r="L40" i="87" s="1"/>
  <c r="B40" i="87"/>
  <c r="Z39" i="87"/>
  <c r="X39" i="87"/>
  <c r="N39" i="87"/>
  <c r="L39" i="87"/>
  <c r="B39" i="87"/>
  <c r="Z38" i="87"/>
  <c r="X38" i="87"/>
  <c r="N38" i="87"/>
  <c r="L38" i="87"/>
  <c r="F38" i="87"/>
  <c r="B38" i="87"/>
  <c r="Z37" i="87"/>
  <c r="X37" i="87"/>
  <c r="N37" i="87"/>
  <c r="L37" i="87"/>
  <c r="J37" i="87"/>
  <c r="B37" i="87"/>
  <c r="Z36" i="87"/>
  <c r="X36" i="87"/>
  <c r="N36" i="87"/>
  <c r="L36" i="87"/>
  <c r="J36" i="87"/>
  <c r="B36" i="87"/>
  <c r="Z35" i="87"/>
  <c r="X35" i="87"/>
  <c r="N35" i="87"/>
  <c r="L35" i="87"/>
  <c r="B35" i="87"/>
  <c r="Z34" i="87"/>
  <c r="X34" i="87"/>
  <c r="R34" i="87"/>
  <c r="N34" i="87"/>
  <c r="L34" i="87"/>
  <c r="B34" i="87"/>
  <c r="Z33" i="87"/>
  <c r="X33" i="87"/>
  <c r="V33" i="87"/>
  <c r="R33" i="87"/>
  <c r="N33" i="87"/>
  <c r="L33" i="87"/>
  <c r="B33" i="87"/>
  <c r="Z32" i="87"/>
  <c r="X32" i="87"/>
  <c r="V32" i="87"/>
  <c r="N32" i="87"/>
  <c r="L32" i="87"/>
  <c r="B32" i="87"/>
  <c r="X31" i="87"/>
  <c r="Z31" i="87" s="1"/>
  <c r="N31" i="87"/>
  <c r="L31" i="87"/>
  <c r="B31" i="87"/>
  <c r="Z30" i="87"/>
  <c r="X30" i="87"/>
  <c r="N30" i="87"/>
  <c r="L30" i="87"/>
  <c r="B30" i="87"/>
  <c r="T29" i="87"/>
  <c r="P29" i="87"/>
  <c r="X29" i="87" s="1"/>
  <c r="Z29" i="87" s="1"/>
  <c r="L29" i="87"/>
  <c r="N29" i="87" s="1"/>
  <c r="H29" i="87"/>
  <c r="D29" i="87"/>
  <c r="B29" i="87"/>
  <c r="Z28" i="87"/>
  <c r="X28" i="87"/>
  <c r="V28" i="87"/>
  <c r="N28" i="87"/>
  <c r="L28" i="87"/>
  <c r="B28" i="87"/>
  <c r="X27" i="87"/>
  <c r="Z27" i="87" s="1"/>
  <c r="N27" i="87"/>
  <c r="L27" i="87"/>
  <c r="B27" i="87"/>
  <c r="Z26" i="87"/>
  <c r="X26" i="87"/>
  <c r="L26" i="87"/>
  <c r="N26" i="87" s="1"/>
  <c r="B26" i="87"/>
  <c r="Z25" i="87"/>
  <c r="X25" i="87"/>
  <c r="N25" i="87"/>
  <c r="L25" i="87"/>
  <c r="J25" i="87"/>
  <c r="B25" i="87"/>
  <c r="Z24" i="87"/>
  <c r="X24" i="87"/>
  <c r="L24" i="87"/>
  <c r="N24" i="87" s="1"/>
  <c r="J24" i="87"/>
  <c r="B24" i="87"/>
  <c r="Z23" i="87"/>
  <c r="X23" i="87"/>
  <c r="R23" i="87"/>
  <c r="N23" i="87"/>
  <c r="L23" i="87"/>
  <c r="B23" i="87"/>
  <c r="X22" i="87"/>
  <c r="Z22" i="87" s="1"/>
  <c r="V22" i="87"/>
  <c r="R22" i="87"/>
  <c r="N22" i="87"/>
  <c r="L22" i="87"/>
  <c r="B22" i="87"/>
  <c r="X21" i="87"/>
  <c r="Z21" i="87" s="1"/>
  <c r="V21" i="87"/>
  <c r="R21" i="87"/>
  <c r="L21" i="87"/>
  <c r="N21" i="87" s="1"/>
  <c r="B21" i="87"/>
  <c r="X20" i="87"/>
  <c r="Z20" i="87" s="1"/>
  <c r="V20" i="87"/>
  <c r="N20" i="87"/>
  <c r="L20" i="87"/>
  <c r="B20" i="87"/>
  <c r="Z19" i="87"/>
  <c r="X19" i="87"/>
  <c r="T19" i="87"/>
  <c r="P19" i="87"/>
  <c r="J19" i="87"/>
  <c r="H19" i="87"/>
  <c r="D19" i="87"/>
  <c r="B19" i="87"/>
  <c r="V18" i="87"/>
  <c r="T18" i="87"/>
  <c r="R18" i="87"/>
  <c r="P18" i="87"/>
  <c r="H18" i="87"/>
  <c r="D18" i="87"/>
  <c r="L18" i="87" s="1"/>
  <c r="P16" i="87"/>
  <c r="J16" i="87"/>
  <c r="V14" i="87"/>
  <c r="T14" i="87"/>
  <c r="R14" i="87"/>
  <c r="P14" i="87"/>
  <c r="H14" i="87"/>
  <c r="N14" i="87" s="1"/>
  <c r="D14" i="87"/>
  <c r="L14" i="87" s="1"/>
  <c r="Z12" i="87"/>
  <c r="X12" i="87"/>
  <c r="T12" i="87"/>
  <c r="V53" i="87" s="1"/>
  <c r="P12" i="87"/>
  <c r="R63" i="87" s="1"/>
  <c r="H12" i="87"/>
  <c r="J66" i="87" s="1"/>
  <c r="D12" i="87"/>
  <c r="D6" i="87"/>
  <c r="D4" i="87"/>
  <c r="V40" i="86"/>
  <c r="Z38" i="86"/>
  <c r="X38" i="86"/>
  <c r="N38" i="86"/>
  <c r="L38" i="86"/>
  <c r="X34" i="86"/>
  <c r="V34" i="86"/>
  <c r="T34" i="86"/>
  <c r="Z34" i="86" s="1"/>
  <c r="P34" i="86"/>
  <c r="H34" i="86"/>
  <c r="D34" i="86"/>
  <c r="Z32" i="86"/>
  <c r="X32" i="86"/>
  <c r="N32" i="86"/>
  <c r="L32" i="86"/>
  <c r="B32" i="86"/>
  <c r="T31" i="86"/>
  <c r="Z31" i="86" s="1"/>
  <c r="P31" i="86"/>
  <c r="X31" i="86" s="1"/>
  <c r="N31" i="86"/>
  <c r="H31" i="86"/>
  <c r="D31" i="86"/>
  <c r="L31" i="86" s="1"/>
  <c r="B31" i="86"/>
  <c r="Z30" i="86"/>
  <c r="X30" i="86"/>
  <c r="N30" i="86"/>
  <c r="L30" i="86"/>
  <c r="F30" i="86"/>
  <c r="B30" i="86"/>
  <c r="Z29" i="86"/>
  <c r="T29" i="86"/>
  <c r="P29" i="86"/>
  <c r="X29" i="86" s="1"/>
  <c r="N29" i="86"/>
  <c r="L29" i="86"/>
  <c r="H29" i="86"/>
  <c r="D29" i="86"/>
  <c r="B29" i="86"/>
  <c r="Z28" i="86"/>
  <c r="X28" i="86"/>
  <c r="V28" i="86"/>
  <c r="N28" i="86"/>
  <c r="L28" i="86"/>
  <c r="B28" i="86"/>
  <c r="Z27" i="86"/>
  <c r="X27" i="86"/>
  <c r="T27" i="86"/>
  <c r="P27" i="86"/>
  <c r="H27" i="86"/>
  <c r="D27" i="86"/>
  <c r="B27" i="86"/>
  <c r="Z26" i="86"/>
  <c r="X26" i="86"/>
  <c r="R26" i="86"/>
  <c r="N26" i="86"/>
  <c r="L26" i="86"/>
  <c r="B26" i="86"/>
  <c r="V25" i="86"/>
  <c r="T25" i="86"/>
  <c r="P25" i="86"/>
  <c r="H25" i="86"/>
  <c r="N25" i="86" s="1"/>
  <c r="F25" i="86"/>
  <c r="D25" i="86"/>
  <c r="L25" i="86" s="1"/>
  <c r="B25" i="86"/>
  <c r="Z24" i="86"/>
  <c r="X24" i="86"/>
  <c r="L24" i="86"/>
  <c r="N24" i="86" s="1"/>
  <c r="J24" i="86"/>
  <c r="B24" i="86"/>
  <c r="V23" i="86"/>
  <c r="T23" i="86"/>
  <c r="Z23" i="86" s="1"/>
  <c r="R23" i="86"/>
  <c r="P23" i="86"/>
  <c r="X23" i="86" s="1"/>
  <c r="H23" i="86"/>
  <c r="D23" i="86"/>
  <c r="L23" i="86" s="1"/>
  <c r="N23" i="86" s="1"/>
  <c r="B23" i="86"/>
  <c r="Z22" i="86"/>
  <c r="X22" i="86"/>
  <c r="N22" i="86"/>
  <c r="L22" i="86"/>
  <c r="B22" i="86"/>
  <c r="Z21" i="86"/>
  <c r="T21" i="86"/>
  <c r="P21" i="86"/>
  <c r="X21" i="86" s="1"/>
  <c r="N21" i="86"/>
  <c r="L21" i="86"/>
  <c r="H21" i="86"/>
  <c r="D21" i="86"/>
  <c r="B21" i="86"/>
  <c r="X20" i="86"/>
  <c r="V20" i="86"/>
  <c r="T20" i="86"/>
  <c r="Z20" i="86" s="1"/>
  <c r="P20" i="86"/>
  <c r="H20" i="86"/>
  <c r="D20" i="86"/>
  <c r="T18" i="86"/>
  <c r="T36" i="86" s="1"/>
  <c r="P18" i="86"/>
  <c r="X18" i="86" s="1"/>
  <c r="Z16" i="86"/>
  <c r="X16" i="86"/>
  <c r="V16" i="86"/>
  <c r="N16" i="86"/>
  <c r="L16" i="86"/>
  <c r="B16" i="86"/>
  <c r="Z15" i="86"/>
  <c r="X15" i="86"/>
  <c r="V15" i="86"/>
  <c r="T15" i="86"/>
  <c r="P15" i="86"/>
  <c r="H15" i="86"/>
  <c r="D15" i="86"/>
  <c r="Z13" i="86"/>
  <c r="P13" i="86"/>
  <c r="X13" i="86" s="1"/>
  <c r="N13" i="86"/>
  <c r="L13" i="86"/>
  <c r="D13" i="86"/>
  <c r="D12" i="86" s="1"/>
  <c r="F20" i="86" s="1"/>
  <c r="B13" i="86"/>
  <c r="Z12" i="86"/>
  <c r="T12" i="86"/>
  <c r="V29" i="86" s="1"/>
  <c r="P12" i="86"/>
  <c r="R30" i="86" s="1"/>
  <c r="L12" i="86"/>
  <c r="H12" i="86"/>
  <c r="D6" i="86"/>
  <c r="D4" i="86"/>
  <c r="J32" i="85"/>
  <c r="Z30" i="85"/>
  <c r="X30" i="85"/>
  <c r="N30" i="85"/>
  <c r="L30" i="85"/>
  <c r="Z26" i="85"/>
  <c r="T26" i="85"/>
  <c r="P26" i="85"/>
  <c r="X26" i="85" s="1"/>
  <c r="L26" i="85"/>
  <c r="H26" i="85"/>
  <c r="N26" i="85" s="1"/>
  <c r="D26" i="85"/>
  <c r="Z24" i="85"/>
  <c r="X24" i="85"/>
  <c r="N24" i="85"/>
  <c r="L24" i="85"/>
  <c r="B24" i="85"/>
  <c r="V23" i="85"/>
  <c r="T23" i="85"/>
  <c r="Z23" i="85" s="1"/>
  <c r="P23" i="85"/>
  <c r="H23" i="85"/>
  <c r="N23" i="85" s="1"/>
  <c r="D23" i="85"/>
  <c r="L23" i="85" s="1"/>
  <c r="B23" i="85"/>
  <c r="Z22" i="85"/>
  <c r="X22" i="85"/>
  <c r="N22" i="85"/>
  <c r="L22" i="85"/>
  <c r="B22" i="85"/>
  <c r="T21" i="85"/>
  <c r="Z21" i="85" s="1"/>
  <c r="P21" i="85"/>
  <c r="N21" i="85"/>
  <c r="H21" i="85"/>
  <c r="F21" i="85"/>
  <c r="D21" i="85"/>
  <c r="L21" i="85" s="1"/>
  <c r="B21" i="85"/>
  <c r="Z20" i="85"/>
  <c r="X20" i="85"/>
  <c r="L20" i="85"/>
  <c r="N20" i="85" s="1"/>
  <c r="F20" i="85"/>
  <c r="B20" i="85"/>
  <c r="T19" i="85"/>
  <c r="Z19" i="85" s="1"/>
  <c r="P19" i="85"/>
  <c r="X19" i="85" s="1"/>
  <c r="N19" i="85"/>
  <c r="L19" i="85"/>
  <c r="H19" i="85"/>
  <c r="D19" i="85"/>
  <c r="B19" i="85"/>
  <c r="X18" i="85"/>
  <c r="V18" i="85"/>
  <c r="T18" i="85"/>
  <c r="P18" i="85"/>
  <c r="H18" i="85"/>
  <c r="F18" i="85"/>
  <c r="D18" i="85"/>
  <c r="T16" i="85"/>
  <c r="Z16" i="85" s="1"/>
  <c r="D16" i="85"/>
  <c r="X14" i="85"/>
  <c r="V14" i="85"/>
  <c r="T14" i="85"/>
  <c r="Z14" i="85" s="1"/>
  <c r="P14" i="85"/>
  <c r="L14" i="85"/>
  <c r="H14" i="85"/>
  <c r="N14" i="85" s="1"/>
  <c r="F14" i="85"/>
  <c r="D14" i="85"/>
  <c r="T12" i="85"/>
  <c r="V24" i="85" s="1"/>
  <c r="P12" i="85"/>
  <c r="L12" i="85"/>
  <c r="H12" i="85"/>
  <c r="J26" i="85" s="1"/>
  <c r="D12" i="85"/>
  <c r="F23" i="85" s="1"/>
  <c r="D6" i="85"/>
  <c r="D4" i="85"/>
  <c r="Z55" i="84"/>
  <c r="X55" i="84"/>
  <c r="R55" i="84"/>
  <c r="N55" i="84"/>
  <c r="L55" i="84"/>
  <c r="Z51" i="84"/>
  <c r="X51" i="84"/>
  <c r="P51" i="84"/>
  <c r="J51" i="84"/>
  <c r="D51" i="84"/>
  <c r="L51" i="84" s="1"/>
  <c r="N51" i="84" s="1"/>
  <c r="B51" i="84"/>
  <c r="P50" i="84"/>
  <c r="X50" i="84" s="1"/>
  <c r="Z50" i="84" s="1"/>
  <c r="N50" i="84"/>
  <c r="L50" i="84"/>
  <c r="D50" i="84"/>
  <c r="B50" i="84"/>
  <c r="X49" i="84"/>
  <c r="Z49" i="84" s="1"/>
  <c r="P49" i="84"/>
  <c r="P48" i="84" s="1"/>
  <c r="X48" i="84" s="1"/>
  <c r="Z48" i="84" s="1"/>
  <c r="N49" i="84"/>
  <c r="J49" i="84"/>
  <c r="D49" i="84"/>
  <c r="B49" i="84"/>
  <c r="T48" i="84"/>
  <c r="R48" i="84"/>
  <c r="H48" i="84"/>
  <c r="Z46" i="84"/>
  <c r="X46" i="84"/>
  <c r="N46" i="84"/>
  <c r="L46" i="84"/>
  <c r="B46" i="84"/>
  <c r="X45" i="84"/>
  <c r="T45" i="84"/>
  <c r="Z45" i="84" s="1"/>
  <c r="P45" i="84"/>
  <c r="H45" i="84"/>
  <c r="N45" i="84" s="1"/>
  <c r="D45" i="84"/>
  <c r="B45" i="84"/>
  <c r="Z44" i="84"/>
  <c r="X44" i="84"/>
  <c r="V44" i="84"/>
  <c r="N44" i="84"/>
  <c r="L44" i="84"/>
  <c r="B44" i="84"/>
  <c r="T43" i="84"/>
  <c r="Z43" i="84" s="1"/>
  <c r="P43" i="84"/>
  <c r="H43" i="84"/>
  <c r="N43" i="84" s="1"/>
  <c r="D43" i="84"/>
  <c r="B43" i="84"/>
  <c r="Z42" i="84"/>
  <c r="X42" i="84"/>
  <c r="N42" i="84"/>
  <c r="L42" i="84"/>
  <c r="J42" i="84"/>
  <c r="B42" i="84"/>
  <c r="T41" i="84"/>
  <c r="Z41" i="84" s="1"/>
  <c r="P41" i="84"/>
  <c r="N41" i="84"/>
  <c r="H41" i="84"/>
  <c r="D41" i="84"/>
  <c r="L41" i="84" s="1"/>
  <c r="B41" i="84"/>
  <c r="Z40" i="84"/>
  <c r="X40" i="84"/>
  <c r="N40" i="84"/>
  <c r="L40" i="84"/>
  <c r="J40" i="84"/>
  <c r="B40" i="84"/>
  <c r="Z39" i="84"/>
  <c r="T39" i="84"/>
  <c r="P39" i="84"/>
  <c r="X39" i="84" s="1"/>
  <c r="L39" i="84"/>
  <c r="H39" i="84"/>
  <c r="N39" i="84" s="1"/>
  <c r="D39" i="84"/>
  <c r="B39" i="84"/>
  <c r="Z38" i="84"/>
  <c r="X38" i="84"/>
  <c r="N38" i="84"/>
  <c r="L38" i="84"/>
  <c r="B38" i="84"/>
  <c r="Z37" i="84"/>
  <c r="X37" i="84"/>
  <c r="N37" i="84"/>
  <c r="L37" i="84"/>
  <c r="F37" i="84"/>
  <c r="B37" i="84"/>
  <c r="Z36" i="84"/>
  <c r="X36" i="84"/>
  <c r="N36" i="84"/>
  <c r="L36" i="84"/>
  <c r="J36" i="84"/>
  <c r="B36" i="84"/>
  <c r="Z35" i="84"/>
  <c r="X35" i="84"/>
  <c r="N35" i="84"/>
  <c r="L35" i="84"/>
  <c r="F35" i="84"/>
  <c r="B35" i="84"/>
  <c r="Z34" i="84"/>
  <c r="X34" i="84"/>
  <c r="N34" i="84"/>
  <c r="L34" i="84"/>
  <c r="J34" i="84"/>
  <c r="B34" i="84"/>
  <c r="Z33" i="84"/>
  <c r="X33" i="84"/>
  <c r="R33" i="84"/>
  <c r="N33" i="84"/>
  <c r="L33" i="84"/>
  <c r="B33" i="84"/>
  <c r="Z32" i="84"/>
  <c r="X32" i="84"/>
  <c r="N32" i="84"/>
  <c r="L32" i="84"/>
  <c r="B32" i="84"/>
  <c r="Z31" i="84"/>
  <c r="X31" i="84"/>
  <c r="R31" i="84"/>
  <c r="N31" i="84"/>
  <c r="L31" i="84"/>
  <c r="B31" i="84"/>
  <c r="Z30" i="84"/>
  <c r="X30" i="84"/>
  <c r="N30" i="84"/>
  <c r="L30" i="84"/>
  <c r="B30" i="84"/>
  <c r="Z29" i="84"/>
  <c r="X29" i="84"/>
  <c r="N29" i="84"/>
  <c r="L29" i="84"/>
  <c r="F29" i="84"/>
  <c r="B29" i="84"/>
  <c r="Z28" i="84"/>
  <c r="X28" i="84"/>
  <c r="T28" i="84"/>
  <c r="P28" i="84"/>
  <c r="N28" i="84"/>
  <c r="J28" i="84"/>
  <c r="H28" i="84"/>
  <c r="D28" i="84"/>
  <c r="L28" i="84" s="1"/>
  <c r="B28" i="84"/>
  <c r="Z27" i="84"/>
  <c r="X27" i="84"/>
  <c r="R27" i="84"/>
  <c r="N27" i="84"/>
  <c r="L27" i="84"/>
  <c r="B27" i="84"/>
  <c r="Z26" i="84"/>
  <c r="X26" i="84"/>
  <c r="V26" i="84"/>
  <c r="N26" i="84"/>
  <c r="L26" i="84"/>
  <c r="B26" i="84"/>
  <c r="Z25" i="84"/>
  <c r="X25" i="84"/>
  <c r="N25" i="84"/>
  <c r="L25" i="84"/>
  <c r="F25" i="84"/>
  <c r="B25" i="84"/>
  <c r="Z24" i="84"/>
  <c r="X24" i="84"/>
  <c r="N24" i="84"/>
  <c r="L24" i="84"/>
  <c r="J24" i="84"/>
  <c r="B24" i="84"/>
  <c r="Z23" i="84"/>
  <c r="X23" i="84"/>
  <c r="N23" i="84"/>
  <c r="L23" i="84"/>
  <c r="F23" i="84"/>
  <c r="B23" i="84"/>
  <c r="Z22" i="84"/>
  <c r="X22" i="84"/>
  <c r="N22" i="84"/>
  <c r="L22" i="84"/>
  <c r="J22" i="84"/>
  <c r="B22" i="84"/>
  <c r="Z21" i="84"/>
  <c r="X21" i="84"/>
  <c r="R21" i="84"/>
  <c r="N21" i="84"/>
  <c r="L21" i="84"/>
  <c r="J21" i="84"/>
  <c r="B21" i="84"/>
  <c r="Z20" i="84"/>
  <c r="X20" i="84"/>
  <c r="N20" i="84"/>
  <c r="L20" i="84"/>
  <c r="B20" i="84"/>
  <c r="X19" i="84"/>
  <c r="T19" i="84"/>
  <c r="Z19" i="84" s="1"/>
  <c r="P19" i="84"/>
  <c r="H19" i="84"/>
  <c r="N19" i="84" s="1"/>
  <c r="D19" i="84"/>
  <c r="B19" i="84"/>
  <c r="T18" i="84"/>
  <c r="Z18" i="84" s="1"/>
  <c r="R18" i="84"/>
  <c r="P18" i="84"/>
  <c r="X18" i="84" s="1"/>
  <c r="N18" i="84"/>
  <c r="L18" i="84"/>
  <c r="H18" i="84"/>
  <c r="D18" i="84"/>
  <c r="V16" i="84"/>
  <c r="J16" i="84"/>
  <c r="F16" i="84"/>
  <c r="T14" i="84"/>
  <c r="Z14" i="84" s="1"/>
  <c r="R14" i="84"/>
  <c r="P14" i="84"/>
  <c r="N14" i="84"/>
  <c r="J14" i="84"/>
  <c r="H14" i="84"/>
  <c r="H16" i="84" s="1"/>
  <c r="D14" i="84"/>
  <c r="L14" i="84" s="1"/>
  <c r="Z12" i="84"/>
  <c r="T12" i="84"/>
  <c r="V46" i="84" s="1"/>
  <c r="P12" i="84"/>
  <c r="R60" i="84" s="1"/>
  <c r="N12" i="84"/>
  <c r="L12" i="84"/>
  <c r="H12" i="84"/>
  <c r="J57" i="84" s="1"/>
  <c r="D12" i="84"/>
  <c r="F51" i="84" s="1"/>
  <c r="D6" i="84"/>
  <c r="D4" i="84"/>
  <c r="Z90" i="83"/>
  <c r="X90" i="83"/>
  <c r="L90" i="83"/>
  <c r="N90" i="83" s="1"/>
  <c r="Z86" i="83"/>
  <c r="P86" i="83"/>
  <c r="N86" i="83"/>
  <c r="D86" i="83"/>
  <c r="L86" i="83" s="1"/>
  <c r="B86" i="83"/>
  <c r="Z85" i="83"/>
  <c r="T85" i="83"/>
  <c r="H85" i="83"/>
  <c r="N85" i="83" s="1"/>
  <c r="Z83" i="83"/>
  <c r="X83" i="83"/>
  <c r="L83" i="83"/>
  <c r="N83" i="83" s="1"/>
  <c r="B83" i="83"/>
  <c r="V82" i="83"/>
  <c r="T82" i="83"/>
  <c r="Z82" i="83" s="1"/>
  <c r="P82" i="83"/>
  <c r="X82" i="83" s="1"/>
  <c r="L82" i="83"/>
  <c r="H82" i="83"/>
  <c r="N82" i="83" s="1"/>
  <c r="D82" i="83"/>
  <c r="B82" i="83"/>
  <c r="Z81" i="83"/>
  <c r="X81" i="83"/>
  <c r="L81" i="83"/>
  <c r="N81" i="83" s="1"/>
  <c r="B81" i="83"/>
  <c r="X80" i="83"/>
  <c r="T80" i="83"/>
  <c r="Z80" i="83" s="1"/>
  <c r="R80" i="83"/>
  <c r="P80" i="83"/>
  <c r="N80" i="83"/>
  <c r="H80" i="83"/>
  <c r="L80" i="83" s="1"/>
  <c r="D80" i="83"/>
  <c r="B80" i="83"/>
  <c r="X79" i="83"/>
  <c r="Z79" i="83" s="1"/>
  <c r="N79" i="83"/>
  <c r="L79" i="83"/>
  <c r="B79" i="83"/>
  <c r="Z78" i="83"/>
  <c r="X78" i="83"/>
  <c r="L78" i="83"/>
  <c r="N78" i="83" s="1"/>
  <c r="B78" i="83"/>
  <c r="T77" i="83"/>
  <c r="P77" i="83"/>
  <c r="X77" i="83" s="1"/>
  <c r="Z77" i="83" s="1"/>
  <c r="L77" i="83"/>
  <c r="N77" i="83" s="1"/>
  <c r="H77" i="83"/>
  <c r="D77" i="83"/>
  <c r="B77" i="83"/>
  <c r="Z76" i="83"/>
  <c r="X76" i="83"/>
  <c r="V76" i="83"/>
  <c r="N76" i="83"/>
  <c r="L76" i="83"/>
  <c r="B76" i="83"/>
  <c r="X75" i="83"/>
  <c r="Z75" i="83" s="1"/>
  <c r="N75" i="83"/>
  <c r="L75" i="83"/>
  <c r="B75" i="83"/>
  <c r="Z74" i="83"/>
  <c r="X74" i="83"/>
  <c r="N74" i="83"/>
  <c r="L74" i="83"/>
  <c r="B74" i="83"/>
  <c r="Z73" i="83"/>
  <c r="X73" i="83"/>
  <c r="L73" i="83"/>
  <c r="N73" i="83" s="1"/>
  <c r="B73" i="83"/>
  <c r="X72" i="83"/>
  <c r="Z72" i="83" s="1"/>
  <c r="N72" i="83"/>
  <c r="L72" i="83"/>
  <c r="B72" i="83"/>
  <c r="Z71" i="83"/>
  <c r="X71" i="83"/>
  <c r="N71" i="83"/>
  <c r="L71" i="83"/>
  <c r="B71" i="83"/>
  <c r="X70" i="83"/>
  <c r="Z70" i="83" s="1"/>
  <c r="V70" i="83"/>
  <c r="N70" i="83"/>
  <c r="L70" i="83"/>
  <c r="B70" i="83"/>
  <c r="X69" i="83"/>
  <c r="Z69" i="83" s="1"/>
  <c r="N69" i="83"/>
  <c r="L69" i="83"/>
  <c r="B69" i="83"/>
  <c r="Z68" i="83"/>
  <c r="T68" i="83"/>
  <c r="P68" i="83"/>
  <c r="X68" i="83" s="1"/>
  <c r="H68" i="83"/>
  <c r="D68" i="83"/>
  <c r="L68" i="83" s="1"/>
  <c r="B68" i="83"/>
  <c r="Z67" i="83"/>
  <c r="X67" i="83"/>
  <c r="L67" i="83"/>
  <c r="N67" i="83" s="1"/>
  <c r="B67" i="83"/>
  <c r="T66" i="83"/>
  <c r="Z66" i="83" s="1"/>
  <c r="P66" i="83"/>
  <c r="X66" i="83" s="1"/>
  <c r="L66" i="83"/>
  <c r="H66" i="83"/>
  <c r="N66" i="83" s="1"/>
  <c r="D66" i="83"/>
  <c r="B66" i="83"/>
  <c r="Z65" i="83"/>
  <c r="X65" i="83"/>
  <c r="L65" i="83"/>
  <c r="N65" i="83" s="1"/>
  <c r="B65" i="83"/>
  <c r="X64" i="83"/>
  <c r="Z64" i="83" s="1"/>
  <c r="N64" i="83"/>
  <c r="L64" i="83"/>
  <c r="J64" i="83"/>
  <c r="B64" i="83"/>
  <c r="Z63" i="83"/>
  <c r="X63" i="83"/>
  <c r="N63" i="83"/>
  <c r="L63" i="83"/>
  <c r="B63" i="83"/>
  <c r="X62" i="83"/>
  <c r="Z62" i="83" s="1"/>
  <c r="N62" i="83"/>
  <c r="L62" i="83"/>
  <c r="B62" i="83"/>
  <c r="T61" i="83"/>
  <c r="P61" i="83"/>
  <c r="H61" i="83"/>
  <c r="D61" i="83"/>
  <c r="B61" i="83"/>
  <c r="X60" i="83"/>
  <c r="Z60" i="83" s="1"/>
  <c r="N60" i="83"/>
  <c r="L60" i="83"/>
  <c r="B60" i="83"/>
  <c r="Z59" i="83"/>
  <c r="X59" i="83"/>
  <c r="L59" i="83"/>
  <c r="N59" i="83" s="1"/>
  <c r="B59" i="83"/>
  <c r="T58" i="83"/>
  <c r="P58" i="83"/>
  <c r="X58" i="83" s="1"/>
  <c r="L58" i="83"/>
  <c r="N58" i="83" s="1"/>
  <c r="H58" i="83"/>
  <c r="D58" i="83"/>
  <c r="B58" i="83"/>
  <c r="Z57" i="83"/>
  <c r="X57" i="83"/>
  <c r="N57" i="83"/>
  <c r="L57" i="83"/>
  <c r="B57" i="83"/>
  <c r="X56" i="83"/>
  <c r="Z56" i="83" s="1"/>
  <c r="N56" i="83"/>
  <c r="L56" i="83"/>
  <c r="B56" i="83"/>
  <c r="T55" i="83"/>
  <c r="P55" i="83"/>
  <c r="H55" i="83"/>
  <c r="D55" i="83"/>
  <c r="L55" i="83" s="1"/>
  <c r="N55" i="83" s="1"/>
  <c r="B55" i="83"/>
  <c r="X54" i="83"/>
  <c r="Z54" i="83" s="1"/>
  <c r="L54" i="83"/>
  <c r="N54" i="83" s="1"/>
  <c r="B54" i="83"/>
  <c r="Z53" i="83"/>
  <c r="T53" i="83"/>
  <c r="P53" i="83"/>
  <c r="X53" i="83" s="1"/>
  <c r="L53" i="83"/>
  <c r="H53" i="83"/>
  <c r="N53" i="83" s="1"/>
  <c r="D53" i="83"/>
  <c r="B53" i="83"/>
  <c r="Z52" i="83"/>
  <c r="X52" i="83"/>
  <c r="N52" i="83"/>
  <c r="L52" i="83"/>
  <c r="B52" i="83"/>
  <c r="X51" i="83"/>
  <c r="T51" i="83"/>
  <c r="Z51" i="83" s="1"/>
  <c r="P51" i="83"/>
  <c r="N51" i="83"/>
  <c r="L51" i="83"/>
  <c r="H51" i="83"/>
  <c r="D51" i="83"/>
  <c r="B51" i="83"/>
  <c r="X50" i="83"/>
  <c r="Z50" i="83" s="1"/>
  <c r="V50" i="83"/>
  <c r="L50" i="83"/>
  <c r="N50" i="83" s="1"/>
  <c r="B50" i="83"/>
  <c r="Z49" i="83"/>
  <c r="X49" i="83"/>
  <c r="N49" i="83"/>
  <c r="L49" i="83"/>
  <c r="B49" i="83"/>
  <c r="Z48" i="83"/>
  <c r="X48" i="83"/>
  <c r="T48" i="83"/>
  <c r="P48" i="83"/>
  <c r="H48" i="83"/>
  <c r="N48" i="83" s="1"/>
  <c r="D48" i="83"/>
  <c r="L48" i="83" s="1"/>
  <c r="B48" i="83"/>
  <c r="X47" i="83"/>
  <c r="Z47" i="83" s="1"/>
  <c r="R47" i="83"/>
  <c r="N47" i="83"/>
  <c r="L47" i="83"/>
  <c r="B47" i="83"/>
  <c r="V46" i="83"/>
  <c r="T46" i="83"/>
  <c r="P46" i="83"/>
  <c r="X46" i="83" s="1"/>
  <c r="H46" i="83"/>
  <c r="D46" i="83"/>
  <c r="L46" i="83" s="1"/>
  <c r="B46" i="83"/>
  <c r="Z45" i="83"/>
  <c r="X45" i="83"/>
  <c r="N45" i="83"/>
  <c r="L45" i="83"/>
  <c r="B45" i="83"/>
  <c r="T44" i="83"/>
  <c r="Z44" i="83" s="1"/>
  <c r="R44" i="83"/>
  <c r="P44" i="83"/>
  <c r="X44" i="83" s="1"/>
  <c r="L44" i="83"/>
  <c r="H44" i="83"/>
  <c r="N44" i="83" s="1"/>
  <c r="D44" i="83"/>
  <c r="B44" i="83"/>
  <c r="Z43" i="83"/>
  <c r="X43" i="83"/>
  <c r="N43" i="83"/>
  <c r="L43" i="83"/>
  <c r="B43" i="83"/>
  <c r="Z42" i="83"/>
  <c r="X42" i="83"/>
  <c r="N42" i="83"/>
  <c r="L42" i="83"/>
  <c r="J42" i="83"/>
  <c r="B42" i="83"/>
  <c r="Z41" i="83"/>
  <c r="X41" i="83"/>
  <c r="L41" i="83"/>
  <c r="N41" i="83" s="1"/>
  <c r="B41" i="83"/>
  <c r="X40" i="83"/>
  <c r="Z40" i="83" s="1"/>
  <c r="N40" i="83"/>
  <c r="L40" i="83"/>
  <c r="B40" i="83"/>
  <c r="Z39" i="83"/>
  <c r="X39" i="83"/>
  <c r="R39" i="83"/>
  <c r="N39" i="83"/>
  <c r="L39" i="83"/>
  <c r="B39" i="83"/>
  <c r="X38" i="83"/>
  <c r="Z38" i="83" s="1"/>
  <c r="V38" i="83"/>
  <c r="L38" i="83"/>
  <c r="N38" i="83" s="1"/>
  <c r="B38" i="83"/>
  <c r="X37" i="83"/>
  <c r="Z37" i="83" s="1"/>
  <c r="N37" i="83"/>
  <c r="L37" i="83"/>
  <c r="B37" i="83"/>
  <c r="Z36" i="83"/>
  <c r="X36" i="83"/>
  <c r="N36" i="83"/>
  <c r="L36" i="83"/>
  <c r="B36" i="83"/>
  <c r="Z35" i="83"/>
  <c r="X35" i="83"/>
  <c r="N35" i="83"/>
  <c r="L35" i="83"/>
  <c r="B35" i="83"/>
  <c r="Z34" i="83"/>
  <c r="X34" i="83"/>
  <c r="N34" i="83"/>
  <c r="L34" i="83"/>
  <c r="B34" i="83"/>
  <c r="T33" i="83"/>
  <c r="P33" i="83"/>
  <c r="X33" i="83" s="1"/>
  <c r="Z33" i="83" s="1"/>
  <c r="H33" i="83"/>
  <c r="D33" i="83"/>
  <c r="L33" i="83" s="1"/>
  <c r="N33" i="83" s="1"/>
  <c r="B33" i="83"/>
  <c r="Z32" i="83"/>
  <c r="X32" i="83"/>
  <c r="L32" i="83"/>
  <c r="N32" i="83" s="1"/>
  <c r="B32" i="83"/>
  <c r="Z31" i="83"/>
  <c r="X31" i="83"/>
  <c r="L31" i="83"/>
  <c r="N31" i="83" s="1"/>
  <c r="B31" i="83"/>
  <c r="X30" i="83"/>
  <c r="Z30" i="83" s="1"/>
  <c r="L30" i="83"/>
  <c r="N30" i="83" s="1"/>
  <c r="J30" i="83"/>
  <c r="B30" i="83"/>
  <c r="Z29" i="83"/>
  <c r="X29" i="83"/>
  <c r="N29" i="83"/>
  <c r="L29" i="83"/>
  <c r="B29" i="83"/>
  <c r="Z28" i="83"/>
  <c r="X28" i="83"/>
  <c r="N28" i="83"/>
  <c r="L28" i="83"/>
  <c r="B28" i="83"/>
  <c r="X27" i="83"/>
  <c r="Z27" i="83" s="1"/>
  <c r="R27" i="83"/>
  <c r="N27" i="83"/>
  <c r="L27" i="83"/>
  <c r="B27" i="83"/>
  <c r="X26" i="83"/>
  <c r="Z26" i="83" s="1"/>
  <c r="V26" i="83"/>
  <c r="R26" i="83"/>
  <c r="N26" i="83"/>
  <c r="L26" i="83"/>
  <c r="B26" i="83"/>
  <c r="X25" i="83"/>
  <c r="Z25" i="83" s="1"/>
  <c r="V25" i="83"/>
  <c r="L25" i="83"/>
  <c r="N25" i="83" s="1"/>
  <c r="B25" i="83"/>
  <c r="Z24" i="83"/>
  <c r="X24" i="83"/>
  <c r="N24" i="83"/>
  <c r="L24" i="83"/>
  <c r="B24" i="83"/>
  <c r="T23" i="83"/>
  <c r="P23" i="83"/>
  <c r="X23" i="83" s="1"/>
  <c r="Z23" i="83" s="1"/>
  <c r="L23" i="83"/>
  <c r="H23" i="83"/>
  <c r="N23" i="83" s="1"/>
  <c r="D23" i="83"/>
  <c r="B23" i="83"/>
  <c r="V22" i="83"/>
  <c r="T22" i="83"/>
  <c r="Z22" i="83" s="1"/>
  <c r="P22" i="83"/>
  <c r="X22" i="83" s="1"/>
  <c r="H22" i="83"/>
  <c r="N22" i="83" s="1"/>
  <c r="D22" i="83"/>
  <c r="L22" i="83" s="1"/>
  <c r="P20" i="83"/>
  <c r="Z18" i="83"/>
  <c r="X18" i="83"/>
  <c r="V18" i="83"/>
  <c r="R18" i="83"/>
  <c r="N18" i="83"/>
  <c r="L18" i="83"/>
  <c r="B18" i="83"/>
  <c r="X17" i="83"/>
  <c r="Z17" i="83" s="1"/>
  <c r="V17" i="83"/>
  <c r="N17" i="83"/>
  <c r="L17" i="83"/>
  <c r="B17" i="83"/>
  <c r="Z16" i="83"/>
  <c r="X16" i="83"/>
  <c r="T16" i="83"/>
  <c r="P16" i="83"/>
  <c r="H16" i="83"/>
  <c r="N16" i="83" s="1"/>
  <c r="D16" i="83"/>
  <c r="L16" i="83" s="1"/>
  <c r="P14" i="83"/>
  <c r="X14" i="83" s="1"/>
  <c r="Z14" i="83" s="1"/>
  <c r="L14" i="83"/>
  <c r="N14" i="83" s="1"/>
  <c r="D14" i="83"/>
  <c r="B14" i="83"/>
  <c r="Z13" i="83"/>
  <c r="X13" i="83"/>
  <c r="P13" i="83"/>
  <c r="D13" i="83"/>
  <c r="B13" i="83"/>
  <c r="X12" i="83"/>
  <c r="T12" i="83"/>
  <c r="V58" i="83" s="1"/>
  <c r="P12" i="83"/>
  <c r="R51" i="83" s="1"/>
  <c r="H12" i="83"/>
  <c r="J34" i="83" s="1"/>
  <c r="D6" i="83"/>
  <c r="D4" i="83"/>
  <c r="X97" i="82"/>
  <c r="Z97" i="82" s="1"/>
  <c r="N97" i="82"/>
  <c r="L97" i="82"/>
  <c r="Z93" i="82"/>
  <c r="X93" i="82"/>
  <c r="P93" i="82"/>
  <c r="N93" i="82"/>
  <c r="D93" i="82"/>
  <c r="L93" i="82" s="1"/>
  <c r="B93" i="82"/>
  <c r="Z92" i="82"/>
  <c r="T92" i="82"/>
  <c r="P92" i="82"/>
  <c r="X92" i="82" s="1"/>
  <c r="N92" i="82"/>
  <c r="H92" i="82"/>
  <c r="X90" i="82"/>
  <c r="Z90" i="82" s="1"/>
  <c r="N90" i="82"/>
  <c r="L90" i="82"/>
  <c r="B90" i="82"/>
  <c r="Z89" i="82"/>
  <c r="X89" i="82"/>
  <c r="T89" i="82"/>
  <c r="P89" i="82"/>
  <c r="H89" i="82"/>
  <c r="N89" i="82" s="1"/>
  <c r="D89" i="82"/>
  <c r="L89" i="82" s="1"/>
  <c r="B89" i="82"/>
  <c r="Z88" i="82"/>
  <c r="X88" i="82"/>
  <c r="N88" i="82"/>
  <c r="L88" i="82"/>
  <c r="B88" i="82"/>
  <c r="T87" i="82"/>
  <c r="P87" i="82"/>
  <c r="X87" i="82" s="1"/>
  <c r="H87" i="82"/>
  <c r="N87" i="82" s="1"/>
  <c r="D87" i="82"/>
  <c r="L87" i="82" s="1"/>
  <c r="B87" i="82"/>
  <c r="Z86" i="82"/>
  <c r="X86" i="82"/>
  <c r="L86" i="82"/>
  <c r="N86" i="82" s="1"/>
  <c r="B86" i="82"/>
  <c r="X85" i="82"/>
  <c r="Z85" i="82" s="1"/>
  <c r="N85" i="82"/>
  <c r="L85" i="82"/>
  <c r="B85" i="82"/>
  <c r="T84" i="82"/>
  <c r="P84" i="82"/>
  <c r="H84" i="82"/>
  <c r="D84" i="82"/>
  <c r="L84" i="82" s="1"/>
  <c r="N84" i="82" s="1"/>
  <c r="B84" i="82"/>
  <c r="X83" i="82"/>
  <c r="Z83" i="82" s="1"/>
  <c r="N83" i="82"/>
  <c r="L83" i="82"/>
  <c r="J83" i="82"/>
  <c r="B83" i="82"/>
  <c r="Z82" i="82"/>
  <c r="X82" i="82"/>
  <c r="N82" i="82"/>
  <c r="L82" i="82"/>
  <c r="B82" i="82"/>
  <c r="Z81" i="82"/>
  <c r="X81" i="82"/>
  <c r="N81" i="82"/>
  <c r="L81" i="82"/>
  <c r="B81" i="82"/>
  <c r="Z80" i="82"/>
  <c r="X80" i="82"/>
  <c r="N80" i="82"/>
  <c r="L80" i="82"/>
  <c r="B80" i="82"/>
  <c r="X79" i="82"/>
  <c r="Z79" i="82" s="1"/>
  <c r="N79" i="82"/>
  <c r="L79" i="82"/>
  <c r="B79" i="82"/>
  <c r="X78" i="82"/>
  <c r="Z78" i="82" s="1"/>
  <c r="N78" i="82"/>
  <c r="L78" i="82"/>
  <c r="B78" i="82"/>
  <c r="Z77" i="82"/>
  <c r="X77" i="82"/>
  <c r="N77" i="82"/>
  <c r="L77" i="82"/>
  <c r="B77" i="82"/>
  <c r="T76" i="82"/>
  <c r="P76" i="82"/>
  <c r="X76" i="82" s="1"/>
  <c r="Z76" i="82" s="1"/>
  <c r="L76" i="82"/>
  <c r="N76" i="82" s="1"/>
  <c r="H76" i="82"/>
  <c r="D76" i="82"/>
  <c r="B76" i="82"/>
  <c r="X75" i="82"/>
  <c r="Z75" i="82" s="1"/>
  <c r="L75" i="82"/>
  <c r="N75" i="82" s="1"/>
  <c r="B75" i="82"/>
  <c r="X74" i="82"/>
  <c r="Z74" i="82" s="1"/>
  <c r="T74" i="82"/>
  <c r="P74" i="82"/>
  <c r="H74" i="82"/>
  <c r="D74" i="82"/>
  <c r="B74" i="82"/>
  <c r="Z73" i="82"/>
  <c r="X73" i="82"/>
  <c r="N73" i="82"/>
  <c r="L73" i="82"/>
  <c r="B73" i="82"/>
  <c r="Z72" i="82"/>
  <c r="X72" i="82"/>
  <c r="N72" i="82"/>
  <c r="L72" i="82"/>
  <c r="B72" i="82"/>
  <c r="X71" i="82"/>
  <c r="Z71" i="82" s="1"/>
  <c r="L71" i="82"/>
  <c r="N71" i="82" s="1"/>
  <c r="B71" i="82"/>
  <c r="X70" i="82"/>
  <c r="Z70" i="82" s="1"/>
  <c r="N70" i="82"/>
  <c r="L70" i="82"/>
  <c r="B70" i="82"/>
  <c r="Z69" i="82"/>
  <c r="X69" i="82"/>
  <c r="T69" i="82"/>
  <c r="P69" i="82"/>
  <c r="H69" i="82"/>
  <c r="N69" i="82" s="1"/>
  <c r="D69" i="82"/>
  <c r="L69" i="82" s="1"/>
  <c r="B69" i="82"/>
  <c r="Z68" i="82"/>
  <c r="X68" i="82"/>
  <c r="N68" i="82"/>
  <c r="L68" i="82"/>
  <c r="B68" i="82"/>
  <c r="X67" i="82"/>
  <c r="Z67" i="82" s="1"/>
  <c r="L67" i="82"/>
  <c r="N67" i="82" s="1"/>
  <c r="B67" i="82"/>
  <c r="X66" i="82"/>
  <c r="Z66" i="82" s="1"/>
  <c r="T66" i="82"/>
  <c r="P66" i="82"/>
  <c r="H66" i="82"/>
  <c r="D66" i="82"/>
  <c r="B66" i="82"/>
  <c r="Z65" i="82"/>
  <c r="X65" i="82"/>
  <c r="N65" i="82"/>
  <c r="L65" i="82"/>
  <c r="B65" i="82"/>
  <c r="T64" i="82"/>
  <c r="P64" i="82"/>
  <c r="H64" i="82"/>
  <c r="D64" i="82"/>
  <c r="L64" i="82" s="1"/>
  <c r="N64" i="82" s="1"/>
  <c r="B64" i="82"/>
  <c r="X63" i="82"/>
  <c r="Z63" i="82" s="1"/>
  <c r="N63" i="82"/>
  <c r="L63" i="82"/>
  <c r="J63" i="82"/>
  <c r="B63" i="82"/>
  <c r="T62" i="82"/>
  <c r="P62" i="82"/>
  <c r="X62" i="82" s="1"/>
  <c r="Z62" i="82" s="1"/>
  <c r="N62" i="82"/>
  <c r="H62" i="82"/>
  <c r="D62" i="82"/>
  <c r="L62" i="82" s="1"/>
  <c r="B62" i="82"/>
  <c r="X61" i="82"/>
  <c r="Z61" i="82" s="1"/>
  <c r="N61" i="82"/>
  <c r="L61" i="82"/>
  <c r="B61" i="82"/>
  <c r="T60" i="82"/>
  <c r="P60" i="82"/>
  <c r="X60" i="82" s="1"/>
  <c r="Z60" i="82" s="1"/>
  <c r="L60" i="82"/>
  <c r="H60" i="82"/>
  <c r="N60" i="82" s="1"/>
  <c r="D60" i="82"/>
  <c r="B60" i="82"/>
  <c r="Z59" i="82"/>
  <c r="X59" i="82"/>
  <c r="V59" i="82"/>
  <c r="L59" i="82"/>
  <c r="N59" i="82" s="1"/>
  <c r="B59" i="82"/>
  <c r="X58" i="82"/>
  <c r="T58" i="82"/>
  <c r="P58" i="82"/>
  <c r="H58" i="82"/>
  <c r="D58" i="82"/>
  <c r="B58" i="82"/>
  <c r="Z57" i="82"/>
  <c r="X57" i="82"/>
  <c r="N57" i="82"/>
  <c r="L57" i="82"/>
  <c r="B57" i="82"/>
  <c r="T56" i="82"/>
  <c r="P56" i="82"/>
  <c r="H56" i="82"/>
  <c r="N56" i="82" s="1"/>
  <c r="D56" i="82"/>
  <c r="L56" i="82" s="1"/>
  <c r="B56" i="82"/>
  <c r="X55" i="82"/>
  <c r="Z55" i="82" s="1"/>
  <c r="N55" i="82"/>
  <c r="L55" i="82"/>
  <c r="B55" i="82"/>
  <c r="Z54" i="82"/>
  <c r="X54" i="82"/>
  <c r="N54" i="82"/>
  <c r="L54" i="82"/>
  <c r="B54" i="82"/>
  <c r="T53" i="82"/>
  <c r="P53" i="82"/>
  <c r="X53" i="82" s="1"/>
  <c r="Z53" i="82" s="1"/>
  <c r="L53" i="82"/>
  <c r="N53" i="82" s="1"/>
  <c r="H53" i="82"/>
  <c r="D53" i="82"/>
  <c r="B53" i="82"/>
  <c r="Z52" i="82"/>
  <c r="X52" i="82"/>
  <c r="L52" i="82"/>
  <c r="N52" i="82" s="1"/>
  <c r="B52" i="82"/>
  <c r="X51" i="82"/>
  <c r="Z51" i="82" s="1"/>
  <c r="T51" i="82"/>
  <c r="P51" i="82"/>
  <c r="L51" i="82"/>
  <c r="N51" i="82" s="1"/>
  <c r="H51" i="82"/>
  <c r="D51" i="82"/>
  <c r="B51" i="82"/>
  <c r="X50" i="82"/>
  <c r="Z50" i="82" s="1"/>
  <c r="V50" i="82"/>
  <c r="N50" i="82"/>
  <c r="L50" i="82"/>
  <c r="B50" i="82"/>
  <c r="X49" i="82"/>
  <c r="Z49" i="82" s="1"/>
  <c r="T49" i="82"/>
  <c r="P49" i="82"/>
  <c r="J49" i="82"/>
  <c r="H49" i="82"/>
  <c r="N49" i="82" s="1"/>
  <c r="D49" i="82"/>
  <c r="B49" i="82"/>
  <c r="Z48" i="82"/>
  <c r="X48" i="82"/>
  <c r="N48" i="82"/>
  <c r="L48" i="82"/>
  <c r="B48" i="82"/>
  <c r="T47" i="82"/>
  <c r="Z47" i="82" s="1"/>
  <c r="P47" i="82"/>
  <c r="N47" i="82"/>
  <c r="H47" i="82"/>
  <c r="D47" i="82"/>
  <c r="L47" i="82" s="1"/>
  <c r="B47" i="82"/>
  <c r="Z46" i="82"/>
  <c r="X46" i="82"/>
  <c r="N46" i="82"/>
  <c r="L46" i="82"/>
  <c r="B46" i="82"/>
  <c r="Z45" i="82"/>
  <c r="X45" i="82"/>
  <c r="N45" i="82"/>
  <c r="L45" i="82"/>
  <c r="B45" i="82"/>
  <c r="Z44" i="82"/>
  <c r="X44" i="82"/>
  <c r="N44" i="82"/>
  <c r="L44" i="82"/>
  <c r="B44" i="82"/>
  <c r="X43" i="82"/>
  <c r="Z43" i="82" s="1"/>
  <c r="V43" i="82"/>
  <c r="N43" i="82"/>
  <c r="L43" i="82"/>
  <c r="B43" i="82"/>
  <c r="Z42" i="82"/>
  <c r="X42" i="82"/>
  <c r="N42" i="82"/>
  <c r="L42" i="82"/>
  <c r="B42" i="82"/>
  <c r="Z41" i="82"/>
  <c r="X41" i="82"/>
  <c r="N41" i="82"/>
  <c r="L41" i="82"/>
  <c r="B41" i="82"/>
  <c r="Z40" i="82"/>
  <c r="X40" i="82"/>
  <c r="N40" i="82"/>
  <c r="L40" i="82"/>
  <c r="B40" i="82"/>
  <c r="Z39" i="82"/>
  <c r="X39" i="82"/>
  <c r="N39" i="82"/>
  <c r="L39" i="82"/>
  <c r="J39" i="82"/>
  <c r="B39" i="82"/>
  <c r="Z38" i="82"/>
  <c r="X38" i="82"/>
  <c r="L38" i="82"/>
  <c r="N38" i="82" s="1"/>
  <c r="B38" i="82"/>
  <c r="Z37" i="82"/>
  <c r="X37" i="82"/>
  <c r="N37" i="82"/>
  <c r="L37" i="82"/>
  <c r="B37" i="82"/>
  <c r="T36" i="82"/>
  <c r="P36" i="82"/>
  <c r="H36" i="82"/>
  <c r="D36" i="82"/>
  <c r="L36" i="82" s="1"/>
  <c r="N36" i="82" s="1"/>
  <c r="B36" i="82"/>
  <c r="X35" i="82"/>
  <c r="Z35" i="82" s="1"/>
  <c r="N35" i="82"/>
  <c r="L35" i="82"/>
  <c r="J35" i="82"/>
  <c r="B35" i="82"/>
  <c r="Z34" i="82"/>
  <c r="X34" i="82"/>
  <c r="L34" i="82"/>
  <c r="N34" i="82" s="1"/>
  <c r="B34" i="82"/>
  <c r="X33" i="82"/>
  <c r="Z33" i="82" s="1"/>
  <c r="N33" i="82"/>
  <c r="L33" i="82"/>
  <c r="B33" i="82"/>
  <c r="Z32" i="82"/>
  <c r="X32" i="82"/>
  <c r="N32" i="82"/>
  <c r="L32" i="82"/>
  <c r="B32" i="82"/>
  <c r="Z31" i="82"/>
  <c r="X31" i="82"/>
  <c r="V31" i="82"/>
  <c r="L31" i="82"/>
  <c r="N31" i="82" s="1"/>
  <c r="B31" i="82"/>
  <c r="X30" i="82"/>
  <c r="Z30" i="82" s="1"/>
  <c r="N30" i="82"/>
  <c r="L30" i="82"/>
  <c r="B30" i="82"/>
  <c r="Z29" i="82"/>
  <c r="X29" i="82"/>
  <c r="L29" i="82"/>
  <c r="N29" i="82" s="1"/>
  <c r="B29" i="82"/>
  <c r="X28" i="82"/>
  <c r="Z28" i="82" s="1"/>
  <c r="N28" i="82"/>
  <c r="L28" i="82"/>
  <c r="F28" i="82"/>
  <c r="B28" i="82"/>
  <c r="X27" i="82"/>
  <c r="Z27" i="82" s="1"/>
  <c r="N27" i="82"/>
  <c r="L27" i="82"/>
  <c r="J27" i="82"/>
  <c r="B27" i="82"/>
  <c r="T26" i="82"/>
  <c r="P26" i="82"/>
  <c r="X26" i="82" s="1"/>
  <c r="Z26" i="82" s="1"/>
  <c r="H26" i="82"/>
  <c r="N26" i="82" s="1"/>
  <c r="D26" i="82"/>
  <c r="L26" i="82" s="1"/>
  <c r="B26" i="82"/>
  <c r="Z25" i="82"/>
  <c r="T25" i="82"/>
  <c r="P25" i="82"/>
  <c r="X25" i="82" s="1"/>
  <c r="J25" i="82"/>
  <c r="H25" i="82"/>
  <c r="N25" i="82" s="1"/>
  <c r="D25" i="82"/>
  <c r="L25" i="82" s="1"/>
  <c r="Z21" i="82"/>
  <c r="X21" i="82"/>
  <c r="N21" i="82"/>
  <c r="L21" i="82"/>
  <c r="B21" i="82"/>
  <c r="Z20" i="82"/>
  <c r="X20" i="82"/>
  <c r="V20" i="82"/>
  <c r="N20" i="82"/>
  <c r="L20" i="82"/>
  <c r="B20" i="82"/>
  <c r="X19" i="82"/>
  <c r="Z19" i="82" s="1"/>
  <c r="N19" i="82"/>
  <c r="L19" i="82"/>
  <c r="J19" i="82"/>
  <c r="B19" i="82"/>
  <c r="T18" i="82"/>
  <c r="P18" i="82"/>
  <c r="X18" i="82" s="1"/>
  <c r="Z18" i="82" s="1"/>
  <c r="J18" i="82"/>
  <c r="H18" i="82"/>
  <c r="D18" i="82"/>
  <c r="L18" i="82" s="1"/>
  <c r="N18" i="82" s="1"/>
  <c r="Z16" i="82"/>
  <c r="X16" i="82"/>
  <c r="P16" i="82"/>
  <c r="N16" i="82"/>
  <c r="L16" i="82"/>
  <c r="D16" i="82"/>
  <c r="B16" i="82"/>
  <c r="P15" i="82"/>
  <c r="D15" i="82"/>
  <c r="L15" i="82" s="1"/>
  <c r="N15" i="82" s="1"/>
  <c r="B15" i="82"/>
  <c r="Z14" i="82"/>
  <c r="X14" i="82"/>
  <c r="P14" i="82"/>
  <c r="N14" i="82"/>
  <c r="L14" i="82"/>
  <c r="D14" i="82"/>
  <c r="B14" i="82"/>
  <c r="X13" i="82"/>
  <c r="Z13" i="82" s="1"/>
  <c r="P13" i="82"/>
  <c r="L13" i="82"/>
  <c r="N13" i="82" s="1"/>
  <c r="D13" i="82"/>
  <c r="D12" i="82" s="1"/>
  <c r="F40" i="82" s="1"/>
  <c r="B13" i="82"/>
  <c r="T12" i="82"/>
  <c r="V37" i="82" s="1"/>
  <c r="L12" i="82"/>
  <c r="H12" i="82"/>
  <c r="J60" i="82" s="1"/>
  <c r="D6" i="82"/>
  <c r="D4" i="82"/>
  <c r="V32" i="81"/>
  <c r="F32" i="81"/>
  <c r="Z30" i="81"/>
  <c r="X30" i="81"/>
  <c r="R30" i="81"/>
  <c r="N30" i="81"/>
  <c r="L30" i="81"/>
  <c r="J30" i="81"/>
  <c r="Z26" i="81"/>
  <c r="V26" i="81"/>
  <c r="T26" i="81"/>
  <c r="P26" i="81"/>
  <c r="X26" i="81" s="1"/>
  <c r="L26" i="81"/>
  <c r="H26" i="81"/>
  <c r="N26" i="81" s="1"/>
  <c r="F26" i="81"/>
  <c r="D26" i="81"/>
  <c r="Z24" i="81"/>
  <c r="X24" i="81"/>
  <c r="R24" i="81"/>
  <c r="N24" i="81"/>
  <c r="L24" i="81"/>
  <c r="J24" i="81"/>
  <c r="B24" i="81"/>
  <c r="V23" i="81"/>
  <c r="T23" i="81"/>
  <c r="Z23" i="81" s="1"/>
  <c r="P23" i="81"/>
  <c r="X23" i="81" s="1"/>
  <c r="N23" i="81"/>
  <c r="L23" i="81"/>
  <c r="H23" i="81"/>
  <c r="F23" i="81"/>
  <c r="D23" i="81"/>
  <c r="B23" i="81"/>
  <c r="Z22" i="81"/>
  <c r="X22" i="81"/>
  <c r="N22" i="81"/>
  <c r="L22" i="81"/>
  <c r="B22" i="81"/>
  <c r="Z21" i="81"/>
  <c r="X21" i="81"/>
  <c r="T21" i="81"/>
  <c r="R21" i="81"/>
  <c r="P21" i="81"/>
  <c r="L21" i="81"/>
  <c r="H21" i="81"/>
  <c r="N21" i="81" s="1"/>
  <c r="D21" i="81"/>
  <c r="B21" i="81"/>
  <c r="Z20" i="81"/>
  <c r="X20" i="81"/>
  <c r="V20" i="81"/>
  <c r="N20" i="81"/>
  <c r="L20" i="81"/>
  <c r="F20" i="81"/>
  <c r="B20" i="81"/>
  <c r="X19" i="81"/>
  <c r="T19" i="81"/>
  <c r="Z19" i="81" s="1"/>
  <c r="P19" i="81"/>
  <c r="N19" i="81"/>
  <c r="H19" i="81"/>
  <c r="D19" i="81"/>
  <c r="L19" i="81" s="1"/>
  <c r="B19" i="81"/>
  <c r="X18" i="81"/>
  <c r="T18" i="81"/>
  <c r="Z18" i="81" s="1"/>
  <c r="R18" i="81"/>
  <c r="P18" i="81"/>
  <c r="H18" i="81"/>
  <c r="N18" i="81" s="1"/>
  <c r="D18" i="81"/>
  <c r="P16" i="81"/>
  <c r="J16" i="81"/>
  <c r="F16" i="81"/>
  <c r="X14" i="81"/>
  <c r="T14" i="81"/>
  <c r="Z14" i="81" s="1"/>
  <c r="R14" i="81"/>
  <c r="P14" i="81"/>
  <c r="H14" i="81"/>
  <c r="N14" i="81" s="1"/>
  <c r="D14" i="81"/>
  <c r="L14" i="81" s="1"/>
  <c r="Z12" i="81"/>
  <c r="T12" i="81"/>
  <c r="V18" i="81" s="1"/>
  <c r="P12" i="81"/>
  <c r="R35" i="81" s="1"/>
  <c r="L12" i="81"/>
  <c r="H12" i="81"/>
  <c r="J32" i="81" s="1"/>
  <c r="D12" i="81"/>
  <c r="F18" i="81" s="1"/>
  <c r="D6" i="81"/>
  <c r="D4" i="81"/>
  <c r="V32" i="80"/>
  <c r="F32" i="80"/>
  <c r="Z30" i="80"/>
  <c r="X30" i="80"/>
  <c r="R30" i="80"/>
  <c r="N30" i="80"/>
  <c r="L30" i="80"/>
  <c r="J30" i="80"/>
  <c r="Z26" i="80"/>
  <c r="V26" i="80"/>
  <c r="T26" i="80"/>
  <c r="P26" i="80"/>
  <c r="X26" i="80" s="1"/>
  <c r="L26" i="80"/>
  <c r="H26" i="80"/>
  <c r="N26" i="80" s="1"/>
  <c r="F26" i="80"/>
  <c r="D26" i="80"/>
  <c r="Z24" i="80"/>
  <c r="X24" i="80"/>
  <c r="R24" i="80"/>
  <c r="N24" i="80"/>
  <c r="L24" i="80"/>
  <c r="J24" i="80"/>
  <c r="B24" i="80"/>
  <c r="V23" i="80"/>
  <c r="T23" i="80"/>
  <c r="Z23" i="80" s="1"/>
  <c r="P23" i="80"/>
  <c r="X23" i="80" s="1"/>
  <c r="L23" i="80"/>
  <c r="H23" i="80"/>
  <c r="N23" i="80" s="1"/>
  <c r="F23" i="80"/>
  <c r="D23" i="80"/>
  <c r="B23" i="80"/>
  <c r="Z22" i="80"/>
  <c r="X22" i="80"/>
  <c r="N22" i="80"/>
  <c r="L22" i="80"/>
  <c r="B22" i="80"/>
  <c r="X21" i="80"/>
  <c r="T21" i="80"/>
  <c r="Z21" i="80" s="1"/>
  <c r="R21" i="80"/>
  <c r="P21" i="80"/>
  <c r="L21" i="80"/>
  <c r="H21" i="80"/>
  <c r="N21" i="80" s="1"/>
  <c r="D21" i="80"/>
  <c r="B21" i="80"/>
  <c r="X20" i="80"/>
  <c r="Z20" i="80" s="1"/>
  <c r="V20" i="80"/>
  <c r="N20" i="80"/>
  <c r="L20" i="80"/>
  <c r="F20" i="80"/>
  <c r="B20" i="80"/>
  <c r="X19" i="80"/>
  <c r="T19" i="80"/>
  <c r="Z19" i="80" s="1"/>
  <c r="P19" i="80"/>
  <c r="N19" i="80"/>
  <c r="H19" i="80"/>
  <c r="D19" i="80"/>
  <c r="L19" i="80" s="1"/>
  <c r="B19" i="80"/>
  <c r="X18" i="80"/>
  <c r="T18" i="80"/>
  <c r="Z18" i="80" s="1"/>
  <c r="R18" i="80"/>
  <c r="P18" i="80"/>
  <c r="H18" i="80"/>
  <c r="D18" i="80"/>
  <c r="P16" i="80"/>
  <c r="J16" i="80"/>
  <c r="F16" i="80"/>
  <c r="X14" i="80"/>
  <c r="T14" i="80"/>
  <c r="Z14" i="80" s="1"/>
  <c r="R14" i="80"/>
  <c r="P14" i="80"/>
  <c r="H14" i="80"/>
  <c r="N14" i="80" s="1"/>
  <c r="D14" i="80"/>
  <c r="L14" i="80" s="1"/>
  <c r="Z12" i="80"/>
  <c r="T12" i="80"/>
  <c r="V18" i="80" s="1"/>
  <c r="P12" i="80"/>
  <c r="R35" i="80" s="1"/>
  <c r="L12" i="80"/>
  <c r="H12" i="80"/>
  <c r="J32" i="80" s="1"/>
  <c r="D12" i="80"/>
  <c r="F18" i="80" s="1"/>
  <c r="D6" i="80"/>
  <c r="D4" i="80"/>
  <c r="Z32" i="79"/>
  <c r="X32" i="79"/>
  <c r="R32" i="79"/>
  <c r="N32" i="79"/>
  <c r="L32" i="79"/>
  <c r="J32" i="79"/>
  <c r="T28" i="79"/>
  <c r="Z28" i="79" s="1"/>
  <c r="P28" i="79"/>
  <c r="X28" i="79" s="1"/>
  <c r="L28" i="79"/>
  <c r="H28" i="79"/>
  <c r="N28" i="79" s="1"/>
  <c r="D28" i="79"/>
  <c r="Z26" i="79"/>
  <c r="X26" i="79"/>
  <c r="R26" i="79"/>
  <c r="N26" i="79"/>
  <c r="L26" i="79"/>
  <c r="J26" i="79"/>
  <c r="B26" i="79"/>
  <c r="V25" i="79"/>
  <c r="T25" i="79"/>
  <c r="Z25" i="79" s="1"/>
  <c r="P25" i="79"/>
  <c r="X25" i="79" s="1"/>
  <c r="L25" i="79"/>
  <c r="H25" i="79"/>
  <c r="N25" i="79" s="1"/>
  <c r="D25" i="79"/>
  <c r="B25" i="79"/>
  <c r="Z24" i="79"/>
  <c r="X24" i="79"/>
  <c r="N24" i="79"/>
  <c r="L24" i="79"/>
  <c r="B24" i="79"/>
  <c r="X23" i="79"/>
  <c r="T23" i="79"/>
  <c r="Z23" i="79" s="1"/>
  <c r="R23" i="79"/>
  <c r="P23" i="79"/>
  <c r="L23" i="79"/>
  <c r="H23" i="79"/>
  <c r="N23" i="79" s="1"/>
  <c r="D23" i="79"/>
  <c r="B23" i="79"/>
  <c r="Z22" i="79"/>
  <c r="X22" i="79"/>
  <c r="N22" i="79"/>
  <c r="L22" i="79"/>
  <c r="F22" i="79"/>
  <c r="B22" i="79"/>
  <c r="X21" i="79"/>
  <c r="T21" i="79"/>
  <c r="Z21" i="79" s="1"/>
  <c r="P21" i="79"/>
  <c r="N21" i="79"/>
  <c r="H21" i="79"/>
  <c r="D21" i="79"/>
  <c r="L21" i="79" s="1"/>
  <c r="B21" i="79"/>
  <c r="X20" i="79"/>
  <c r="Z20" i="79" s="1"/>
  <c r="N20" i="79"/>
  <c r="L20" i="79"/>
  <c r="B20" i="79"/>
  <c r="Z19" i="79"/>
  <c r="T19" i="79"/>
  <c r="P19" i="79"/>
  <c r="X19" i="79" s="1"/>
  <c r="J19" i="79"/>
  <c r="H19" i="79"/>
  <c r="D19" i="79"/>
  <c r="L19" i="79" s="1"/>
  <c r="B19" i="79"/>
  <c r="T18" i="79"/>
  <c r="R18" i="79"/>
  <c r="P18" i="79"/>
  <c r="X18" i="79" s="1"/>
  <c r="J18" i="79"/>
  <c r="H18" i="79"/>
  <c r="D18" i="79"/>
  <c r="L18" i="79" s="1"/>
  <c r="N18" i="79" s="1"/>
  <c r="R16" i="79"/>
  <c r="P16" i="79"/>
  <c r="P30" i="79" s="1"/>
  <c r="J16" i="79"/>
  <c r="F16" i="79"/>
  <c r="T14" i="79"/>
  <c r="R14" i="79"/>
  <c r="P14" i="79"/>
  <c r="N14" i="79"/>
  <c r="J14" i="79"/>
  <c r="H14" i="79"/>
  <c r="H16" i="79" s="1"/>
  <c r="D14" i="79"/>
  <c r="L14" i="79" s="1"/>
  <c r="T12" i="79"/>
  <c r="P12" i="79"/>
  <c r="R37" i="79" s="1"/>
  <c r="N12" i="79"/>
  <c r="H12" i="79"/>
  <c r="J34" i="79" s="1"/>
  <c r="D12" i="79"/>
  <c r="D6" i="79"/>
  <c r="D4" i="79"/>
  <c r="Z79" i="78"/>
  <c r="X79" i="78"/>
  <c r="N79" i="78"/>
  <c r="L79" i="78"/>
  <c r="P77" i="78"/>
  <c r="Z75" i="78"/>
  <c r="X75" i="78"/>
  <c r="P75" i="78"/>
  <c r="P74" i="78" s="1"/>
  <c r="N75" i="78"/>
  <c r="D75" i="78"/>
  <c r="B75" i="78"/>
  <c r="Z74" i="78"/>
  <c r="X74" i="78"/>
  <c r="T74" i="78"/>
  <c r="N74" i="78"/>
  <c r="H74" i="78"/>
  <c r="X72" i="78"/>
  <c r="Z72" i="78" s="1"/>
  <c r="L72" i="78"/>
  <c r="N72" i="78" s="1"/>
  <c r="B72" i="78"/>
  <c r="X71" i="78"/>
  <c r="T71" i="78"/>
  <c r="R71" i="78"/>
  <c r="P71" i="78"/>
  <c r="H71" i="78"/>
  <c r="D71" i="78"/>
  <c r="B71" i="78"/>
  <c r="Z70" i="78"/>
  <c r="X70" i="78"/>
  <c r="N70" i="78"/>
  <c r="L70" i="78"/>
  <c r="B70" i="78"/>
  <c r="T69" i="78"/>
  <c r="Z69" i="78" s="1"/>
  <c r="P69" i="78"/>
  <c r="N69" i="78"/>
  <c r="H69" i="78"/>
  <c r="D69" i="78"/>
  <c r="L69" i="78" s="1"/>
  <c r="B69" i="78"/>
  <c r="X68" i="78"/>
  <c r="Z68" i="78" s="1"/>
  <c r="N68" i="78"/>
  <c r="L68" i="78"/>
  <c r="B68" i="78"/>
  <c r="T67" i="78"/>
  <c r="P67" i="78"/>
  <c r="X67" i="78" s="1"/>
  <c r="Z67" i="78" s="1"/>
  <c r="L67" i="78"/>
  <c r="N67" i="78" s="1"/>
  <c r="H67" i="78"/>
  <c r="D67" i="78"/>
  <c r="B67" i="78"/>
  <c r="Z66" i="78"/>
  <c r="X66" i="78"/>
  <c r="N66" i="78"/>
  <c r="L66" i="78"/>
  <c r="B66" i="78"/>
  <c r="Z65" i="78"/>
  <c r="X65" i="78"/>
  <c r="T65" i="78"/>
  <c r="P65" i="78"/>
  <c r="L65" i="78"/>
  <c r="H65" i="78"/>
  <c r="N65" i="78" s="1"/>
  <c r="D65" i="78"/>
  <c r="B65" i="78"/>
  <c r="Z64" i="78"/>
  <c r="X64" i="78"/>
  <c r="N64" i="78"/>
  <c r="L64" i="78"/>
  <c r="B64" i="78"/>
  <c r="Z63" i="78"/>
  <c r="X63" i="78"/>
  <c r="N63" i="78"/>
  <c r="L63" i="78"/>
  <c r="F63" i="78"/>
  <c r="B63" i="78"/>
  <c r="T62" i="78"/>
  <c r="Z62" i="78" s="1"/>
  <c r="P62" i="78"/>
  <c r="N62" i="78"/>
  <c r="J62" i="78"/>
  <c r="H62" i="78"/>
  <c r="D62" i="78"/>
  <c r="L62" i="78" s="1"/>
  <c r="B62" i="78"/>
  <c r="X61" i="78"/>
  <c r="Z61" i="78" s="1"/>
  <c r="R61" i="78"/>
  <c r="N61" i="78"/>
  <c r="L61" i="78"/>
  <c r="J61" i="78"/>
  <c r="B61" i="78"/>
  <c r="Z60" i="78"/>
  <c r="X60" i="78"/>
  <c r="N60" i="78"/>
  <c r="L60" i="78"/>
  <c r="B60" i="78"/>
  <c r="X59" i="78"/>
  <c r="Z59" i="78" s="1"/>
  <c r="N59" i="78"/>
  <c r="L59" i="78"/>
  <c r="F59" i="78"/>
  <c r="B59" i="78"/>
  <c r="T58" i="78"/>
  <c r="P58" i="78"/>
  <c r="J58" i="78"/>
  <c r="H58" i="78"/>
  <c r="D58" i="78"/>
  <c r="L58" i="78" s="1"/>
  <c r="N58" i="78" s="1"/>
  <c r="B58" i="78"/>
  <c r="Z57" i="78"/>
  <c r="X57" i="78"/>
  <c r="R57" i="78"/>
  <c r="N57" i="78"/>
  <c r="L57" i="78"/>
  <c r="J57" i="78"/>
  <c r="B57" i="78"/>
  <c r="Z56" i="78"/>
  <c r="X56" i="78"/>
  <c r="N56" i="78"/>
  <c r="L56" i="78"/>
  <c r="B56" i="78"/>
  <c r="X55" i="78"/>
  <c r="Z55" i="78" s="1"/>
  <c r="N55" i="78"/>
  <c r="L55" i="78"/>
  <c r="F55" i="78"/>
  <c r="B55" i="78"/>
  <c r="Z54" i="78"/>
  <c r="X54" i="78"/>
  <c r="R54" i="78"/>
  <c r="N54" i="78"/>
  <c r="L54" i="78"/>
  <c r="J54" i="78"/>
  <c r="B54" i="78"/>
  <c r="T53" i="78"/>
  <c r="P53" i="78"/>
  <c r="X53" i="78" s="1"/>
  <c r="L53" i="78"/>
  <c r="N53" i="78" s="1"/>
  <c r="H53" i="78"/>
  <c r="D53" i="78"/>
  <c r="B53" i="78"/>
  <c r="Z52" i="78"/>
  <c r="X52" i="78"/>
  <c r="L52" i="78"/>
  <c r="N52" i="78" s="1"/>
  <c r="B52" i="78"/>
  <c r="X51" i="78"/>
  <c r="Z51" i="78" s="1"/>
  <c r="T51" i="78"/>
  <c r="R51" i="78"/>
  <c r="P51" i="78"/>
  <c r="L51" i="78"/>
  <c r="H51" i="78"/>
  <c r="D51" i="78"/>
  <c r="B51" i="78"/>
  <c r="Z50" i="78"/>
  <c r="X50" i="78"/>
  <c r="N50" i="78"/>
  <c r="L50" i="78"/>
  <c r="B50" i="78"/>
  <c r="X49" i="78"/>
  <c r="T49" i="78"/>
  <c r="Z49" i="78" s="1"/>
  <c r="P49" i="78"/>
  <c r="H49" i="78"/>
  <c r="N49" i="78" s="1"/>
  <c r="D49" i="78"/>
  <c r="B49" i="78"/>
  <c r="X48" i="78"/>
  <c r="Z48" i="78" s="1"/>
  <c r="N48" i="78"/>
  <c r="L48" i="78"/>
  <c r="J48" i="78"/>
  <c r="B48" i="78"/>
  <c r="T47" i="78"/>
  <c r="P47" i="78"/>
  <c r="J47" i="78"/>
  <c r="H47" i="78"/>
  <c r="N47" i="78" s="1"/>
  <c r="D47" i="78"/>
  <c r="L47" i="78" s="1"/>
  <c r="B47" i="78"/>
  <c r="Z46" i="78"/>
  <c r="X46" i="78"/>
  <c r="R46" i="78"/>
  <c r="N46" i="78"/>
  <c r="L46" i="78"/>
  <c r="J46" i="78"/>
  <c r="B46" i="78"/>
  <c r="T45" i="78"/>
  <c r="Z45" i="78" s="1"/>
  <c r="P45" i="78"/>
  <c r="X45" i="78" s="1"/>
  <c r="L45" i="78"/>
  <c r="H45" i="78"/>
  <c r="N45" i="78" s="1"/>
  <c r="D45" i="78"/>
  <c r="B45" i="78"/>
  <c r="Z44" i="78"/>
  <c r="X44" i="78"/>
  <c r="L44" i="78"/>
  <c r="N44" i="78" s="1"/>
  <c r="B44" i="78"/>
  <c r="Z43" i="78"/>
  <c r="X43" i="78"/>
  <c r="N43" i="78"/>
  <c r="L43" i="78"/>
  <c r="F43" i="78"/>
  <c r="B43" i="78"/>
  <c r="T42" i="78"/>
  <c r="P42" i="78"/>
  <c r="N42" i="78"/>
  <c r="J42" i="78"/>
  <c r="H42" i="78"/>
  <c r="D42" i="78"/>
  <c r="L42" i="78" s="1"/>
  <c r="B42" i="78"/>
  <c r="X41" i="78"/>
  <c r="Z41" i="78" s="1"/>
  <c r="R41" i="78"/>
  <c r="N41" i="78"/>
  <c r="L41" i="78"/>
  <c r="J41" i="78"/>
  <c r="B41" i="78"/>
  <c r="T40" i="78"/>
  <c r="P40" i="78"/>
  <c r="X40" i="78" s="1"/>
  <c r="Z40" i="78" s="1"/>
  <c r="J40" i="78"/>
  <c r="H40" i="78"/>
  <c r="D40" i="78"/>
  <c r="L40" i="78" s="1"/>
  <c r="N40" i="78" s="1"/>
  <c r="B40" i="78"/>
  <c r="Z39" i="78"/>
  <c r="X39" i="78"/>
  <c r="R39" i="78"/>
  <c r="N39" i="78"/>
  <c r="L39" i="78"/>
  <c r="B39" i="78"/>
  <c r="Z38" i="78"/>
  <c r="X38" i="78"/>
  <c r="N38" i="78"/>
  <c r="L38" i="78"/>
  <c r="B38" i="78"/>
  <c r="Z37" i="78"/>
  <c r="X37" i="78"/>
  <c r="R37" i="78"/>
  <c r="N37" i="78"/>
  <c r="L37" i="78"/>
  <c r="J37" i="78"/>
  <c r="B37" i="78"/>
  <c r="Z36" i="78"/>
  <c r="X36" i="78"/>
  <c r="N36" i="78"/>
  <c r="L36" i="78"/>
  <c r="B36" i="78"/>
  <c r="Z35" i="78"/>
  <c r="X35" i="78"/>
  <c r="N35" i="78"/>
  <c r="L35" i="78"/>
  <c r="F35" i="78"/>
  <c r="B35" i="78"/>
  <c r="Z34" i="78"/>
  <c r="X34" i="78"/>
  <c r="R34" i="78"/>
  <c r="N34" i="78"/>
  <c r="L34" i="78"/>
  <c r="J34" i="78"/>
  <c r="B34" i="78"/>
  <c r="Z33" i="78"/>
  <c r="X33" i="78"/>
  <c r="N33" i="78"/>
  <c r="L33" i="78"/>
  <c r="B33" i="78"/>
  <c r="Z32" i="78"/>
  <c r="X32" i="78"/>
  <c r="N32" i="78"/>
  <c r="L32" i="78"/>
  <c r="J32" i="78"/>
  <c r="B32" i="78"/>
  <c r="Z31" i="78"/>
  <c r="X31" i="78"/>
  <c r="R31" i="78"/>
  <c r="L31" i="78"/>
  <c r="N31" i="78" s="1"/>
  <c r="B31" i="78"/>
  <c r="Z30" i="78"/>
  <c r="X30" i="78"/>
  <c r="V30" i="78"/>
  <c r="N30" i="78"/>
  <c r="L30" i="78"/>
  <c r="B30" i="78"/>
  <c r="X29" i="78"/>
  <c r="T29" i="78"/>
  <c r="P29" i="78"/>
  <c r="H29" i="78"/>
  <c r="D29" i="78"/>
  <c r="L29" i="78" s="1"/>
  <c r="B29" i="78"/>
  <c r="X28" i="78"/>
  <c r="Z28" i="78" s="1"/>
  <c r="N28" i="78"/>
  <c r="L28" i="78"/>
  <c r="J28" i="78"/>
  <c r="B28" i="78"/>
  <c r="Z27" i="78"/>
  <c r="X27" i="78"/>
  <c r="R27" i="78"/>
  <c r="L27" i="78"/>
  <c r="N27" i="78" s="1"/>
  <c r="B27" i="78"/>
  <c r="Z26" i="78"/>
  <c r="X26" i="78"/>
  <c r="V26" i="78"/>
  <c r="N26" i="78"/>
  <c r="L26" i="78"/>
  <c r="B26" i="78"/>
  <c r="Z25" i="78"/>
  <c r="X25" i="78"/>
  <c r="R25" i="78"/>
  <c r="N25" i="78"/>
  <c r="L25" i="78"/>
  <c r="J25" i="78"/>
  <c r="B25" i="78"/>
  <c r="Z24" i="78"/>
  <c r="X24" i="78"/>
  <c r="L24" i="78"/>
  <c r="N24" i="78" s="1"/>
  <c r="B24" i="78"/>
  <c r="X23" i="78"/>
  <c r="Z23" i="78" s="1"/>
  <c r="N23" i="78"/>
  <c r="L23" i="78"/>
  <c r="F23" i="78"/>
  <c r="B23" i="78"/>
  <c r="Z22" i="78"/>
  <c r="X22" i="78"/>
  <c r="R22" i="78"/>
  <c r="N22" i="78"/>
  <c r="L22" i="78"/>
  <c r="J22" i="78"/>
  <c r="B22" i="78"/>
  <c r="Z21" i="78"/>
  <c r="X21" i="78"/>
  <c r="R21" i="78"/>
  <c r="L21" i="78"/>
  <c r="N21" i="78" s="1"/>
  <c r="B21" i="78"/>
  <c r="X20" i="78"/>
  <c r="Z20" i="78" s="1"/>
  <c r="N20" i="78"/>
  <c r="L20" i="78"/>
  <c r="J20" i="78"/>
  <c r="B20" i="78"/>
  <c r="T19" i="78"/>
  <c r="P19" i="78"/>
  <c r="J19" i="78"/>
  <c r="H19" i="78"/>
  <c r="N19" i="78" s="1"/>
  <c r="D19" i="78"/>
  <c r="L19" i="78" s="1"/>
  <c r="B19" i="78"/>
  <c r="T18" i="78"/>
  <c r="R18" i="78"/>
  <c r="P18" i="78"/>
  <c r="X18" i="78" s="1"/>
  <c r="N18" i="78"/>
  <c r="J18" i="78"/>
  <c r="H18" i="78"/>
  <c r="D18" i="78"/>
  <c r="L18" i="78" s="1"/>
  <c r="V16" i="78"/>
  <c r="R16" i="78"/>
  <c r="P16" i="78"/>
  <c r="J16" i="78"/>
  <c r="F16" i="78"/>
  <c r="T14" i="78"/>
  <c r="Z14" i="78" s="1"/>
  <c r="R14" i="78"/>
  <c r="P14" i="78"/>
  <c r="N14" i="78"/>
  <c r="J14" i="78"/>
  <c r="H14" i="78"/>
  <c r="H16" i="78" s="1"/>
  <c r="D14" i="78"/>
  <c r="L14" i="78" s="1"/>
  <c r="T12" i="78"/>
  <c r="V66" i="78" s="1"/>
  <c r="P12" i="78"/>
  <c r="R64" i="78" s="1"/>
  <c r="N12" i="78"/>
  <c r="H12" i="78"/>
  <c r="D12" i="78"/>
  <c r="D6" i="78"/>
  <c r="D4" i="78"/>
  <c r="J33" i="77"/>
  <c r="F33" i="77"/>
  <c r="R30" i="77"/>
  <c r="Z28" i="77"/>
  <c r="X28" i="77"/>
  <c r="N28" i="77"/>
  <c r="L28" i="77"/>
  <c r="J26" i="77"/>
  <c r="F26" i="77"/>
  <c r="X24" i="77"/>
  <c r="T24" i="77"/>
  <c r="Z24" i="77" s="1"/>
  <c r="R24" i="77"/>
  <c r="P24" i="77"/>
  <c r="H24" i="77"/>
  <c r="N24" i="77" s="1"/>
  <c r="D24" i="77"/>
  <c r="Z22" i="77"/>
  <c r="X22" i="77"/>
  <c r="N22" i="77"/>
  <c r="L22" i="77"/>
  <c r="B22" i="77"/>
  <c r="X21" i="77"/>
  <c r="T21" i="77"/>
  <c r="Z21" i="77" s="1"/>
  <c r="R21" i="77"/>
  <c r="P21" i="77"/>
  <c r="L21" i="77"/>
  <c r="H21" i="77"/>
  <c r="N21" i="77" s="1"/>
  <c r="D21" i="77"/>
  <c r="B21" i="77"/>
  <c r="Z20" i="77"/>
  <c r="X20" i="77"/>
  <c r="V20" i="77"/>
  <c r="N20" i="77"/>
  <c r="L20" i="77"/>
  <c r="F20" i="77"/>
  <c r="B20" i="77"/>
  <c r="X19" i="77"/>
  <c r="T19" i="77"/>
  <c r="Z19" i="77" s="1"/>
  <c r="P19" i="77"/>
  <c r="H19" i="77"/>
  <c r="N19" i="77" s="1"/>
  <c r="D19" i="77"/>
  <c r="B19" i="77"/>
  <c r="X18" i="77"/>
  <c r="T18" i="77"/>
  <c r="Z18" i="77" s="1"/>
  <c r="R18" i="77"/>
  <c r="P18" i="77"/>
  <c r="H18" i="77"/>
  <c r="N18" i="77" s="1"/>
  <c r="D18" i="77"/>
  <c r="L18" i="77" s="1"/>
  <c r="P16" i="77"/>
  <c r="J16" i="77"/>
  <c r="F16" i="77"/>
  <c r="X14" i="77"/>
  <c r="T14" i="77"/>
  <c r="Z14" i="77" s="1"/>
  <c r="R14" i="77"/>
  <c r="P14" i="77"/>
  <c r="H14" i="77"/>
  <c r="N14" i="77" s="1"/>
  <c r="D14" i="77"/>
  <c r="L14" i="77" s="1"/>
  <c r="Z12" i="77"/>
  <c r="T12" i="77"/>
  <c r="V30" i="77" s="1"/>
  <c r="P12" i="77"/>
  <c r="R20" i="77" s="1"/>
  <c r="L12" i="77"/>
  <c r="H12" i="77"/>
  <c r="J28" i="77" s="1"/>
  <c r="D12" i="77"/>
  <c r="F30" i="77" s="1"/>
  <c r="D6" i="77"/>
  <c r="D4" i="77"/>
  <c r="Z93" i="76"/>
  <c r="X93" i="76"/>
  <c r="L93" i="76"/>
  <c r="N93" i="76" s="1"/>
  <c r="J93" i="76"/>
  <c r="Z89" i="76"/>
  <c r="V89" i="76"/>
  <c r="P89" i="76"/>
  <c r="P88" i="76" s="1"/>
  <c r="X88" i="76" s="1"/>
  <c r="N89" i="76"/>
  <c r="D89" i="76"/>
  <c r="L89" i="76" s="1"/>
  <c r="B89" i="76"/>
  <c r="Z88" i="76"/>
  <c r="T88" i="76"/>
  <c r="H88" i="76"/>
  <c r="N88" i="76" s="1"/>
  <c r="Z86" i="76"/>
  <c r="X86" i="76"/>
  <c r="L86" i="76"/>
  <c r="N86" i="76" s="1"/>
  <c r="B86" i="76"/>
  <c r="V85" i="76"/>
  <c r="T85" i="76"/>
  <c r="P85" i="76"/>
  <c r="X85" i="76" s="1"/>
  <c r="Z85" i="76" s="1"/>
  <c r="L85" i="76"/>
  <c r="H85" i="76"/>
  <c r="N85" i="76" s="1"/>
  <c r="D85" i="76"/>
  <c r="B85" i="76"/>
  <c r="Z84" i="76"/>
  <c r="X84" i="76"/>
  <c r="V84" i="76"/>
  <c r="L84" i="76"/>
  <c r="N84" i="76" s="1"/>
  <c r="B84" i="76"/>
  <c r="X83" i="76"/>
  <c r="T83" i="76"/>
  <c r="Z83" i="76" s="1"/>
  <c r="P83" i="76"/>
  <c r="H83" i="76"/>
  <c r="D83" i="76"/>
  <c r="B83" i="76"/>
  <c r="X82" i="76"/>
  <c r="Z82" i="76" s="1"/>
  <c r="N82" i="76"/>
  <c r="L82" i="76"/>
  <c r="B82" i="76"/>
  <c r="T81" i="76"/>
  <c r="Z81" i="76" s="1"/>
  <c r="P81" i="76"/>
  <c r="X81" i="76" s="1"/>
  <c r="N81" i="76"/>
  <c r="H81" i="76"/>
  <c r="D81" i="76"/>
  <c r="L81" i="76" s="1"/>
  <c r="B81" i="76"/>
  <c r="X80" i="76"/>
  <c r="Z80" i="76" s="1"/>
  <c r="N80" i="76"/>
  <c r="L80" i="76"/>
  <c r="J80" i="76"/>
  <c r="B80" i="76"/>
  <c r="Z79" i="76"/>
  <c r="X79" i="76"/>
  <c r="N79" i="76"/>
  <c r="L79" i="76"/>
  <c r="B79" i="76"/>
  <c r="X78" i="76"/>
  <c r="Z78" i="76" s="1"/>
  <c r="N78" i="76"/>
  <c r="L78" i="76"/>
  <c r="B78" i="76"/>
  <c r="Z77" i="76"/>
  <c r="X77" i="76"/>
  <c r="L77" i="76"/>
  <c r="N77" i="76" s="1"/>
  <c r="J77" i="76"/>
  <c r="B77" i="76"/>
  <c r="Z76" i="76"/>
  <c r="X76" i="76"/>
  <c r="V76" i="76"/>
  <c r="L76" i="76"/>
  <c r="N76" i="76" s="1"/>
  <c r="B76" i="76"/>
  <c r="X75" i="76"/>
  <c r="Z75" i="76" s="1"/>
  <c r="N75" i="76"/>
  <c r="L75" i="76"/>
  <c r="B75" i="76"/>
  <c r="Z74" i="76"/>
  <c r="X74" i="76"/>
  <c r="R74" i="76"/>
  <c r="L74" i="76"/>
  <c r="N74" i="76" s="1"/>
  <c r="B74" i="76"/>
  <c r="X73" i="76"/>
  <c r="Z73" i="76" s="1"/>
  <c r="V73" i="76"/>
  <c r="N73" i="76"/>
  <c r="L73" i="76"/>
  <c r="B73" i="76"/>
  <c r="X72" i="76"/>
  <c r="T72" i="76"/>
  <c r="P72" i="76"/>
  <c r="H72" i="76"/>
  <c r="D72" i="76"/>
  <c r="B72" i="76"/>
  <c r="X71" i="76"/>
  <c r="Z71" i="76" s="1"/>
  <c r="N71" i="76"/>
  <c r="L71" i="76"/>
  <c r="B71" i="76"/>
  <c r="T70" i="76"/>
  <c r="P70" i="76"/>
  <c r="X70" i="76" s="1"/>
  <c r="J70" i="76"/>
  <c r="H70" i="76"/>
  <c r="D70" i="76"/>
  <c r="L70" i="76" s="1"/>
  <c r="N70" i="76" s="1"/>
  <c r="B70" i="76"/>
  <c r="Z69" i="76"/>
  <c r="X69" i="76"/>
  <c r="N69" i="76"/>
  <c r="L69" i="76"/>
  <c r="J69" i="76"/>
  <c r="B69" i="76"/>
  <c r="Z68" i="76"/>
  <c r="X68" i="76"/>
  <c r="V68" i="76"/>
  <c r="L68" i="76"/>
  <c r="N68" i="76" s="1"/>
  <c r="B68" i="76"/>
  <c r="Z67" i="76"/>
  <c r="X67" i="76"/>
  <c r="N67" i="76"/>
  <c r="L67" i="76"/>
  <c r="B67" i="76"/>
  <c r="Z66" i="76"/>
  <c r="X66" i="76"/>
  <c r="L66" i="76"/>
  <c r="N66" i="76" s="1"/>
  <c r="B66" i="76"/>
  <c r="V65" i="76"/>
  <c r="T65" i="76"/>
  <c r="Z65" i="76" s="1"/>
  <c r="P65" i="76"/>
  <c r="X65" i="76" s="1"/>
  <c r="L65" i="76"/>
  <c r="H65" i="76"/>
  <c r="N65" i="76" s="1"/>
  <c r="D65" i="76"/>
  <c r="B65" i="76"/>
  <c r="Z64" i="76"/>
  <c r="X64" i="76"/>
  <c r="V64" i="76"/>
  <c r="L64" i="76"/>
  <c r="N64" i="76" s="1"/>
  <c r="B64" i="76"/>
  <c r="X63" i="76"/>
  <c r="Z63" i="76" s="1"/>
  <c r="N63" i="76"/>
  <c r="L63" i="76"/>
  <c r="B63" i="76"/>
  <c r="T62" i="76"/>
  <c r="P62" i="76"/>
  <c r="J62" i="76"/>
  <c r="H62" i="76"/>
  <c r="D62" i="76"/>
  <c r="L62" i="76" s="1"/>
  <c r="N62" i="76" s="1"/>
  <c r="B62" i="76"/>
  <c r="Z61" i="76"/>
  <c r="X61" i="76"/>
  <c r="L61" i="76"/>
  <c r="N61" i="76" s="1"/>
  <c r="J61" i="76"/>
  <c r="B61" i="76"/>
  <c r="V60" i="76"/>
  <c r="T60" i="76"/>
  <c r="P60" i="76"/>
  <c r="X60" i="76" s="1"/>
  <c r="Z60" i="76" s="1"/>
  <c r="L60" i="76"/>
  <c r="H60" i="76"/>
  <c r="N60" i="76" s="1"/>
  <c r="D60" i="76"/>
  <c r="B60" i="76"/>
  <c r="Z59" i="76"/>
  <c r="X59" i="76"/>
  <c r="N59" i="76"/>
  <c r="L59" i="76"/>
  <c r="B59" i="76"/>
  <c r="X58" i="76"/>
  <c r="T58" i="76"/>
  <c r="Z58" i="76" s="1"/>
  <c r="P58" i="76"/>
  <c r="L58" i="76"/>
  <c r="H58" i="76"/>
  <c r="N58" i="76" s="1"/>
  <c r="D58" i="76"/>
  <c r="B58" i="76"/>
  <c r="X57" i="76"/>
  <c r="Z57" i="76" s="1"/>
  <c r="V57" i="76"/>
  <c r="N57" i="76"/>
  <c r="L57" i="76"/>
  <c r="B57" i="76"/>
  <c r="X56" i="76"/>
  <c r="T56" i="76"/>
  <c r="P56" i="76"/>
  <c r="H56" i="76"/>
  <c r="D56" i="76"/>
  <c r="L56" i="76" s="1"/>
  <c r="B56" i="76"/>
  <c r="X55" i="76"/>
  <c r="Z55" i="76" s="1"/>
  <c r="N55" i="76"/>
  <c r="L55" i="76"/>
  <c r="B55" i="76"/>
  <c r="Z54" i="76"/>
  <c r="X54" i="76"/>
  <c r="N54" i="76"/>
  <c r="L54" i="76"/>
  <c r="B54" i="76"/>
  <c r="V53" i="76"/>
  <c r="T53" i="76"/>
  <c r="P53" i="76"/>
  <c r="X53" i="76" s="1"/>
  <c r="Z53" i="76" s="1"/>
  <c r="L53" i="76"/>
  <c r="N53" i="76" s="1"/>
  <c r="H53" i="76"/>
  <c r="D53" i="76"/>
  <c r="B53" i="76"/>
  <c r="X52" i="76"/>
  <c r="Z52" i="76" s="1"/>
  <c r="V52" i="76"/>
  <c r="L52" i="76"/>
  <c r="N52" i="76" s="1"/>
  <c r="B52" i="76"/>
  <c r="X51" i="76"/>
  <c r="Z51" i="76" s="1"/>
  <c r="T51" i="76"/>
  <c r="P51" i="76"/>
  <c r="H51" i="76"/>
  <c r="D51" i="76"/>
  <c r="B51" i="76"/>
  <c r="Z50" i="76"/>
  <c r="X50" i="76"/>
  <c r="N50" i="76"/>
  <c r="L50" i="76"/>
  <c r="F50" i="76"/>
  <c r="B50" i="76"/>
  <c r="T49" i="76"/>
  <c r="Z49" i="76" s="1"/>
  <c r="P49" i="76"/>
  <c r="N49" i="76"/>
  <c r="H49" i="76"/>
  <c r="D49" i="76"/>
  <c r="L49" i="76" s="1"/>
  <c r="B49" i="76"/>
  <c r="Z48" i="76"/>
  <c r="X48" i="76"/>
  <c r="N48" i="76"/>
  <c r="L48" i="76"/>
  <c r="J48" i="76"/>
  <c r="B48" i="76"/>
  <c r="Z47" i="76"/>
  <c r="T47" i="76"/>
  <c r="P47" i="76"/>
  <c r="X47" i="76" s="1"/>
  <c r="J47" i="76"/>
  <c r="H47" i="76"/>
  <c r="N47" i="76" s="1"/>
  <c r="D47" i="76"/>
  <c r="L47" i="76" s="1"/>
  <c r="B47" i="76"/>
  <c r="Z46" i="76"/>
  <c r="X46" i="76"/>
  <c r="N46" i="76"/>
  <c r="L46" i="76"/>
  <c r="B46" i="76"/>
  <c r="Z45" i="76"/>
  <c r="X45" i="76"/>
  <c r="V45" i="76"/>
  <c r="N45" i="76"/>
  <c r="L45" i="76"/>
  <c r="B45" i="76"/>
  <c r="X44" i="76"/>
  <c r="Z44" i="76" s="1"/>
  <c r="N44" i="76"/>
  <c r="L44" i="76"/>
  <c r="J44" i="76"/>
  <c r="B44" i="76"/>
  <c r="Z43" i="76"/>
  <c r="X43" i="76"/>
  <c r="N43" i="76"/>
  <c r="L43" i="76"/>
  <c r="B43" i="76"/>
  <c r="Z42" i="76"/>
  <c r="X42" i="76"/>
  <c r="N42" i="76"/>
  <c r="L42" i="76"/>
  <c r="B42" i="76"/>
  <c r="Z41" i="76"/>
  <c r="X41" i="76"/>
  <c r="L41" i="76"/>
  <c r="N41" i="76" s="1"/>
  <c r="J41" i="76"/>
  <c r="B41" i="76"/>
  <c r="Z40" i="76"/>
  <c r="X40" i="76"/>
  <c r="V40" i="76"/>
  <c r="N40" i="76"/>
  <c r="L40" i="76"/>
  <c r="B40" i="76"/>
  <c r="Z39" i="76"/>
  <c r="X39" i="76"/>
  <c r="N39" i="76"/>
  <c r="L39" i="76"/>
  <c r="J39" i="76"/>
  <c r="B39" i="76"/>
  <c r="Z38" i="76"/>
  <c r="X38" i="76"/>
  <c r="L38" i="76"/>
  <c r="N38" i="76" s="1"/>
  <c r="B38" i="76"/>
  <c r="Z37" i="76"/>
  <c r="X37" i="76"/>
  <c r="V37" i="76"/>
  <c r="N37" i="76"/>
  <c r="L37" i="76"/>
  <c r="B37" i="76"/>
  <c r="X36" i="76"/>
  <c r="T36" i="76"/>
  <c r="P36" i="76"/>
  <c r="H36" i="76"/>
  <c r="D36" i="76"/>
  <c r="B36" i="76"/>
  <c r="Z35" i="76"/>
  <c r="X35" i="76"/>
  <c r="N35" i="76"/>
  <c r="L35" i="76"/>
  <c r="J35" i="76"/>
  <c r="B35" i="76"/>
  <c r="Z34" i="76"/>
  <c r="X34" i="76"/>
  <c r="L34" i="76"/>
  <c r="N34" i="76" s="1"/>
  <c r="B34" i="76"/>
  <c r="Z33" i="76"/>
  <c r="X33" i="76"/>
  <c r="V33" i="76"/>
  <c r="N33" i="76"/>
  <c r="L33" i="76"/>
  <c r="B33" i="76"/>
  <c r="Z32" i="76"/>
  <c r="X32" i="76"/>
  <c r="N32" i="76"/>
  <c r="L32" i="76"/>
  <c r="J32" i="76"/>
  <c r="B32" i="76"/>
  <c r="Z31" i="76"/>
  <c r="X31" i="76"/>
  <c r="V31" i="76"/>
  <c r="L31" i="76"/>
  <c r="N31" i="76" s="1"/>
  <c r="B31" i="76"/>
  <c r="X30" i="76"/>
  <c r="Z30" i="76" s="1"/>
  <c r="N30" i="76"/>
  <c r="L30" i="76"/>
  <c r="B30" i="76"/>
  <c r="Z29" i="76"/>
  <c r="X29" i="76"/>
  <c r="N29" i="76"/>
  <c r="L29" i="76"/>
  <c r="J29" i="76"/>
  <c r="B29" i="76"/>
  <c r="Z28" i="76"/>
  <c r="X28" i="76"/>
  <c r="V28" i="76"/>
  <c r="L28" i="76"/>
  <c r="N28" i="76" s="1"/>
  <c r="B28" i="76"/>
  <c r="X27" i="76"/>
  <c r="Z27" i="76" s="1"/>
  <c r="N27" i="76"/>
  <c r="L27" i="76"/>
  <c r="J27" i="76"/>
  <c r="B27" i="76"/>
  <c r="T26" i="76"/>
  <c r="P26" i="76"/>
  <c r="X26" i="76" s="1"/>
  <c r="J26" i="76"/>
  <c r="H26" i="76"/>
  <c r="D26" i="76"/>
  <c r="L26" i="76" s="1"/>
  <c r="B26" i="76"/>
  <c r="T25" i="76"/>
  <c r="P25" i="76"/>
  <c r="X25" i="76" s="1"/>
  <c r="J25" i="76"/>
  <c r="H25" i="76"/>
  <c r="D25" i="76"/>
  <c r="L25" i="76" s="1"/>
  <c r="N25" i="76" s="1"/>
  <c r="Z21" i="76"/>
  <c r="X21" i="76"/>
  <c r="N21" i="76"/>
  <c r="L21" i="76"/>
  <c r="J21" i="76"/>
  <c r="B21" i="76"/>
  <c r="Z20" i="76"/>
  <c r="X20" i="76"/>
  <c r="V20" i="76"/>
  <c r="N20" i="76"/>
  <c r="L20" i="76"/>
  <c r="B20" i="76"/>
  <c r="X19" i="76"/>
  <c r="Z19" i="76" s="1"/>
  <c r="N19" i="76"/>
  <c r="L19" i="76"/>
  <c r="J19" i="76"/>
  <c r="B19" i="76"/>
  <c r="T18" i="76"/>
  <c r="P18" i="76"/>
  <c r="J18" i="76"/>
  <c r="H18" i="76"/>
  <c r="D18" i="76"/>
  <c r="L18" i="76" s="1"/>
  <c r="N18" i="76" s="1"/>
  <c r="Z16" i="76"/>
  <c r="X16" i="76"/>
  <c r="P16" i="76"/>
  <c r="N16" i="76"/>
  <c r="L16" i="76"/>
  <c r="D16" i="76"/>
  <c r="B16" i="76"/>
  <c r="P15" i="76"/>
  <c r="X15" i="76" s="1"/>
  <c r="Z15" i="76" s="1"/>
  <c r="D15" i="76"/>
  <c r="L15" i="76" s="1"/>
  <c r="N15" i="76" s="1"/>
  <c r="B15" i="76"/>
  <c r="Z14" i="76"/>
  <c r="X14" i="76"/>
  <c r="P14" i="76"/>
  <c r="N14" i="76"/>
  <c r="L14" i="76"/>
  <c r="D14" i="76"/>
  <c r="B14" i="76"/>
  <c r="P13" i="76"/>
  <c r="X13" i="76" s="1"/>
  <c r="Z13" i="76" s="1"/>
  <c r="L13" i="76"/>
  <c r="N13" i="76" s="1"/>
  <c r="D13" i="76"/>
  <c r="D12" i="76" s="1"/>
  <c r="B13" i="76"/>
  <c r="T12" i="76"/>
  <c r="V83" i="76" s="1"/>
  <c r="P12" i="76"/>
  <c r="R38" i="76" s="1"/>
  <c r="H12" i="76"/>
  <c r="D6" i="76"/>
  <c r="D4" i="76"/>
  <c r="X34" i="75"/>
  <c r="Z34" i="75" s="1"/>
  <c r="N34" i="75"/>
  <c r="L34" i="75"/>
  <c r="J34" i="75"/>
  <c r="Z30" i="75"/>
  <c r="V30" i="75"/>
  <c r="T30" i="75"/>
  <c r="P30" i="75"/>
  <c r="X30" i="75" s="1"/>
  <c r="L30" i="75"/>
  <c r="H30" i="75"/>
  <c r="N30" i="75" s="1"/>
  <c r="D30" i="75"/>
  <c r="Z28" i="75"/>
  <c r="X28" i="75"/>
  <c r="N28" i="75"/>
  <c r="L28" i="75"/>
  <c r="J28" i="75"/>
  <c r="B28" i="75"/>
  <c r="Z27" i="75"/>
  <c r="V27" i="75"/>
  <c r="T27" i="75"/>
  <c r="P27" i="75"/>
  <c r="X27" i="75" s="1"/>
  <c r="N27" i="75"/>
  <c r="L27" i="75"/>
  <c r="J27" i="75"/>
  <c r="H27" i="75"/>
  <c r="D27" i="75"/>
  <c r="B27" i="75"/>
  <c r="Z26" i="75"/>
  <c r="X26" i="75"/>
  <c r="R26" i="75"/>
  <c r="L26" i="75"/>
  <c r="N26" i="75" s="1"/>
  <c r="B26" i="75"/>
  <c r="X25" i="75"/>
  <c r="Z25" i="75" s="1"/>
  <c r="V25" i="75"/>
  <c r="T25" i="75"/>
  <c r="P25" i="75"/>
  <c r="L25" i="75"/>
  <c r="H25" i="75"/>
  <c r="D25" i="75"/>
  <c r="B25" i="75"/>
  <c r="V24" i="75"/>
  <c r="T24" i="75"/>
  <c r="Z24" i="75" s="1"/>
  <c r="P24" i="75"/>
  <c r="X24" i="75" s="1"/>
  <c r="L24" i="75"/>
  <c r="H24" i="75"/>
  <c r="N24" i="75" s="1"/>
  <c r="D24" i="75"/>
  <c r="T22" i="75"/>
  <c r="Z20" i="75"/>
  <c r="X20" i="75"/>
  <c r="V20" i="75"/>
  <c r="N20" i="75"/>
  <c r="L20" i="75"/>
  <c r="B20" i="75"/>
  <c r="Z19" i="75"/>
  <c r="X19" i="75"/>
  <c r="N19" i="75"/>
  <c r="L19" i="75"/>
  <c r="B19" i="75"/>
  <c r="Z18" i="75"/>
  <c r="X18" i="75"/>
  <c r="V18" i="75"/>
  <c r="R18" i="75"/>
  <c r="L18" i="75"/>
  <c r="N18" i="75" s="1"/>
  <c r="B18" i="75"/>
  <c r="V17" i="75"/>
  <c r="T17" i="75"/>
  <c r="P17" i="75"/>
  <c r="X17" i="75" s="1"/>
  <c r="Z17" i="75" s="1"/>
  <c r="L17" i="75"/>
  <c r="H17" i="75"/>
  <c r="N17" i="75" s="1"/>
  <c r="D17" i="75"/>
  <c r="Z15" i="75"/>
  <c r="X15" i="75"/>
  <c r="P15" i="75"/>
  <c r="N15" i="75"/>
  <c r="D15" i="75"/>
  <c r="L15" i="75" s="1"/>
  <c r="B15" i="75"/>
  <c r="Z14" i="75"/>
  <c r="X14" i="75"/>
  <c r="P14" i="75"/>
  <c r="N14" i="75"/>
  <c r="L14" i="75"/>
  <c r="D14" i="75"/>
  <c r="B14" i="75"/>
  <c r="P13" i="75"/>
  <c r="X13" i="75" s="1"/>
  <c r="Z13" i="75" s="1"/>
  <c r="D13" i="75"/>
  <c r="B13" i="75"/>
  <c r="X12" i="75"/>
  <c r="Z12" i="75" s="1"/>
  <c r="T12" i="75"/>
  <c r="V19" i="75" s="1"/>
  <c r="P12" i="75"/>
  <c r="R20" i="75" s="1"/>
  <c r="H12" i="75"/>
  <c r="H22" i="75" s="1"/>
  <c r="D6" i="75"/>
  <c r="D4" i="75"/>
  <c r="X92" i="74"/>
  <c r="Z92" i="74" s="1"/>
  <c r="N92" i="74"/>
  <c r="L92" i="74"/>
  <c r="Z88" i="74"/>
  <c r="T88" i="74"/>
  <c r="P88" i="74"/>
  <c r="X88" i="74" s="1"/>
  <c r="H88" i="74"/>
  <c r="N88" i="74" s="1"/>
  <c r="D88" i="74"/>
  <c r="L88" i="74" s="1"/>
  <c r="X86" i="74"/>
  <c r="Z86" i="74" s="1"/>
  <c r="N86" i="74"/>
  <c r="L86" i="74"/>
  <c r="B86" i="74"/>
  <c r="T85" i="74"/>
  <c r="P85" i="74"/>
  <c r="N85" i="74"/>
  <c r="H85" i="74"/>
  <c r="D85" i="74"/>
  <c r="L85" i="74" s="1"/>
  <c r="B85" i="74"/>
  <c r="X84" i="74"/>
  <c r="Z84" i="74" s="1"/>
  <c r="N84" i="74"/>
  <c r="L84" i="74"/>
  <c r="B84" i="74"/>
  <c r="Z83" i="74"/>
  <c r="X83" i="74"/>
  <c r="N83" i="74"/>
  <c r="L83" i="74"/>
  <c r="B83" i="74"/>
  <c r="X82" i="74"/>
  <c r="T82" i="74"/>
  <c r="Z82" i="74" s="1"/>
  <c r="P82" i="74"/>
  <c r="L82" i="74"/>
  <c r="H82" i="74"/>
  <c r="N82" i="74" s="1"/>
  <c r="D82" i="74"/>
  <c r="B82" i="74"/>
  <c r="Z81" i="74"/>
  <c r="X81" i="74"/>
  <c r="N81" i="74"/>
  <c r="L81" i="74"/>
  <c r="B81" i="74"/>
  <c r="X80" i="74"/>
  <c r="T80" i="74"/>
  <c r="Z80" i="74" s="1"/>
  <c r="P80" i="74"/>
  <c r="H80" i="74"/>
  <c r="D80" i="74"/>
  <c r="B80" i="74"/>
  <c r="Z79" i="74"/>
  <c r="X79" i="74"/>
  <c r="N79" i="74"/>
  <c r="L79" i="74"/>
  <c r="B79" i="74"/>
  <c r="Z78" i="74"/>
  <c r="X78" i="74"/>
  <c r="R78" i="74"/>
  <c r="L78" i="74"/>
  <c r="N78" i="74" s="1"/>
  <c r="B78" i="74"/>
  <c r="Z77" i="74"/>
  <c r="X77" i="74"/>
  <c r="N77" i="74"/>
  <c r="L77" i="74"/>
  <c r="B77" i="74"/>
  <c r="X76" i="74"/>
  <c r="T76" i="74"/>
  <c r="Z76" i="74" s="1"/>
  <c r="P76" i="74"/>
  <c r="H76" i="74"/>
  <c r="D76" i="74"/>
  <c r="B76" i="74"/>
  <c r="X75" i="74"/>
  <c r="Z75" i="74" s="1"/>
  <c r="N75" i="74"/>
  <c r="L75" i="74"/>
  <c r="B75" i="74"/>
  <c r="Z74" i="74"/>
  <c r="X74" i="74"/>
  <c r="N74" i="74"/>
  <c r="L74" i="74"/>
  <c r="B74" i="74"/>
  <c r="T73" i="74"/>
  <c r="P73" i="74"/>
  <c r="X73" i="74" s="1"/>
  <c r="Z73" i="74" s="1"/>
  <c r="L73" i="74"/>
  <c r="N73" i="74" s="1"/>
  <c r="H73" i="74"/>
  <c r="D73" i="74"/>
  <c r="B73" i="74"/>
  <c r="Z72" i="74"/>
  <c r="X72" i="74"/>
  <c r="N72" i="74"/>
  <c r="L72" i="74"/>
  <c r="B72" i="74"/>
  <c r="X71" i="74"/>
  <c r="Z71" i="74" s="1"/>
  <c r="N71" i="74"/>
  <c r="L71" i="74"/>
  <c r="B71" i="74"/>
  <c r="T70" i="74"/>
  <c r="P70" i="74"/>
  <c r="J70" i="74"/>
  <c r="H70" i="74"/>
  <c r="D70" i="74"/>
  <c r="L70" i="74" s="1"/>
  <c r="B70" i="74"/>
  <c r="Z69" i="74"/>
  <c r="X69" i="74"/>
  <c r="N69" i="74"/>
  <c r="L69" i="74"/>
  <c r="B69" i="74"/>
  <c r="X68" i="74"/>
  <c r="Z68" i="74" s="1"/>
  <c r="L68" i="74"/>
  <c r="N68" i="74" s="1"/>
  <c r="B68" i="74"/>
  <c r="X67" i="74"/>
  <c r="Z67" i="74" s="1"/>
  <c r="T67" i="74"/>
  <c r="P67" i="74"/>
  <c r="H67" i="74"/>
  <c r="L67" i="74" s="1"/>
  <c r="D67" i="74"/>
  <c r="B67" i="74"/>
  <c r="X66" i="74"/>
  <c r="Z66" i="74" s="1"/>
  <c r="N66" i="74"/>
  <c r="L66" i="74"/>
  <c r="B66" i="74"/>
  <c r="Z65" i="74"/>
  <c r="T65" i="74"/>
  <c r="X65" i="74" s="1"/>
  <c r="P65" i="74"/>
  <c r="N65" i="74"/>
  <c r="H65" i="74"/>
  <c r="D65" i="74"/>
  <c r="L65" i="74" s="1"/>
  <c r="B65" i="74"/>
  <c r="X64" i="74"/>
  <c r="Z64" i="74" s="1"/>
  <c r="N64" i="74"/>
  <c r="L64" i="74"/>
  <c r="B64" i="74"/>
  <c r="Z63" i="74"/>
  <c r="T63" i="74"/>
  <c r="P63" i="74"/>
  <c r="X63" i="74" s="1"/>
  <c r="N63" i="74"/>
  <c r="J63" i="74"/>
  <c r="H63" i="74"/>
  <c r="D63" i="74"/>
  <c r="L63" i="74" s="1"/>
  <c r="B63" i="74"/>
  <c r="Z62" i="74"/>
  <c r="X62" i="74"/>
  <c r="L62" i="74"/>
  <c r="N62" i="74" s="1"/>
  <c r="B62" i="74"/>
  <c r="T61" i="74"/>
  <c r="P61" i="74"/>
  <c r="X61" i="74" s="1"/>
  <c r="Z61" i="74" s="1"/>
  <c r="L61" i="74"/>
  <c r="H61" i="74"/>
  <c r="D61" i="74"/>
  <c r="B61" i="74"/>
  <c r="Z60" i="74"/>
  <c r="X60" i="74"/>
  <c r="L60" i="74"/>
  <c r="N60" i="74" s="1"/>
  <c r="B60" i="74"/>
  <c r="X59" i="74"/>
  <c r="T59" i="74"/>
  <c r="Z59" i="74" s="1"/>
  <c r="P59" i="74"/>
  <c r="N59" i="74"/>
  <c r="H59" i="74"/>
  <c r="L59" i="74" s="1"/>
  <c r="D59" i="74"/>
  <c r="B59" i="74"/>
  <c r="Z58" i="74"/>
  <c r="X58" i="74"/>
  <c r="N58" i="74"/>
  <c r="L58" i="74"/>
  <c r="B58" i="74"/>
  <c r="Z57" i="74"/>
  <c r="X57" i="74"/>
  <c r="N57" i="74"/>
  <c r="L57" i="74"/>
  <c r="B57" i="74"/>
  <c r="T56" i="74"/>
  <c r="P56" i="74"/>
  <c r="X56" i="74" s="1"/>
  <c r="Z56" i="74" s="1"/>
  <c r="N56" i="74"/>
  <c r="L56" i="74"/>
  <c r="H56" i="74"/>
  <c r="D56" i="74"/>
  <c r="B56" i="74"/>
  <c r="Z55" i="74"/>
  <c r="X55" i="74"/>
  <c r="L55" i="74"/>
  <c r="N55" i="74" s="1"/>
  <c r="B55" i="74"/>
  <c r="X54" i="74"/>
  <c r="Z54" i="74" s="1"/>
  <c r="T54" i="74"/>
  <c r="R54" i="74"/>
  <c r="P54" i="74"/>
  <c r="L54" i="74"/>
  <c r="N54" i="74" s="1"/>
  <c r="H54" i="74"/>
  <c r="D54" i="74"/>
  <c r="B54" i="74"/>
  <c r="X53" i="74"/>
  <c r="Z53" i="74" s="1"/>
  <c r="L53" i="74"/>
  <c r="N53" i="74" s="1"/>
  <c r="B53" i="74"/>
  <c r="V52" i="74"/>
  <c r="T52" i="74"/>
  <c r="Z52" i="74" s="1"/>
  <c r="P52" i="74"/>
  <c r="X52" i="74" s="1"/>
  <c r="L52" i="74"/>
  <c r="H52" i="74"/>
  <c r="N52" i="74" s="1"/>
  <c r="D52" i="74"/>
  <c r="B52" i="74"/>
  <c r="Z51" i="74"/>
  <c r="X51" i="74"/>
  <c r="L51" i="74"/>
  <c r="N51" i="74" s="1"/>
  <c r="B51" i="74"/>
  <c r="X50" i="74"/>
  <c r="T50" i="74"/>
  <c r="Z50" i="74" s="1"/>
  <c r="R50" i="74"/>
  <c r="P50" i="74"/>
  <c r="L50" i="74"/>
  <c r="H50" i="74"/>
  <c r="N50" i="74" s="1"/>
  <c r="D50" i="74"/>
  <c r="B50" i="74"/>
  <c r="X49" i="74"/>
  <c r="Z49" i="74" s="1"/>
  <c r="N49" i="74"/>
  <c r="L49" i="74"/>
  <c r="B49" i="74"/>
  <c r="X48" i="74"/>
  <c r="T48" i="74"/>
  <c r="Z48" i="74" s="1"/>
  <c r="P48" i="74"/>
  <c r="H48" i="74"/>
  <c r="D48" i="74"/>
  <c r="L48" i="74" s="1"/>
  <c r="N48" i="74" s="1"/>
  <c r="B48" i="74"/>
  <c r="Z47" i="74"/>
  <c r="X47" i="74"/>
  <c r="N47" i="74"/>
  <c r="L47" i="74"/>
  <c r="B47" i="74"/>
  <c r="Z46" i="74"/>
  <c r="X46" i="74"/>
  <c r="N46" i="74"/>
  <c r="L46" i="74"/>
  <c r="B46" i="74"/>
  <c r="X45" i="74"/>
  <c r="Z45" i="74" s="1"/>
  <c r="N45" i="74"/>
  <c r="L45" i="74"/>
  <c r="B45" i="74"/>
  <c r="X44" i="74"/>
  <c r="Z44" i="74" s="1"/>
  <c r="N44" i="74"/>
  <c r="L44" i="74"/>
  <c r="J44" i="74"/>
  <c r="B44" i="74"/>
  <c r="Z43" i="74"/>
  <c r="X43" i="74"/>
  <c r="N43" i="74"/>
  <c r="L43" i="74"/>
  <c r="B43" i="74"/>
  <c r="Z42" i="74"/>
  <c r="X42" i="74"/>
  <c r="N42" i="74"/>
  <c r="L42" i="74"/>
  <c r="B42" i="74"/>
  <c r="Z41" i="74"/>
  <c r="X41" i="74"/>
  <c r="R41" i="74"/>
  <c r="L41" i="74"/>
  <c r="N41" i="74" s="1"/>
  <c r="J41" i="74"/>
  <c r="B41" i="74"/>
  <c r="Z40" i="74"/>
  <c r="X40" i="74"/>
  <c r="V40" i="74"/>
  <c r="N40" i="74"/>
  <c r="L40" i="74"/>
  <c r="B40" i="74"/>
  <c r="X39" i="74"/>
  <c r="Z39" i="74" s="1"/>
  <c r="N39" i="74"/>
  <c r="L39" i="74"/>
  <c r="B39" i="74"/>
  <c r="Z38" i="74"/>
  <c r="X38" i="74"/>
  <c r="N38" i="74"/>
  <c r="L38" i="74"/>
  <c r="B38" i="74"/>
  <c r="X37" i="74"/>
  <c r="Z37" i="74" s="1"/>
  <c r="T37" i="74"/>
  <c r="P37" i="74"/>
  <c r="L37" i="74"/>
  <c r="H37" i="74"/>
  <c r="D37" i="74"/>
  <c r="B37" i="74"/>
  <c r="Z36" i="74"/>
  <c r="X36" i="74"/>
  <c r="V36" i="74"/>
  <c r="N36" i="74"/>
  <c r="L36" i="74"/>
  <c r="B36" i="74"/>
  <c r="X35" i="74"/>
  <c r="Z35" i="74" s="1"/>
  <c r="N35" i="74"/>
  <c r="L35" i="74"/>
  <c r="J35" i="74"/>
  <c r="B35" i="74"/>
  <c r="Z34" i="74"/>
  <c r="X34" i="74"/>
  <c r="L34" i="74"/>
  <c r="N34" i="74" s="1"/>
  <c r="B34" i="74"/>
  <c r="Z33" i="74"/>
  <c r="X33" i="74"/>
  <c r="N33" i="74"/>
  <c r="L33" i="74"/>
  <c r="B33" i="74"/>
  <c r="X32" i="74"/>
  <c r="Z32" i="74" s="1"/>
  <c r="N32" i="74"/>
  <c r="L32" i="74"/>
  <c r="J32" i="74"/>
  <c r="B32" i="74"/>
  <c r="Z31" i="74"/>
  <c r="X31" i="74"/>
  <c r="L31" i="74"/>
  <c r="N31" i="74" s="1"/>
  <c r="B31" i="74"/>
  <c r="X30" i="74"/>
  <c r="Z30" i="74" s="1"/>
  <c r="N30" i="74"/>
  <c r="L30" i="74"/>
  <c r="J30" i="74"/>
  <c r="B30" i="74"/>
  <c r="Z29" i="74"/>
  <c r="X29" i="74"/>
  <c r="R29" i="74"/>
  <c r="L29" i="74"/>
  <c r="N29" i="74" s="1"/>
  <c r="J29" i="74"/>
  <c r="B29" i="74"/>
  <c r="Z28" i="74"/>
  <c r="X28" i="74"/>
  <c r="V28" i="74"/>
  <c r="L28" i="74"/>
  <c r="N28" i="74" s="1"/>
  <c r="B28" i="74"/>
  <c r="X27" i="74"/>
  <c r="T27" i="74"/>
  <c r="Z27" i="74" s="1"/>
  <c r="P27" i="74"/>
  <c r="H27" i="74"/>
  <c r="D27" i="74"/>
  <c r="L27" i="74" s="1"/>
  <c r="B27" i="74"/>
  <c r="X26" i="74"/>
  <c r="T26" i="74"/>
  <c r="Z26" i="74" s="1"/>
  <c r="R26" i="74"/>
  <c r="P26" i="74"/>
  <c r="L26" i="74"/>
  <c r="H26" i="74"/>
  <c r="N26" i="74" s="1"/>
  <c r="D26" i="74"/>
  <c r="J24" i="74"/>
  <c r="Z22" i="74"/>
  <c r="X22" i="74"/>
  <c r="N22" i="74"/>
  <c r="L22" i="74"/>
  <c r="J22" i="74"/>
  <c r="B22" i="74"/>
  <c r="Z21" i="74"/>
  <c r="X21" i="74"/>
  <c r="R21" i="74"/>
  <c r="N21" i="74"/>
  <c r="L21" i="74"/>
  <c r="J21" i="74"/>
  <c r="B21" i="74"/>
  <c r="Z20" i="74"/>
  <c r="X20" i="74"/>
  <c r="V20" i="74"/>
  <c r="N20" i="74"/>
  <c r="L20" i="74"/>
  <c r="B20" i="74"/>
  <c r="X19" i="74"/>
  <c r="Z19" i="74" s="1"/>
  <c r="N19" i="74"/>
  <c r="L19" i="74"/>
  <c r="J19" i="74"/>
  <c r="B19" i="74"/>
  <c r="T18" i="74"/>
  <c r="T24" i="74" s="1"/>
  <c r="T90" i="74" s="1"/>
  <c r="P18" i="74"/>
  <c r="X18" i="74" s="1"/>
  <c r="Z18" i="74" s="1"/>
  <c r="J18" i="74"/>
  <c r="H18" i="74"/>
  <c r="H24" i="74" s="1"/>
  <c r="D18" i="74"/>
  <c r="L18" i="74" s="1"/>
  <c r="Z16" i="74"/>
  <c r="X16" i="74"/>
  <c r="P16" i="74"/>
  <c r="N16" i="74"/>
  <c r="L16" i="74"/>
  <c r="D16" i="74"/>
  <c r="B16" i="74"/>
  <c r="Z15" i="74"/>
  <c r="P15" i="74"/>
  <c r="X15" i="74" s="1"/>
  <c r="N15" i="74"/>
  <c r="D15" i="74"/>
  <c r="B15" i="74"/>
  <c r="Z14" i="74"/>
  <c r="X14" i="74"/>
  <c r="P14" i="74"/>
  <c r="N14" i="74"/>
  <c r="D14" i="74"/>
  <c r="L14" i="74" s="1"/>
  <c r="B14" i="74"/>
  <c r="P13" i="74"/>
  <c r="X13" i="74" s="1"/>
  <c r="Z13" i="74" s="1"/>
  <c r="L13" i="74"/>
  <c r="N13" i="74" s="1"/>
  <c r="D13" i="74"/>
  <c r="B13" i="74"/>
  <c r="T12" i="74"/>
  <c r="V73" i="74" s="1"/>
  <c r="P12" i="74"/>
  <c r="H12" i="74"/>
  <c r="J49" i="74" s="1"/>
  <c r="D6" i="74"/>
  <c r="D4" i="74"/>
  <c r="X88" i="73"/>
  <c r="Z88" i="73" s="1"/>
  <c r="L88" i="73"/>
  <c r="N88" i="73" s="1"/>
  <c r="J88" i="73"/>
  <c r="V84" i="73"/>
  <c r="T84" i="73"/>
  <c r="Z84" i="73" s="1"/>
  <c r="P84" i="73"/>
  <c r="X84" i="73" s="1"/>
  <c r="L84" i="73"/>
  <c r="H84" i="73"/>
  <c r="N84" i="73" s="1"/>
  <c r="D84" i="73"/>
  <c r="Z82" i="73"/>
  <c r="X82" i="73"/>
  <c r="N82" i="73"/>
  <c r="L82" i="73"/>
  <c r="B82" i="73"/>
  <c r="Z81" i="73"/>
  <c r="T81" i="73"/>
  <c r="P81" i="73"/>
  <c r="X81" i="73" s="1"/>
  <c r="N81" i="73"/>
  <c r="L81" i="73"/>
  <c r="H81" i="73"/>
  <c r="D81" i="73"/>
  <c r="B81" i="73"/>
  <c r="Z80" i="73"/>
  <c r="X80" i="73"/>
  <c r="L80" i="73"/>
  <c r="N80" i="73" s="1"/>
  <c r="B80" i="73"/>
  <c r="X79" i="73"/>
  <c r="Z79" i="73" s="1"/>
  <c r="N79" i="73"/>
  <c r="L79" i="73"/>
  <c r="B79" i="73"/>
  <c r="X78" i="73"/>
  <c r="T78" i="73"/>
  <c r="Z78" i="73" s="1"/>
  <c r="P78" i="73"/>
  <c r="N78" i="73"/>
  <c r="H78" i="73"/>
  <c r="D78" i="73"/>
  <c r="L78" i="73" s="1"/>
  <c r="B78" i="73"/>
  <c r="X77" i="73"/>
  <c r="Z77" i="73" s="1"/>
  <c r="N77" i="73"/>
  <c r="L77" i="73"/>
  <c r="B77" i="73"/>
  <c r="Z76" i="73"/>
  <c r="X76" i="73"/>
  <c r="L76" i="73"/>
  <c r="N76" i="73" s="1"/>
  <c r="B76" i="73"/>
  <c r="Z75" i="73"/>
  <c r="X75" i="73"/>
  <c r="N75" i="73"/>
  <c r="L75" i="73"/>
  <c r="B75" i="73"/>
  <c r="X74" i="73"/>
  <c r="Z74" i="73" s="1"/>
  <c r="L74" i="73"/>
  <c r="N74" i="73" s="1"/>
  <c r="B74" i="73"/>
  <c r="Z73" i="73"/>
  <c r="X73" i="73"/>
  <c r="L73" i="73"/>
  <c r="N73" i="73" s="1"/>
  <c r="B73" i="73"/>
  <c r="X72" i="73"/>
  <c r="T72" i="73"/>
  <c r="Z72" i="73" s="1"/>
  <c r="R72" i="73"/>
  <c r="P72" i="73"/>
  <c r="L72" i="73"/>
  <c r="H72" i="73"/>
  <c r="N72" i="73" s="1"/>
  <c r="D72" i="73"/>
  <c r="B72" i="73"/>
  <c r="X71" i="73"/>
  <c r="Z71" i="73" s="1"/>
  <c r="N71" i="73"/>
  <c r="L71" i="73"/>
  <c r="B71" i="73"/>
  <c r="Z70" i="73"/>
  <c r="X70" i="73"/>
  <c r="N70" i="73"/>
  <c r="L70" i="73"/>
  <c r="B70" i="73"/>
  <c r="Z69" i="73"/>
  <c r="X69" i="73"/>
  <c r="L69" i="73"/>
  <c r="N69" i="73" s="1"/>
  <c r="B69" i="73"/>
  <c r="X68" i="73"/>
  <c r="T68" i="73"/>
  <c r="Z68" i="73" s="1"/>
  <c r="R68" i="73"/>
  <c r="P68" i="73"/>
  <c r="L68" i="73"/>
  <c r="H68" i="73"/>
  <c r="N68" i="73" s="1"/>
  <c r="D68" i="73"/>
  <c r="B68" i="73"/>
  <c r="Z67" i="73"/>
  <c r="X67" i="73"/>
  <c r="N67" i="73"/>
  <c r="L67" i="73"/>
  <c r="B67" i="73"/>
  <c r="X66" i="73"/>
  <c r="Z66" i="73" s="1"/>
  <c r="N66" i="73"/>
  <c r="L66" i="73"/>
  <c r="B66" i="73"/>
  <c r="Z65" i="73"/>
  <c r="X65" i="73"/>
  <c r="N65" i="73"/>
  <c r="L65" i="73"/>
  <c r="B65" i="73"/>
  <c r="X64" i="73"/>
  <c r="T64" i="73"/>
  <c r="Z64" i="73" s="1"/>
  <c r="R64" i="73"/>
  <c r="P64" i="73"/>
  <c r="L64" i="73"/>
  <c r="H64" i="73"/>
  <c r="N64" i="73" s="1"/>
  <c r="D64" i="73"/>
  <c r="B64" i="73"/>
  <c r="Z63" i="73"/>
  <c r="X63" i="73"/>
  <c r="N63" i="73"/>
  <c r="L63" i="73"/>
  <c r="B63" i="73"/>
  <c r="X62" i="73"/>
  <c r="T62" i="73"/>
  <c r="Z62" i="73" s="1"/>
  <c r="P62" i="73"/>
  <c r="N62" i="73"/>
  <c r="H62" i="73"/>
  <c r="D62" i="73"/>
  <c r="L62" i="73" s="1"/>
  <c r="B62" i="73"/>
  <c r="X61" i="73"/>
  <c r="Z61" i="73" s="1"/>
  <c r="N61" i="73"/>
  <c r="L61" i="73"/>
  <c r="B61" i="73"/>
  <c r="Z60" i="73"/>
  <c r="T60" i="73"/>
  <c r="P60" i="73"/>
  <c r="X60" i="73" s="1"/>
  <c r="J60" i="73"/>
  <c r="H60" i="73"/>
  <c r="D60" i="73"/>
  <c r="L60" i="73" s="1"/>
  <c r="B60" i="73"/>
  <c r="Z59" i="73"/>
  <c r="X59" i="73"/>
  <c r="R59" i="73"/>
  <c r="N59" i="73"/>
  <c r="L59" i="73"/>
  <c r="B59" i="73"/>
  <c r="V58" i="73"/>
  <c r="T58" i="73"/>
  <c r="Z58" i="73" s="1"/>
  <c r="P58" i="73"/>
  <c r="X58" i="73" s="1"/>
  <c r="L58" i="73"/>
  <c r="H58" i="73"/>
  <c r="N58" i="73" s="1"/>
  <c r="D58" i="73"/>
  <c r="B58" i="73"/>
  <c r="Z57" i="73"/>
  <c r="X57" i="73"/>
  <c r="L57" i="73"/>
  <c r="N57" i="73" s="1"/>
  <c r="B57" i="73"/>
  <c r="X56" i="73"/>
  <c r="T56" i="73"/>
  <c r="Z56" i="73" s="1"/>
  <c r="R56" i="73"/>
  <c r="P56" i="73"/>
  <c r="L56" i="73"/>
  <c r="H56" i="73"/>
  <c r="N56" i="73" s="1"/>
  <c r="D56" i="73"/>
  <c r="B56" i="73"/>
  <c r="Z55" i="73"/>
  <c r="X55" i="73"/>
  <c r="N55" i="73"/>
  <c r="L55" i="73"/>
  <c r="B55" i="73"/>
  <c r="X54" i="73"/>
  <c r="T54" i="73"/>
  <c r="Z54" i="73" s="1"/>
  <c r="P54" i="73"/>
  <c r="N54" i="73"/>
  <c r="H54" i="73"/>
  <c r="D54" i="73"/>
  <c r="L54" i="73" s="1"/>
  <c r="B54" i="73"/>
  <c r="X53" i="73"/>
  <c r="Z53" i="73" s="1"/>
  <c r="N53" i="73"/>
  <c r="L53" i="73"/>
  <c r="B53" i="73"/>
  <c r="Z52" i="73"/>
  <c r="X52" i="73"/>
  <c r="N52" i="73"/>
  <c r="L52" i="73"/>
  <c r="B52" i="73"/>
  <c r="Z51" i="73"/>
  <c r="X51" i="73"/>
  <c r="V51" i="73"/>
  <c r="T51" i="73"/>
  <c r="P51" i="73"/>
  <c r="L51" i="73"/>
  <c r="N51" i="73" s="1"/>
  <c r="H51" i="73"/>
  <c r="D51" i="73"/>
  <c r="B51" i="73"/>
  <c r="X50" i="73"/>
  <c r="Z50" i="73" s="1"/>
  <c r="V50" i="73"/>
  <c r="L50" i="73"/>
  <c r="N50" i="73" s="1"/>
  <c r="B50" i="73"/>
  <c r="X49" i="73"/>
  <c r="Z49" i="73" s="1"/>
  <c r="T49" i="73"/>
  <c r="P49" i="73"/>
  <c r="H49" i="73"/>
  <c r="D49" i="73"/>
  <c r="L49" i="73" s="1"/>
  <c r="B49" i="73"/>
  <c r="Z48" i="73"/>
  <c r="X48" i="73"/>
  <c r="N48" i="73"/>
  <c r="L48" i="73"/>
  <c r="B48" i="73"/>
  <c r="T47" i="73"/>
  <c r="Z47" i="73" s="1"/>
  <c r="P47" i="73"/>
  <c r="X47" i="73" s="1"/>
  <c r="N47" i="73"/>
  <c r="H47" i="73"/>
  <c r="D47" i="73"/>
  <c r="L47" i="73" s="1"/>
  <c r="B47" i="73"/>
  <c r="Z46" i="73"/>
  <c r="X46" i="73"/>
  <c r="N46" i="73"/>
  <c r="L46" i="73"/>
  <c r="B46" i="73"/>
  <c r="Z45" i="73"/>
  <c r="V45" i="73"/>
  <c r="T45" i="73"/>
  <c r="P45" i="73"/>
  <c r="X45" i="73" s="1"/>
  <c r="N45" i="73"/>
  <c r="L45" i="73"/>
  <c r="H45" i="73"/>
  <c r="D45" i="73"/>
  <c r="B45" i="73"/>
  <c r="Z44" i="73"/>
  <c r="X44" i="73"/>
  <c r="N44" i="73"/>
  <c r="L44" i="73"/>
  <c r="B44" i="73"/>
  <c r="Z43" i="73"/>
  <c r="X43" i="73"/>
  <c r="V43" i="73"/>
  <c r="N43" i="73"/>
  <c r="L43" i="73"/>
  <c r="B43" i="73"/>
  <c r="X42" i="73"/>
  <c r="Z42" i="73" s="1"/>
  <c r="L42" i="73"/>
  <c r="N42" i="73" s="1"/>
  <c r="B42" i="73"/>
  <c r="Z41" i="73"/>
  <c r="X41" i="73"/>
  <c r="V41" i="73"/>
  <c r="N41" i="73"/>
  <c r="L41" i="73"/>
  <c r="B41" i="73"/>
  <c r="Z40" i="73"/>
  <c r="X40" i="73"/>
  <c r="N40" i="73"/>
  <c r="L40" i="73"/>
  <c r="B40" i="73"/>
  <c r="Z39" i="73"/>
  <c r="X39" i="73"/>
  <c r="R39" i="73"/>
  <c r="N39" i="73"/>
  <c r="L39" i="73"/>
  <c r="B39" i="73"/>
  <c r="X38" i="73"/>
  <c r="Z38" i="73" s="1"/>
  <c r="V38" i="73"/>
  <c r="L38" i="73"/>
  <c r="N38" i="73" s="1"/>
  <c r="B38" i="73"/>
  <c r="Z37" i="73"/>
  <c r="X37" i="73"/>
  <c r="V37" i="73"/>
  <c r="N37" i="73"/>
  <c r="L37" i="73"/>
  <c r="B37" i="73"/>
  <c r="Z36" i="73"/>
  <c r="X36" i="73"/>
  <c r="V36" i="73"/>
  <c r="L36" i="73"/>
  <c r="N36" i="73" s="1"/>
  <c r="B36" i="73"/>
  <c r="Z35" i="73"/>
  <c r="X35" i="73"/>
  <c r="V35" i="73"/>
  <c r="N35" i="73"/>
  <c r="L35" i="73"/>
  <c r="B35" i="73"/>
  <c r="X34" i="73"/>
  <c r="T34" i="73"/>
  <c r="Z34" i="73" s="1"/>
  <c r="P34" i="73"/>
  <c r="N34" i="73"/>
  <c r="H34" i="73"/>
  <c r="D34" i="73"/>
  <c r="L34" i="73" s="1"/>
  <c r="B34" i="73"/>
  <c r="Z33" i="73"/>
  <c r="X33" i="73"/>
  <c r="V33" i="73"/>
  <c r="N33" i="73"/>
  <c r="L33" i="73"/>
  <c r="B33" i="73"/>
  <c r="Z32" i="73"/>
  <c r="X32" i="73"/>
  <c r="V32" i="73"/>
  <c r="L32" i="73"/>
  <c r="N32" i="73" s="1"/>
  <c r="B32" i="73"/>
  <c r="Z31" i="73"/>
  <c r="X31" i="73"/>
  <c r="V31" i="73"/>
  <c r="N31" i="73"/>
  <c r="L31" i="73"/>
  <c r="B31" i="73"/>
  <c r="Z30" i="73"/>
  <c r="X30" i="73"/>
  <c r="N30" i="73"/>
  <c r="L30" i="73"/>
  <c r="J30" i="73"/>
  <c r="B30" i="73"/>
  <c r="Z29" i="73"/>
  <c r="X29" i="73"/>
  <c r="V29" i="73"/>
  <c r="L29" i="73"/>
  <c r="N29" i="73" s="1"/>
  <c r="B29" i="73"/>
  <c r="X28" i="73"/>
  <c r="Z28" i="73" s="1"/>
  <c r="N28" i="73"/>
  <c r="L28" i="73"/>
  <c r="B28" i="73"/>
  <c r="Z27" i="73"/>
  <c r="X27" i="73"/>
  <c r="V27" i="73"/>
  <c r="R27" i="73"/>
  <c r="N27" i="73"/>
  <c r="L27" i="73"/>
  <c r="B27" i="73"/>
  <c r="X26" i="73"/>
  <c r="Z26" i="73" s="1"/>
  <c r="V26" i="73"/>
  <c r="L26" i="73"/>
  <c r="N26" i="73" s="1"/>
  <c r="B26" i="73"/>
  <c r="X25" i="73"/>
  <c r="Z25" i="73" s="1"/>
  <c r="V25" i="73"/>
  <c r="N25" i="73"/>
  <c r="L25" i="73"/>
  <c r="B25" i="73"/>
  <c r="Z24" i="73"/>
  <c r="T24" i="73"/>
  <c r="V24" i="73" s="1"/>
  <c r="P24" i="73"/>
  <c r="X24" i="73" s="1"/>
  <c r="J24" i="73"/>
  <c r="H24" i="73"/>
  <c r="D24" i="73"/>
  <c r="L24" i="73" s="1"/>
  <c r="B24" i="73"/>
  <c r="T23" i="73"/>
  <c r="P23" i="73"/>
  <c r="X23" i="73" s="1"/>
  <c r="H23" i="73"/>
  <c r="D23" i="73"/>
  <c r="L23" i="73" s="1"/>
  <c r="N23" i="73" s="1"/>
  <c r="Z19" i="73"/>
  <c r="X19" i="73"/>
  <c r="V19" i="73"/>
  <c r="R19" i="73"/>
  <c r="N19" i="73"/>
  <c r="L19" i="73"/>
  <c r="B19" i="73"/>
  <c r="Z18" i="73"/>
  <c r="X18" i="73"/>
  <c r="V18" i="73"/>
  <c r="N18" i="73"/>
  <c r="L18" i="73"/>
  <c r="B18" i="73"/>
  <c r="X17" i="73"/>
  <c r="Z17" i="73" s="1"/>
  <c r="V17" i="73"/>
  <c r="N17" i="73"/>
  <c r="L17" i="73"/>
  <c r="B17" i="73"/>
  <c r="T16" i="73"/>
  <c r="V16" i="73" s="1"/>
  <c r="P16" i="73"/>
  <c r="X16" i="73" s="1"/>
  <c r="Z16" i="73" s="1"/>
  <c r="J16" i="73"/>
  <c r="H16" i="73"/>
  <c r="D16" i="73"/>
  <c r="L16" i="73" s="1"/>
  <c r="X14" i="73"/>
  <c r="Z14" i="73" s="1"/>
  <c r="P14" i="73"/>
  <c r="L14" i="73"/>
  <c r="N14" i="73" s="1"/>
  <c r="D14" i="73"/>
  <c r="B14" i="73"/>
  <c r="P13" i="73"/>
  <c r="X13" i="73" s="1"/>
  <c r="Z13" i="73" s="1"/>
  <c r="D13" i="73"/>
  <c r="B13" i="73"/>
  <c r="X12" i="73"/>
  <c r="Z12" i="73" s="1"/>
  <c r="T12" i="73"/>
  <c r="V77" i="73" s="1"/>
  <c r="P12" i="73"/>
  <c r="R50" i="73" s="1"/>
  <c r="H12" i="73"/>
  <c r="D6" i="73"/>
  <c r="D4" i="73"/>
  <c r="X27" i="72"/>
  <c r="Z27" i="72" s="1"/>
  <c r="N27" i="72"/>
  <c r="L27" i="72"/>
  <c r="Z23" i="72"/>
  <c r="T23" i="72"/>
  <c r="V23" i="72" s="1"/>
  <c r="P23" i="72"/>
  <c r="X23" i="72" s="1"/>
  <c r="J23" i="72"/>
  <c r="H23" i="72"/>
  <c r="N23" i="72" s="1"/>
  <c r="D23" i="72"/>
  <c r="L23" i="72" s="1"/>
  <c r="X21" i="72"/>
  <c r="T21" i="72"/>
  <c r="Z21" i="72" s="1"/>
  <c r="P21" i="72"/>
  <c r="N21" i="72"/>
  <c r="L21" i="72"/>
  <c r="H21" i="72"/>
  <c r="D21" i="72"/>
  <c r="J19" i="72"/>
  <c r="X17" i="72"/>
  <c r="Z17" i="72" s="1"/>
  <c r="N17" i="72"/>
  <c r="L17" i="72"/>
  <c r="B17" i="72"/>
  <c r="T16" i="72"/>
  <c r="P16" i="72"/>
  <c r="H16" i="72"/>
  <c r="D16" i="72"/>
  <c r="L16" i="72" s="1"/>
  <c r="N16" i="72" s="1"/>
  <c r="Z14" i="72"/>
  <c r="P14" i="72"/>
  <c r="X14" i="72" s="1"/>
  <c r="N14" i="72"/>
  <c r="L14" i="72"/>
  <c r="D14" i="72"/>
  <c r="B14" i="72"/>
  <c r="P13" i="72"/>
  <c r="X13" i="72" s="1"/>
  <c r="Z13" i="72" s="1"/>
  <c r="D13" i="72"/>
  <c r="L13" i="72" s="1"/>
  <c r="N13" i="72" s="1"/>
  <c r="B13" i="72"/>
  <c r="T12" i="72"/>
  <c r="H12" i="72"/>
  <c r="H19" i="72" s="1"/>
  <c r="D6" i="72"/>
  <c r="D4" i="72"/>
  <c r="X75" i="71"/>
  <c r="Z75" i="71" s="1"/>
  <c r="N75" i="71"/>
  <c r="L75" i="71"/>
  <c r="T71" i="71"/>
  <c r="Z71" i="71" s="1"/>
  <c r="P71" i="71"/>
  <c r="N71" i="71"/>
  <c r="H71" i="71"/>
  <c r="D71" i="71"/>
  <c r="L71" i="71" s="1"/>
  <c r="X69" i="71"/>
  <c r="Z69" i="71" s="1"/>
  <c r="N69" i="71"/>
  <c r="L69" i="71"/>
  <c r="F69" i="71"/>
  <c r="B69" i="71"/>
  <c r="X68" i="71"/>
  <c r="Z68" i="71" s="1"/>
  <c r="T68" i="71"/>
  <c r="P68" i="71"/>
  <c r="N68" i="71"/>
  <c r="H68" i="71"/>
  <c r="D68" i="71"/>
  <c r="L68" i="71" s="1"/>
  <c r="B68" i="71"/>
  <c r="X67" i="71"/>
  <c r="Z67" i="71" s="1"/>
  <c r="N67" i="71"/>
  <c r="L67" i="71"/>
  <c r="B67" i="71"/>
  <c r="Z66" i="71"/>
  <c r="T66" i="71"/>
  <c r="P66" i="71"/>
  <c r="X66" i="71" s="1"/>
  <c r="J66" i="71"/>
  <c r="H66" i="71"/>
  <c r="D66" i="71"/>
  <c r="L66" i="71" s="1"/>
  <c r="B66" i="71"/>
  <c r="Z65" i="71"/>
  <c r="X65" i="71"/>
  <c r="L65" i="71"/>
  <c r="N65" i="71" s="1"/>
  <c r="B65" i="71"/>
  <c r="Z64" i="71"/>
  <c r="X64" i="71"/>
  <c r="V64" i="71"/>
  <c r="N64" i="71"/>
  <c r="L64" i="71"/>
  <c r="B64" i="71"/>
  <c r="Z63" i="71"/>
  <c r="X63" i="71"/>
  <c r="N63" i="71"/>
  <c r="L63" i="71"/>
  <c r="B63" i="71"/>
  <c r="Z62" i="71"/>
  <c r="X62" i="71"/>
  <c r="N62" i="71"/>
  <c r="L62" i="71"/>
  <c r="B62" i="71"/>
  <c r="X61" i="71"/>
  <c r="Z61" i="71" s="1"/>
  <c r="T61" i="71"/>
  <c r="P61" i="71"/>
  <c r="L61" i="71"/>
  <c r="H61" i="71"/>
  <c r="N61" i="71" s="1"/>
  <c r="D61" i="71"/>
  <c r="B61" i="71"/>
  <c r="Z60" i="71"/>
  <c r="X60" i="71"/>
  <c r="V60" i="71"/>
  <c r="N60" i="71"/>
  <c r="L60" i="71"/>
  <c r="B60" i="71"/>
  <c r="X59" i="71"/>
  <c r="Z59" i="71" s="1"/>
  <c r="N59" i="71"/>
  <c r="L59" i="71"/>
  <c r="B59" i="71"/>
  <c r="Z58" i="71"/>
  <c r="T58" i="71"/>
  <c r="P58" i="71"/>
  <c r="X58" i="71" s="1"/>
  <c r="H58" i="71"/>
  <c r="N58" i="71" s="1"/>
  <c r="D58" i="71"/>
  <c r="L58" i="71" s="1"/>
  <c r="B58" i="71"/>
  <c r="Z57" i="71"/>
  <c r="X57" i="71"/>
  <c r="L57" i="71"/>
  <c r="N57" i="71" s="1"/>
  <c r="B57" i="71"/>
  <c r="V56" i="71"/>
  <c r="T56" i="71"/>
  <c r="P56" i="71"/>
  <c r="X56" i="71" s="1"/>
  <c r="H56" i="71"/>
  <c r="D56" i="71"/>
  <c r="B56" i="71"/>
  <c r="Z55" i="71"/>
  <c r="X55" i="71"/>
  <c r="L55" i="71"/>
  <c r="N55" i="71" s="1"/>
  <c r="B55" i="71"/>
  <c r="X54" i="71"/>
  <c r="Z54" i="71" s="1"/>
  <c r="N54" i="71"/>
  <c r="L54" i="71"/>
  <c r="B54" i="71"/>
  <c r="T53" i="71"/>
  <c r="P53" i="71"/>
  <c r="H53" i="71"/>
  <c r="D53" i="71"/>
  <c r="L53" i="71" s="1"/>
  <c r="N53" i="71" s="1"/>
  <c r="B53" i="71"/>
  <c r="Z52" i="71"/>
  <c r="X52" i="71"/>
  <c r="N52" i="71"/>
  <c r="L52" i="71"/>
  <c r="B52" i="71"/>
  <c r="T51" i="71"/>
  <c r="P51" i="71"/>
  <c r="X51" i="71" s="1"/>
  <c r="Z51" i="71" s="1"/>
  <c r="N51" i="71"/>
  <c r="L51" i="71"/>
  <c r="H51" i="71"/>
  <c r="D51" i="71"/>
  <c r="B51" i="71"/>
  <c r="Z50" i="71"/>
  <c r="X50" i="71"/>
  <c r="V50" i="71"/>
  <c r="L50" i="71"/>
  <c r="N50" i="71" s="1"/>
  <c r="B50" i="71"/>
  <c r="X49" i="71"/>
  <c r="Z49" i="71" s="1"/>
  <c r="T49" i="71"/>
  <c r="P49" i="71"/>
  <c r="L49" i="71"/>
  <c r="H49" i="71"/>
  <c r="N49" i="71" s="1"/>
  <c r="D49" i="71"/>
  <c r="B49" i="71"/>
  <c r="X48" i="71"/>
  <c r="Z48" i="71" s="1"/>
  <c r="V48" i="71"/>
  <c r="N48" i="71"/>
  <c r="L48" i="71"/>
  <c r="B48" i="71"/>
  <c r="X47" i="71"/>
  <c r="T47" i="71"/>
  <c r="P47" i="71"/>
  <c r="H47" i="71"/>
  <c r="D47" i="71"/>
  <c r="B47" i="71"/>
  <c r="Z46" i="71"/>
  <c r="X46" i="71"/>
  <c r="N46" i="71"/>
  <c r="L46" i="71"/>
  <c r="B46" i="71"/>
  <c r="T45" i="71"/>
  <c r="Z45" i="71" s="1"/>
  <c r="P45" i="71"/>
  <c r="N45" i="71"/>
  <c r="H45" i="71"/>
  <c r="D45" i="71"/>
  <c r="L45" i="71" s="1"/>
  <c r="B45" i="71"/>
  <c r="Z44" i="71"/>
  <c r="X44" i="71"/>
  <c r="N44" i="71"/>
  <c r="L44" i="71"/>
  <c r="B44" i="71"/>
  <c r="Z43" i="71"/>
  <c r="X43" i="71"/>
  <c r="N43" i="71"/>
  <c r="L43" i="71"/>
  <c r="B43" i="71"/>
  <c r="X42" i="71"/>
  <c r="Z42" i="71" s="1"/>
  <c r="N42" i="71"/>
  <c r="L42" i="71"/>
  <c r="B42" i="71"/>
  <c r="Z41" i="71"/>
  <c r="X41" i="71"/>
  <c r="N41" i="71"/>
  <c r="L41" i="71"/>
  <c r="B41" i="71"/>
  <c r="Z40" i="71"/>
  <c r="X40" i="71"/>
  <c r="V40" i="71"/>
  <c r="N40" i="71"/>
  <c r="L40" i="71"/>
  <c r="B40" i="71"/>
  <c r="Z39" i="71"/>
  <c r="X39" i="71"/>
  <c r="N39" i="71"/>
  <c r="L39" i="71"/>
  <c r="B39" i="71"/>
  <c r="Z38" i="71"/>
  <c r="X38" i="71"/>
  <c r="V38" i="71"/>
  <c r="L38" i="71"/>
  <c r="N38" i="71" s="1"/>
  <c r="B38" i="71"/>
  <c r="Z37" i="71"/>
  <c r="X37" i="71"/>
  <c r="N37" i="71"/>
  <c r="L37" i="71"/>
  <c r="B37" i="71"/>
  <c r="Z36" i="71"/>
  <c r="X36" i="71"/>
  <c r="N36" i="71"/>
  <c r="L36" i="71"/>
  <c r="B36" i="71"/>
  <c r="Z35" i="71"/>
  <c r="X35" i="71"/>
  <c r="N35" i="71"/>
  <c r="L35" i="71"/>
  <c r="B35" i="71"/>
  <c r="T34" i="71"/>
  <c r="P34" i="71"/>
  <c r="X34" i="71" s="1"/>
  <c r="N34" i="71"/>
  <c r="L34" i="71"/>
  <c r="H34" i="71"/>
  <c r="D34" i="71"/>
  <c r="B34" i="71"/>
  <c r="Z33" i="71"/>
  <c r="X33" i="71"/>
  <c r="N33" i="71"/>
  <c r="L33" i="71"/>
  <c r="B33" i="71"/>
  <c r="Z32" i="71"/>
  <c r="X32" i="71"/>
  <c r="L32" i="71"/>
  <c r="N32" i="71" s="1"/>
  <c r="B32" i="71"/>
  <c r="Z31" i="71"/>
  <c r="X31" i="71"/>
  <c r="N31" i="71"/>
  <c r="L31" i="71"/>
  <c r="F31" i="71"/>
  <c r="B31" i="71"/>
  <c r="Z30" i="71"/>
  <c r="X30" i="71"/>
  <c r="N30" i="71"/>
  <c r="L30" i="71"/>
  <c r="B30" i="71"/>
  <c r="Z29" i="71"/>
  <c r="X29" i="71"/>
  <c r="N29" i="71"/>
  <c r="L29" i="71"/>
  <c r="B29" i="71"/>
  <c r="Z28" i="71"/>
  <c r="X28" i="71"/>
  <c r="V28" i="71"/>
  <c r="N28" i="71"/>
  <c r="L28" i="71"/>
  <c r="B28" i="71"/>
  <c r="X27" i="71"/>
  <c r="Z27" i="71" s="1"/>
  <c r="N27" i="71"/>
  <c r="L27" i="71"/>
  <c r="B27" i="71"/>
  <c r="Z26" i="71"/>
  <c r="X26" i="71"/>
  <c r="V26" i="71"/>
  <c r="N26" i="71"/>
  <c r="L26" i="71"/>
  <c r="B26" i="71"/>
  <c r="X25" i="71"/>
  <c r="Z25" i="71" s="1"/>
  <c r="V25" i="71"/>
  <c r="N25" i="71"/>
  <c r="L25" i="71"/>
  <c r="B25" i="71"/>
  <c r="Z24" i="71"/>
  <c r="X24" i="71"/>
  <c r="L24" i="71"/>
  <c r="N24" i="71" s="1"/>
  <c r="J24" i="71"/>
  <c r="B24" i="71"/>
  <c r="T23" i="71"/>
  <c r="P23" i="71"/>
  <c r="X23" i="71" s="1"/>
  <c r="Z23" i="71" s="1"/>
  <c r="L23" i="71"/>
  <c r="N23" i="71" s="1"/>
  <c r="H23" i="71"/>
  <c r="D23" i="71"/>
  <c r="B23" i="71"/>
  <c r="Z22" i="71"/>
  <c r="V22" i="71"/>
  <c r="T22" i="71"/>
  <c r="P22" i="71"/>
  <c r="X22" i="71" s="1"/>
  <c r="H22" i="71"/>
  <c r="N22" i="71" s="1"/>
  <c r="D22" i="71"/>
  <c r="L22" i="71" s="1"/>
  <c r="Z18" i="71"/>
  <c r="X18" i="71"/>
  <c r="V18" i="71"/>
  <c r="N18" i="71"/>
  <c r="L18" i="71"/>
  <c r="B18" i="71"/>
  <c r="X17" i="71"/>
  <c r="Z17" i="71" s="1"/>
  <c r="V17" i="71"/>
  <c r="N17" i="71"/>
  <c r="L17" i="71"/>
  <c r="B17" i="71"/>
  <c r="Z16" i="71"/>
  <c r="X16" i="71"/>
  <c r="T16" i="71"/>
  <c r="T20" i="71" s="1"/>
  <c r="P16" i="71"/>
  <c r="H16" i="71"/>
  <c r="L16" i="71" s="1"/>
  <c r="D16" i="71"/>
  <c r="P14" i="71"/>
  <c r="D14" i="71"/>
  <c r="L14" i="71" s="1"/>
  <c r="N14" i="71" s="1"/>
  <c r="B14" i="71"/>
  <c r="P13" i="71"/>
  <c r="X13" i="71" s="1"/>
  <c r="Z13" i="71" s="1"/>
  <c r="D13" i="71"/>
  <c r="L13" i="71" s="1"/>
  <c r="N13" i="71" s="1"/>
  <c r="B13" i="71"/>
  <c r="T12" i="71"/>
  <c r="V67" i="71" s="1"/>
  <c r="H12" i="71"/>
  <c r="J22" i="71" s="1"/>
  <c r="D12" i="71"/>
  <c r="F33" i="71" s="1"/>
  <c r="D6" i="71"/>
  <c r="D4" i="71"/>
  <c r="Z81" i="69"/>
  <c r="X81" i="69"/>
  <c r="L81" i="69"/>
  <c r="N81" i="69" s="1"/>
  <c r="P77" i="69"/>
  <c r="X77" i="69" s="1"/>
  <c r="Z77" i="69" s="1"/>
  <c r="L77" i="69"/>
  <c r="N77" i="69" s="1"/>
  <c r="D77" i="69"/>
  <c r="B77" i="69"/>
  <c r="Z76" i="69"/>
  <c r="X76" i="69"/>
  <c r="P76" i="69"/>
  <c r="P74" i="69" s="1"/>
  <c r="X74" i="69" s="1"/>
  <c r="N76" i="69"/>
  <c r="D76" i="69"/>
  <c r="L76" i="69" s="1"/>
  <c r="B76" i="69"/>
  <c r="Z75" i="69"/>
  <c r="X75" i="69"/>
  <c r="P75" i="69"/>
  <c r="N75" i="69"/>
  <c r="L75" i="69"/>
  <c r="D75" i="69"/>
  <c r="B75" i="69"/>
  <c r="T74" i="69"/>
  <c r="H74" i="69"/>
  <c r="D74" i="69"/>
  <c r="L74" i="69" s="1"/>
  <c r="N74" i="69" s="1"/>
  <c r="X72" i="69"/>
  <c r="Z72" i="69" s="1"/>
  <c r="L72" i="69"/>
  <c r="N72" i="69" s="1"/>
  <c r="F72" i="69"/>
  <c r="B72" i="69"/>
  <c r="X71" i="69"/>
  <c r="Z71" i="69" s="1"/>
  <c r="T71" i="69"/>
  <c r="P71" i="69"/>
  <c r="N71" i="69"/>
  <c r="H71" i="69"/>
  <c r="L71" i="69" s="1"/>
  <c r="D71" i="69"/>
  <c r="B71" i="69"/>
  <c r="X70" i="69"/>
  <c r="Z70" i="69" s="1"/>
  <c r="N70" i="69"/>
  <c r="L70" i="69"/>
  <c r="B70" i="69"/>
  <c r="Z69" i="69"/>
  <c r="X69" i="69"/>
  <c r="L69" i="69"/>
  <c r="N69" i="69" s="1"/>
  <c r="B69" i="69"/>
  <c r="T68" i="69"/>
  <c r="P68" i="69"/>
  <c r="X68" i="69" s="1"/>
  <c r="Z68" i="69" s="1"/>
  <c r="L68" i="69"/>
  <c r="H68" i="69"/>
  <c r="D68" i="69"/>
  <c r="B68" i="69"/>
  <c r="Z67" i="69"/>
  <c r="X67" i="69"/>
  <c r="V67" i="69"/>
  <c r="L67" i="69"/>
  <c r="N67" i="69" s="1"/>
  <c r="B67" i="69"/>
  <c r="X66" i="69"/>
  <c r="T66" i="69"/>
  <c r="Z66" i="69" s="1"/>
  <c r="P66" i="69"/>
  <c r="H66" i="69"/>
  <c r="D66" i="69"/>
  <c r="L66" i="69" s="1"/>
  <c r="B66" i="69"/>
  <c r="X65" i="69"/>
  <c r="Z65" i="69" s="1"/>
  <c r="N65" i="69"/>
  <c r="L65" i="69"/>
  <c r="B65" i="69"/>
  <c r="T64" i="69"/>
  <c r="P64" i="69"/>
  <c r="H64" i="69"/>
  <c r="D64" i="69"/>
  <c r="L64" i="69" s="1"/>
  <c r="N64" i="69" s="1"/>
  <c r="B64" i="69"/>
  <c r="X63" i="69"/>
  <c r="Z63" i="69" s="1"/>
  <c r="N63" i="69"/>
  <c r="L63" i="69"/>
  <c r="J63" i="69"/>
  <c r="B63" i="69"/>
  <c r="T62" i="69"/>
  <c r="P62" i="69"/>
  <c r="X62" i="69" s="1"/>
  <c r="Z62" i="69" s="1"/>
  <c r="L62" i="69"/>
  <c r="N62" i="69" s="1"/>
  <c r="H62" i="69"/>
  <c r="D62" i="69"/>
  <c r="B62" i="69"/>
  <c r="Z61" i="69"/>
  <c r="X61" i="69"/>
  <c r="L61" i="69"/>
  <c r="N61" i="69" s="1"/>
  <c r="B61" i="69"/>
  <c r="T60" i="69"/>
  <c r="P60" i="69"/>
  <c r="X60" i="69" s="1"/>
  <c r="Z60" i="69" s="1"/>
  <c r="L60" i="69"/>
  <c r="H60" i="69"/>
  <c r="N60" i="69" s="1"/>
  <c r="D60" i="69"/>
  <c r="B60" i="69"/>
  <c r="Z59" i="69"/>
  <c r="X59" i="69"/>
  <c r="V59" i="69"/>
  <c r="N59" i="69"/>
  <c r="L59" i="69"/>
  <c r="B59" i="69"/>
  <c r="X58" i="69"/>
  <c r="T58" i="69"/>
  <c r="Z58" i="69" s="1"/>
  <c r="P58" i="69"/>
  <c r="H58" i="69"/>
  <c r="D58" i="69"/>
  <c r="B58" i="69"/>
  <c r="X57" i="69"/>
  <c r="Z57" i="69" s="1"/>
  <c r="N57" i="69"/>
  <c r="L57" i="69"/>
  <c r="B57" i="69"/>
  <c r="T56" i="69"/>
  <c r="P56" i="69"/>
  <c r="H56" i="69"/>
  <c r="D56" i="69"/>
  <c r="L56" i="69" s="1"/>
  <c r="N56" i="69" s="1"/>
  <c r="B56" i="69"/>
  <c r="Z55" i="69"/>
  <c r="X55" i="69"/>
  <c r="N55" i="69"/>
  <c r="L55" i="69"/>
  <c r="J55" i="69"/>
  <c r="B55" i="69"/>
  <c r="Z54" i="69"/>
  <c r="X54" i="69"/>
  <c r="N54" i="69"/>
  <c r="L54" i="69"/>
  <c r="B54" i="69"/>
  <c r="X53" i="69"/>
  <c r="Z53" i="69" s="1"/>
  <c r="N53" i="69"/>
  <c r="L53" i="69"/>
  <c r="B53" i="69"/>
  <c r="X52" i="69"/>
  <c r="Z52" i="69" s="1"/>
  <c r="N52" i="69"/>
  <c r="L52" i="69"/>
  <c r="J52" i="69"/>
  <c r="B52" i="69"/>
  <c r="Z51" i="69"/>
  <c r="X51" i="69"/>
  <c r="V51" i="69"/>
  <c r="N51" i="69"/>
  <c r="L51" i="69"/>
  <c r="B51" i="69"/>
  <c r="Z50" i="69"/>
  <c r="X50" i="69"/>
  <c r="N50" i="69"/>
  <c r="L50" i="69"/>
  <c r="B50" i="69"/>
  <c r="Z49" i="69"/>
  <c r="X49" i="69"/>
  <c r="L49" i="69"/>
  <c r="N49" i="69" s="1"/>
  <c r="B49" i="69"/>
  <c r="Z48" i="69"/>
  <c r="X48" i="69"/>
  <c r="N48" i="69"/>
  <c r="L48" i="69"/>
  <c r="B48" i="69"/>
  <c r="X47" i="69"/>
  <c r="Z47" i="69" s="1"/>
  <c r="N47" i="69"/>
  <c r="L47" i="69"/>
  <c r="J47" i="69"/>
  <c r="B47" i="69"/>
  <c r="Z46" i="69"/>
  <c r="X46" i="69"/>
  <c r="N46" i="69"/>
  <c r="L46" i="69"/>
  <c r="B46" i="69"/>
  <c r="T45" i="69"/>
  <c r="Z45" i="69" s="1"/>
  <c r="P45" i="69"/>
  <c r="X45" i="69" s="1"/>
  <c r="L45" i="69"/>
  <c r="N45" i="69" s="1"/>
  <c r="H45" i="69"/>
  <c r="D45" i="69"/>
  <c r="B45" i="69"/>
  <c r="X44" i="69"/>
  <c r="Z44" i="69" s="1"/>
  <c r="L44" i="69"/>
  <c r="N44" i="69" s="1"/>
  <c r="B44" i="69"/>
  <c r="X43" i="69"/>
  <c r="Z43" i="69" s="1"/>
  <c r="N43" i="69"/>
  <c r="L43" i="69"/>
  <c r="J43" i="69"/>
  <c r="B43" i="69"/>
  <c r="Z42" i="69"/>
  <c r="X42" i="69"/>
  <c r="L42" i="69"/>
  <c r="N42" i="69" s="1"/>
  <c r="B42" i="69"/>
  <c r="Z41" i="69"/>
  <c r="X41" i="69"/>
  <c r="N41" i="69"/>
  <c r="L41" i="69"/>
  <c r="B41" i="69"/>
  <c r="Z40" i="69"/>
  <c r="X40" i="69"/>
  <c r="N40" i="69"/>
  <c r="L40" i="69"/>
  <c r="J40" i="69"/>
  <c r="B40" i="69"/>
  <c r="Z39" i="69"/>
  <c r="X39" i="69"/>
  <c r="V39" i="69"/>
  <c r="L39" i="69"/>
  <c r="N39" i="69" s="1"/>
  <c r="B39" i="69"/>
  <c r="X38" i="69"/>
  <c r="Z38" i="69" s="1"/>
  <c r="N38" i="69"/>
  <c r="L38" i="69"/>
  <c r="B38" i="69"/>
  <c r="Z37" i="69"/>
  <c r="X37" i="69"/>
  <c r="L37" i="69"/>
  <c r="N37" i="69" s="1"/>
  <c r="B37" i="69"/>
  <c r="X36" i="69"/>
  <c r="Z36" i="69" s="1"/>
  <c r="L36" i="69"/>
  <c r="N36" i="69" s="1"/>
  <c r="F36" i="69"/>
  <c r="B36" i="69"/>
  <c r="X35" i="69"/>
  <c r="Z35" i="69" s="1"/>
  <c r="N35" i="69"/>
  <c r="L35" i="69"/>
  <c r="J35" i="69"/>
  <c r="B35" i="69"/>
  <c r="T34" i="69"/>
  <c r="P34" i="69"/>
  <c r="X34" i="69" s="1"/>
  <c r="Z34" i="69" s="1"/>
  <c r="L34" i="69"/>
  <c r="N34" i="69" s="1"/>
  <c r="J34" i="69"/>
  <c r="H34" i="69"/>
  <c r="D34" i="69"/>
  <c r="B34" i="69"/>
  <c r="T33" i="69"/>
  <c r="P33" i="69"/>
  <c r="X33" i="69" s="1"/>
  <c r="Z33" i="69" s="1"/>
  <c r="J33" i="69"/>
  <c r="H33" i="69"/>
  <c r="D33" i="69"/>
  <c r="L33" i="69" s="1"/>
  <c r="Z29" i="69"/>
  <c r="X29" i="69"/>
  <c r="N29" i="69"/>
  <c r="L29" i="69"/>
  <c r="B29" i="69"/>
  <c r="Z28" i="69"/>
  <c r="X28" i="69"/>
  <c r="N28" i="69"/>
  <c r="L28" i="69"/>
  <c r="B28" i="69"/>
  <c r="Z27" i="69"/>
  <c r="X27" i="69"/>
  <c r="N27" i="69"/>
  <c r="L27" i="69"/>
  <c r="J27" i="69"/>
  <c r="B27" i="69"/>
  <c r="Z26" i="69"/>
  <c r="X26" i="69"/>
  <c r="N26" i="69"/>
  <c r="L26" i="69"/>
  <c r="J26" i="69"/>
  <c r="B26" i="69"/>
  <c r="Z25" i="69"/>
  <c r="X25" i="69"/>
  <c r="N25" i="69"/>
  <c r="L25" i="69"/>
  <c r="J25" i="69"/>
  <c r="B25" i="69"/>
  <c r="Z24" i="69"/>
  <c r="X24" i="69"/>
  <c r="N24" i="69"/>
  <c r="L24" i="69"/>
  <c r="J24" i="69"/>
  <c r="B24" i="69"/>
  <c r="Z23" i="69"/>
  <c r="X23" i="69"/>
  <c r="V23" i="69"/>
  <c r="N23" i="69"/>
  <c r="L23" i="69"/>
  <c r="B23" i="69"/>
  <c r="Z22" i="69"/>
  <c r="X22" i="69"/>
  <c r="N22" i="69"/>
  <c r="L22" i="69"/>
  <c r="J22" i="69"/>
  <c r="B22" i="69"/>
  <c r="Z21" i="69"/>
  <c r="X21" i="69"/>
  <c r="N21" i="69"/>
  <c r="L21" i="69"/>
  <c r="J21" i="69"/>
  <c r="B21" i="69"/>
  <c r="Z20" i="69"/>
  <c r="X20" i="69"/>
  <c r="N20" i="69"/>
  <c r="L20" i="69"/>
  <c r="B20" i="69"/>
  <c r="X19" i="69"/>
  <c r="T19" i="69"/>
  <c r="Z19" i="69" s="1"/>
  <c r="P19" i="69"/>
  <c r="H19" i="69"/>
  <c r="L19" i="69" s="1"/>
  <c r="N19" i="69" s="1"/>
  <c r="D19" i="69"/>
  <c r="Z17" i="69"/>
  <c r="P17" i="69"/>
  <c r="X17" i="69" s="1"/>
  <c r="N17" i="69"/>
  <c r="D17" i="69"/>
  <c r="L17" i="69" s="1"/>
  <c r="B17" i="69"/>
  <c r="Z16" i="69"/>
  <c r="X16" i="69"/>
  <c r="P16" i="69"/>
  <c r="N16" i="69"/>
  <c r="L16" i="69"/>
  <c r="D16" i="69"/>
  <c r="B16" i="69"/>
  <c r="Z15" i="69"/>
  <c r="X15" i="69"/>
  <c r="P15" i="69"/>
  <c r="N15" i="69"/>
  <c r="L15" i="69"/>
  <c r="D15" i="69"/>
  <c r="B15" i="69"/>
  <c r="P14" i="69"/>
  <c r="X14" i="69" s="1"/>
  <c r="Z14" i="69" s="1"/>
  <c r="D14" i="69"/>
  <c r="L14" i="69" s="1"/>
  <c r="N14" i="69" s="1"/>
  <c r="B14" i="69"/>
  <c r="X13" i="69"/>
  <c r="Z13" i="69" s="1"/>
  <c r="P13" i="69"/>
  <c r="N13" i="69"/>
  <c r="L13" i="69"/>
  <c r="D13" i="69"/>
  <c r="B13" i="69"/>
  <c r="T12" i="69"/>
  <c r="V76" i="69" s="1"/>
  <c r="H12" i="69"/>
  <c r="J75" i="69" s="1"/>
  <c r="D12" i="69"/>
  <c r="F28" i="69" s="1"/>
  <c r="D6" i="69"/>
  <c r="D4" i="69"/>
  <c r="Z77" i="68"/>
  <c r="X77" i="68"/>
  <c r="L77" i="68"/>
  <c r="N77" i="68" s="1"/>
  <c r="X73" i="68"/>
  <c r="Z73" i="68" s="1"/>
  <c r="P73" i="68"/>
  <c r="P72" i="68" s="1"/>
  <c r="X72" i="68" s="1"/>
  <c r="Z72" i="68" s="1"/>
  <c r="N73" i="68"/>
  <c r="D73" i="68"/>
  <c r="B73" i="68"/>
  <c r="T72" i="68"/>
  <c r="N72" i="68"/>
  <c r="H72" i="68"/>
  <c r="Z70" i="68"/>
  <c r="X70" i="68"/>
  <c r="V70" i="68"/>
  <c r="L70" i="68"/>
  <c r="N70" i="68" s="1"/>
  <c r="B70" i="68"/>
  <c r="X69" i="68"/>
  <c r="T69" i="68"/>
  <c r="Z69" i="68" s="1"/>
  <c r="P69" i="68"/>
  <c r="H69" i="68"/>
  <c r="D69" i="68"/>
  <c r="L69" i="68" s="1"/>
  <c r="B69" i="68"/>
  <c r="X68" i="68"/>
  <c r="Z68" i="68" s="1"/>
  <c r="N68" i="68"/>
  <c r="L68" i="68"/>
  <c r="B68" i="68"/>
  <c r="Z67" i="68"/>
  <c r="X67" i="68"/>
  <c r="R67" i="68"/>
  <c r="N67" i="68"/>
  <c r="L67" i="68"/>
  <c r="B67" i="68"/>
  <c r="Z66" i="68"/>
  <c r="X66" i="68"/>
  <c r="V66" i="68"/>
  <c r="L66" i="68"/>
  <c r="N66" i="68" s="1"/>
  <c r="B66" i="68"/>
  <c r="Z65" i="68"/>
  <c r="X65" i="68"/>
  <c r="N65" i="68"/>
  <c r="L65" i="68"/>
  <c r="B65" i="68"/>
  <c r="T64" i="68"/>
  <c r="P64" i="68"/>
  <c r="X64" i="68" s="1"/>
  <c r="Z64" i="68" s="1"/>
  <c r="J64" i="68"/>
  <c r="H64" i="68"/>
  <c r="D64" i="68"/>
  <c r="L64" i="68" s="1"/>
  <c r="B64" i="68"/>
  <c r="Z63" i="68"/>
  <c r="X63" i="68"/>
  <c r="R63" i="68"/>
  <c r="N63" i="68"/>
  <c r="L63" i="68"/>
  <c r="B63" i="68"/>
  <c r="V62" i="68"/>
  <c r="T62" i="68"/>
  <c r="P62" i="68"/>
  <c r="X62" i="68" s="1"/>
  <c r="H62" i="68"/>
  <c r="D62" i="68"/>
  <c r="L62" i="68" s="1"/>
  <c r="N62" i="68" s="1"/>
  <c r="B62" i="68"/>
  <c r="Z61" i="68"/>
  <c r="X61" i="68"/>
  <c r="N61" i="68"/>
  <c r="L61" i="68"/>
  <c r="B61" i="68"/>
  <c r="X60" i="68"/>
  <c r="Z60" i="68" s="1"/>
  <c r="N60" i="68"/>
  <c r="L60" i="68"/>
  <c r="B60" i="68"/>
  <c r="Z59" i="68"/>
  <c r="X59" i="68"/>
  <c r="R59" i="68"/>
  <c r="N59" i="68"/>
  <c r="L59" i="68"/>
  <c r="B59" i="68"/>
  <c r="V58" i="68"/>
  <c r="T58" i="68"/>
  <c r="P58" i="68"/>
  <c r="X58" i="68" s="1"/>
  <c r="L58" i="68"/>
  <c r="N58" i="68" s="1"/>
  <c r="H58" i="68"/>
  <c r="D58" i="68"/>
  <c r="B58" i="68"/>
  <c r="Z57" i="68"/>
  <c r="X57" i="68"/>
  <c r="N57" i="68"/>
  <c r="L57" i="68"/>
  <c r="B57" i="68"/>
  <c r="Z56" i="68"/>
  <c r="X56" i="68"/>
  <c r="T56" i="68"/>
  <c r="R56" i="68"/>
  <c r="P56" i="68"/>
  <c r="L56" i="68"/>
  <c r="H56" i="68"/>
  <c r="N56" i="68" s="1"/>
  <c r="D56" i="68"/>
  <c r="B56" i="68"/>
  <c r="Z55" i="68"/>
  <c r="X55" i="68"/>
  <c r="N55" i="68"/>
  <c r="L55" i="68"/>
  <c r="B55" i="68"/>
  <c r="X54" i="68"/>
  <c r="Z54" i="68" s="1"/>
  <c r="N54" i="68"/>
  <c r="L54" i="68"/>
  <c r="J54" i="68"/>
  <c r="B54" i="68"/>
  <c r="T53" i="68"/>
  <c r="P53" i="68"/>
  <c r="X53" i="68" s="1"/>
  <c r="Z53" i="68" s="1"/>
  <c r="N53" i="68"/>
  <c r="L53" i="68"/>
  <c r="J53" i="68"/>
  <c r="H53" i="68"/>
  <c r="D53" i="68"/>
  <c r="B53" i="68"/>
  <c r="Z52" i="68"/>
  <c r="X52" i="68"/>
  <c r="L52" i="68"/>
  <c r="N52" i="68" s="1"/>
  <c r="B52" i="68"/>
  <c r="Z51" i="68"/>
  <c r="X51" i="68"/>
  <c r="T51" i="68"/>
  <c r="P51" i="68"/>
  <c r="L51" i="68"/>
  <c r="H51" i="68"/>
  <c r="N51" i="68" s="1"/>
  <c r="D51" i="68"/>
  <c r="B51" i="68"/>
  <c r="Z50" i="68"/>
  <c r="X50" i="68"/>
  <c r="V50" i="68"/>
  <c r="L50" i="68"/>
  <c r="N50" i="68" s="1"/>
  <c r="B50" i="68"/>
  <c r="X49" i="68"/>
  <c r="T49" i="68"/>
  <c r="P49" i="68"/>
  <c r="H49" i="68"/>
  <c r="D49" i="68"/>
  <c r="B49" i="68"/>
  <c r="X48" i="68"/>
  <c r="Z48" i="68" s="1"/>
  <c r="N48" i="68"/>
  <c r="L48" i="68"/>
  <c r="B48" i="68"/>
  <c r="T47" i="68"/>
  <c r="P47" i="68"/>
  <c r="H47" i="68"/>
  <c r="D47" i="68"/>
  <c r="L47" i="68" s="1"/>
  <c r="N47" i="68" s="1"/>
  <c r="B47" i="68"/>
  <c r="Z46" i="68"/>
  <c r="X46" i="68"/>
  <c r="N46" i="68"/>
  <c r="L46" i="68"/>
  <c r="J46" i="68"/>
  <c r="B46" i="68"/>
  <c r="Z45" i="68"/>
  <c r="X45" i="68"/>
  <c r="N45" i="68"/>
  <c r="L45" i="68"/>
  <c r="B45" i="68"/>
  <c r="X44" i="68"/>
  <c r="Z44" i="68" s="1"/>
  <c r="N44" i="68"/>
  <c r="L44" i="68"/>
  <c r="B44" i="68"/>
  <c r="Z43" i="68"/>
  <c r="X43" i="68"/>
  <c r="R43" i="68"/>
  <c r="L43" i="68"/>
  <c r="N43" i="68" s="1"/>
  <c r="J43" i="68"/>
  <c r="B43" i="68"/>
  <c r="Z42" i="68"/>
  <c r="X42" i="68"/>
  <c r="V42" i="68"/>
  <c r="N42" i="68"/>
  <c r="L42" i="68"/>
  <c r="B42" i="68"/>
  <c r="Z41" i="68"/>
  <c r="X41" i="68"/>
  <c r="N41" i="68"/>
  <c r="L41" i="68"/>
  <c r="B41" i="68"/>
  <c r="Z40" i="68"/>
  <c r="X40" i="68"/>
  <c r="L40" i="68"/>
  <c r="N40" i="68" s="1"/>
  <c r="B40" i="68"/>
  <c r="Z39" i="68"/>
  <c r="X39" i="68"/>
  <c r="N39" i="68"/>
  <c r="L39" i="68"/>
  <c r="B39" i="68"/>
  <c r="X38" i="68"/>
  <c r="Z38" i="68" s="1"/>
  <c r="N38" i="68"/>
  <c r="L38" i="68"/>
  <c r="J38" i="68"/>
  <c r="B38" i="68"/>
  <c r="Z37" i="68"/>
  <c r="X37" i="68"/>
  <c r="N37" i="68"/>
  <c r="L37" i="68"/>
  <c r="B37" i="68"/>
  <c r="X36" i="68"/>
  <c r="T36" i="68"/>
  <c r="Z36" i="68" s="1"/>
  <c r="R36" i="68"/>
  <c r="P36" i="68"/>
  <c r="L36" i="68"/>
  <c r="H36" i="68"/>
  <c r="N36" i="68" s="1"/>
  <c r="D36" i="68"/>
  <c r="B36" i="68"/>
  <c r="X35" i="68"/>
  <c r="Z35" i="68" s="1"/>
  <c r="V35" i="68"/>
  <c r="N35" i="68"/>
  <c r="L35" i="68"/>
  <c r="B35" i="68"/>
  <c r="X34" i="68"/>
  <c r="Z34" i="68" s="1"/>
  <c r="N34" i="68"/>
  <c r="L34" i="68"/>
  <c r="J34" i="68"/>
  <c r="B34" i="68"/>
  <c r="Z33" i="68"/>
  <c r="X33" i="68"/>
  <c r="L33" i="68"/>
  <c r="N33" i="68" s="1"/>
  <c r="B33" i="68"/>
  <c r="Z32" i="68"/>
  <c r="X32" i="68"/>
  <c r="N32" i="68"/>
  <c r="L32" i="68"/>
  <c r="B32" i="68"/>
  <c r="Z31" i="68"/>
  <c r="X31" i="68"/>
  <c r="R31" i="68"/>
  <c r="L31" i="68"/>
  <c r="N31" i="68" s="1"/>
  <c r="J31" i="68"/>
  <c r="B31" i="68"/>
  <c r="Z30" i="68"/>
  <c r="X30" i="68"/>
  <c r="V30" i="68"/>
  <c r="L30" i="68"/>
  <c r="N30" i="68" s="1"/>
  <c r="B30" i="68"/>
  <c r="X29" i="68"/>
  <c r="Z29" i="68" s="1"/>
  <c r="N29" i="68"/>
  <c r="L29" i="68"/>
  <c r="B29" i="68"/>
  <c r="Z28" i="68"/>
  <c r="X28" i="68"/>
  <c r="L28" i="68"/>
  <c r="N28" i="68" s="1"/>
  <c r="B28" i="68"/>
  <c r="X27" i="68"/>
  <c r="Z27" i="68" s="1"/>
  <c r="V27" i="68"/>
  <c r="N27" i="68"/>
  <c r="L27" i="68"/>
  <c r="B27" i="68"/>
  <c r="X26" i="68"/>
  <c r="T26" i="68"/>
  <c r="Z26" i="68" s="1"/>
  <c r="P26" i="68"/>
  <c r="H26" i="68"/>
  <c r="D26" i="68"/>
  <c r="L26" i="68" s="1"/>
  <c r="N26" i="68" s="1"/>
  <c r="B26" i="68"/>
  <c r="X25" i="68"/>
  <c r="T25" i="68"/>
  <c r="Z25" i="68" s="1"/>
  <c r="P25" i="68"/>
  <c r="H25" i="68"/>
  <c r="D25" i="68"/>
  <c r="P23" i="68"/>
  <c r="Z21" i="68"/>
  <c r="X21" i="68"/>
  <c r="N21" i="68"/>
  <c r="L21" i="68"/>
  <c r="J21" i="68"/>
  <c r="B21" i="68"/>
  <c r="Z20" i="68"/>
  <c r="X20" i="68"/>
  <c r="N20" i="68"/>
  <c r="L20" i="68"/>
  <c r="B20" i="68"/>
  <c r="Z19" i="68"/>
  <c r="X19" i="68"/>
  <c r="V19" i="68"/>
  <c r="T19" i="68"/>
  <c r="P19" i="68"/>
  <c r="L19" i="68"/>
  <c r="H19" i="68"/>
  <c r="N19" i="68" s="1"/>
  <c r="D19" i="68"/>
  <c r="Z17" i="68"/>
  <c r="X17" i="68"/>
  <c r="P17" i="68"/>
  <c r="N17" i="68"/>
  <c r="D17" i="68"/>
  <c r="L17" i="68" s="1"/>
  <c r="B17" i="68"/>
  <c r="Z16" i="68"/>
  <c r="X16" i="68"/>
  <c r="P16" i="68"/>
  <c r="N16" i="68"/>
  <c r="L16" i="68"/>
  <c r="D16" i="68"/>
  <c r="B16" i="68"/>
  <c r="Z15" i="68"/>
  <c r="P15" i="68"/>
  <c r="X15" i="68" s="1"/>
  <c r="N15" i="68"/>
  <c r="D15" i="68"/>
  <c r="L15" i="68" s="1"/>
  <c r="B15" i="68"/>
  <c r="X14" i="68"/>
  <c r="Z14" i="68" s="1"/>
  <c r="P14" i="68"/>
  <c r="N14" i="68"/>
  <c r="L14" i="68"/>
  <c r="D14" i="68"/>
  <c r="B14" i="68"/>
  <c r="P13" i="68"/>
  <c r="X13" i="68" s="1"/>
  <c r="Z13" i="68" s="1"/>
  <c r="L13" i="68"/>
  <c r="N13" i="68" s="1"/>
  <c r="D13" i="68"/>
  <c r="D12" i="68" s="1"/>
  <c r="F58" i="68" s="1"/>
  <c r="B13" i="68"/>
  <c r="T12" i="68"/>
  <c r="P12" i="68"/>
  <c r="R70" i="68" s="1"/>
  <c r="H12" i="68"/>
  <c r="J77" i="68" s="1"/>
  <c r="D6" i="68"/>
  <c r="D4" i="68"/>
  <c r="X112" i="67"/>
  <c r="Z112" i="67" s="1"/>
  <c r="N112" i="67"/>
  <c r="L112" i="67"/>
  <c r="Z108" i="67"/>
  <c r="P108" i="67"/>
  <c r="X108" i="67" s="1"/>
  <c r="N108" i="67"/>
  <c r="D108" i="67"/>
  <c r="L108" i="67" s="1"/>
  <c r="B108" i="67"/>
  <c r="X107" i="67"/>
  <c r="Z107" i="67" s="1"/>
  <c r="P107" i="67"/>
  <c r="N107" i="67"/>
  <c r="D107" i="67"/>
  <c r="L107" i="67" s="1"/>
  <c r="B107" i="67"/>
  <c r="P106" i="67"/>
  <c r="L106" i="67"/>
  <c r="N106" i="67" s="1"/>
  <c r="D106" i="67"/>
  <c r="B106" i="67"/>
  <c r="T105" i="67"/>
  <c r="H105" i="67"/>
  <c r="D105" i="67"/>
  <c r="L105" i="67" s="1"/>
  <c r="Z103" i="67"/>
  <c r="X103" i="67"/>
  <c r="L103" i="67"/>
  <c r="N103" i="67" s="1"/>
  <c r="B103" i="67"/>
  <c r="X102" i="67"/>
  <c r="Z102" i="67" s="1"/>
  <c r="T102" i="67"/>
  <c r="P102" i="67"/>
  <c r="L102" i="67"/>
  <c r="N102" i="67" s="1"/>
  <c r="H102" i="67"/>
  <c r="D102" i="67"/>
  <c r="B102" i="67"/>
  <c r="X101" i="67"/>
  <c r="Z101" i="67" s="1"/>
  <c r="N101" i="67"/>
  <c r="L101" i="67"/>
  <c r="B101" i="67"/>
  <c r="X100" i="67"/>
  <c r="Z100" i="67" s="1"/>
  <c r="T100" i="67"/>
  <c r="P100" i="67"/>
  <c r="N100" i="67"/>
  <c r="H100" i="67"/>
  <c r="D100" i="67"/>
  <c r="L100" i="67" s="1"/>
  <c r="B100" i="67"/>
  <c r="X99" i="67"/>
  <c r="Z99" i="67" s="1"/>
  <c r="N99" i="67"/>
  <c r="L99" i="67"/>
  <c r="B99" i="67"/>
  <c r="Z98" i="67"/>
  <c r="X98" i="67"/>
  <c r="N98" i="67"/>
  <c r="L98" i="67"/>
  <c r="B98" i="67"/>
  <c r="X97" i="67"/>
  <c r="Z97" i="67" s="1"/>
  <c r="N97" i="67"/>
  <c r="L97" i="67"/>
  <c r="B97" i="67"/>
  <c r="Z96" i="67"/>
  <c r="X96" i="67"/>
  <c r="N96" i="67"/>
  <c r="L96" i="67"/>
  <c r="B96" i="67"/>
  <c r="T95" i="67"/>
  <c r="P95" i="67"/>
  <c r="X95" i="67" s="1"/>
  <c r="Z95" i="67" s="1"/>
  <c r="L95" i="67"/>
  <c r="N95" i="67" s="1"/>
  <c r="H95" i="67"/>
  <c r="D95" i="67"/>
  <c r="B95" i="67"/>
  <c r="Z94" i="67"/>
  <c r="X94" i="67"/>
  <c r="L94" i="67"/>
  <c r="N94" i="67" s="1"/>
  <c r="B94" i="67"/>
  <c r="X93" i="67"/>
  <c r="Z93" i="67" s="1"/>
  <c r="N93" i="67"/>
  <c r="L93" i="67"/>
  <c r="B93" i="67"/>
  <c r="X92" i="67"/>
  <c r="Z92" i="67" s="1"/>
  <c r="T92" i="67"/>
  <c r="P92" i="67"/>
  <c r="H92" i="67"/>
  <c r="L92" i="67" s="1"/>
  <c r="N92" i="67" s="1"/>
  <c r="D92" i="67"/>
  <c r="B92" i="67"/>
  <c r="X91" i="67"/>
  <c r="Z91" i="67" s="1"/>
  <c r="N91" i="67"/>
  <c r="L91" i="67"/>
  <c r="B91" i="67"/>
  <c r="Z90" i="67"/>
  <c r="X90" i="67"/>
  <c r="L90" i="67"/>
  <c r="N90" i="67" s="1"/>
  <c r="B90" i="67"/>
  <c r="X89" i="67"/>
  <c r="Z89" i="67" s="1"/>
  <c r="N89" i="67"/>
  <c r="L89" i="67"/>
  <c r="B89" i="67"/>
  <c r="X88" i="67"/>
  <c r="Z88" i="67" s="1"/>
  <c r="T88" i="67"/>
  <c r="P88" i="67"/>
  <c r="N88" i="67"/>
  <c r="H88" i="67"/>
  <c r="L88" i="67" s="1"/>
  <c r="D88" i="67"/>
  <c r="B88" i="67"/>
  <c r="Z87" i="67"/>
  <c r="X87" i="67"/>
  <c r="N87" i="67"/>
  <c r="L87" i="67"/>
  <c r="B87" i="67"/>
  <c r="Z86" i="67"/>
  <c r="X86" i="67"/>
  <c r="N86" i="67"/>
  <c r="L86" i="67"/>
  <c r="B86" i="67"/>
  <c r="Z85" i="67"/>
  <c r="X85" i="67"/>
  <c r="T85" i="67"/>
  <c r="P85" i="67"/>
  <c r="L85" i="67"/>
  <c r="H85" i="67"/>
  <c r="N85" i="67" s="1"/>
  <c r="D85" i="67"/>
  <c r="B85" i="67"/>
  <c r="Z84" i="67"/>
  <c r="X84" i="67"/>
  <c r="L84" i="67"/>
  <c r="N84" i="67" s="1"/>
  <c r="B84" i="67"/>
  <c r="X83" i="67"/>
  <c r="T83" i="67"/>
  <c r="P83" i="67"/>
  <c r="H83" i="67"/>
  <c r="D83" i="67"/>
  <c r="B83" i="67"/>
  <c r="X82" i="67"/>
  <c r="Z82" i="67" s="1"/>
  <c r="N82" i="67"/>
  <c r="L82" i="67"/>
  <c r="B82" i="67"/>
  <c r="T81" i="67"/>
  <c r="P81" i="67"/>
  <c r="H81" i="67"/>
  <c r="D81" i="67"/>
  <c r="L81" i="67" s="1"/>
  <c r="N81" i="67" s="1"/>
  <c r="B81" i="67"/>
  <c r="Z80" i="67"/>
  <c r="X80" i="67"/>
  <c r="N80" i="67"/>
  <c r="L80" i="67"/>
  <c r="B80" i="67"/>
  <c r="Z79" i="67"/>
  <c r="T79" i="67"/>
  <c r="P79" i="67"/>
  <c r="X79" i="67" s="1"/>
  <c r="N79" i="67"/>
  <c r="L79" i="67"/>
  <c r="J79" i="67"/>
  <c r="H79" i="67"/>
  <c r="D79" i="67"/>
  <c r="B79" i="67"/>
  <c r="Z78" i="67"/>
  <c r="X78" i="67"/>
  <c r="N78" i="67"/>
  <c r="L78" i="67"/>
  <c r="B78" i="67"/>
  <c r="X77" i="67"/>
  <c r="Z77" i="67" s="1"/>
  <c r="L77" i="67"/>
  <c r="N77" i="67" s="1"/>
  <c r="B77" i="67"/>
  <c r="X76" i="67"/>
  <c r="Z76" i="67" s="1"/>
  <c r="T76" i="67"/>
  <c r="P76" i="67"/>
  <c r="H76" i="67"/>
  <c r="D76" i="67"/>
  <c r="B76" i="67"/>
  <c r="Z75" i="67"/>
  <c r="X75" i="67"/>
  <c r="N75" i="67"/>
  <c r="L75" i="67"/>
  <c r="B75" i="67"/>
  <c r="Z74" i="67"/>
  <c r="T74" i="67"/>
  <c r="P74" i="67"/>
  <c r="X74" i="67" s="1"/>
  <c r="H74" i="67"/>
  <c r="N74" i="67" s="1"/>
  <c r="D74" i="67"/>
  <c r="L74" i="67" s="1"/>
  <c r="B74" i="67"/>
  <c r="Z73" i="67"/>
  <c r="X73" i="67"/>
  <c r="L73" i="67"/>
  <c r="N73" i="67" s="1"/>
  <c r="B73" i="67"/>
  <c r="V72" i="67"/>
  <c r="T72" i="67"/>
  <c r="Z72" i="67" s="1"/>
  <c r="P72" i="67"/>
  <c r="X72" i="67" s="1"/>
  <c r="L72" i="67"/>
  <c r="H72" i="67"/>
  <c r="N72" i="67" s="1"/>
  <c r="D72" i="67"/>
  <c r="B72" i="67"/>
  <c r="Z71" i="67"/>
  <c r="X71" i="67"/>
  <c r="N71" i="67"/>
  <c r="L71" i="67"/>
  <c r="B71" i="67"/>
  <c r="X70" i="67"/>
  <c r="T70" i="67"/>
  <c r="Z70" i="67" s="1"/>
  <c r="P70" i="67"/>
  <c r="N70" i="67"/>
  <c r="L70" i="67"/>
  <c r="H70" i="67"/>
  <c r="D70" i="67"/>
  <c r="B70" i="67"/>
  <c r="Z69" i="67"/>
  <c r="X69" i="67"/>
  <c r="V69" i="67"/>
  <c r="N69" i="67"/>
  <c r="L69" i="67"/>
  <c r="B69" i="67"/>
  <c r="Z68" i="67"/>
  <c r="X68" i="67"/>
  <c r="T68" i="67"/>
  <c r="P68" i="67"/>
  <c r="N68" i="67"/>
  <c r="H68" i="67"/>
  <c r="D68" i="67"/>
  <c r="L68" i="67" s="1"/>
  <c r="B68" i="67"/>
  <c r="Z67" i="67"/>
  <c r="X67" i="67"/>
  <c r="N67" i="67"/>
  <c r="L67" i="67"/>
  <c r="B67" i="67"/>
  <c r="T66" i="67"/>
  <c r="Z66" i="67" s="1"/>
  <c r="P66" i="67"/>
  <c r="H66" i="67"/>
  <c r="N66" i="67" s="1"/>
  <c r="D66" i="67"/>
  <c r="L66" i="67" s="1"/>
  <c r="B66" i="67"/>
  <c r="Z65" i="67"/>
  <c r="X65" i="67"/>
  <c r="L65" i="67"/>
  <c r="N65" i="67" s="1"/>
  <c r="B65" i="67"/>
  <c r="T64" i="67"/>
  <c r="Z64" i="67" s="1"/>
  <c r="P64" i="67"/>
  <c r="X64" i="67" s="1"/>
  <c r="L64" i="67"/>
  <c r="H64" i="67"/>
  <c r="N64" i="67" s="1"/>
  <c r="D64" i="67"/>
  <c r="B64" i="67"/>
  <c r="Z63" i="67"/>
  <c r="X63" i="67"/>
  <c r="N63" i="67"/>
  <c r="L63" i="67"/>
  <c r="B63" i="67"/>
  <c r="Z62" i="67"/>
  <c r="X62" i="67"/>
  <c r="N62" i="67"/>
  <c r="L62" i="67"/>
  <c r="B62" i="67"/>
  <c r="Z61" i="67"/>
  <c r="X61" i="67"/>
  <c r="N61" i="67"/>
  <c r="L61" i="67"/>
  <c r="B61" i="67"/>
  <c r="Z60" i="67"/>
  <c r="X60" i="67"/>
  <c r="L60" i="67"/>
  <c r="N60" i="67" s="1"/>
  <c r="B60" i="67"/>
  <c r="Z59" i="67"/>
  <c r="X59" i="67"/>
  <c r="N59" i="67"/>
  <c r="L59" i="67"/>
  <c r="B59" i="67"/>
  <c r="Z58" i="67"/>
  <c r="X58" i="67"/>
  <c r="N58" i="67"/>
  <c r="L58" i="67"/>
  <c r="B58" i="67"/>
  <c r="X57" i="67"/>
  <c r="Z57" i="67" s="1"/>
  <c r="N57" i="67"/>
  <c r="L57" i="67"/>
  <c r="B57" i="67"/>
  <c r="Z56" i="67"/>
  <c r="X56" i="67"/>
  <c r="N56" i="67"/>
  <c r="L56" i="67"/>
  <c r="B56" i="67"/>
  <c r="Z55" i="67"/>
  <c r="X55" i="67"/>
  <c r="L55" i="67"/>
  <c r="N55" i="67" s="1"/>
  <c r="B55" i="67"/>
  <c r="Z54" i="67"/>
  <c r="X54" i="67"/>
  <c r="N54" i="67"/>
  <c r="L54" i="67"/>
  <c r="B54" i="67"/>
  <c r="T53" i="67"/>
  <c r="P53" i="67"/>
  <c r="X53" i="67" s="1"/>
  <c r="H53" i="67"/>
  <c r="D53" i="67"/>
  <c r="L53" i="67" s="1"/>
  <c r="N53" i="67" s="1"/>
  <c r="B53" i="67"/>
  <c r="Z52" i="67"/>
  <c r="X52" i="67"/>
  <c r="N52" i="67"/>
  <c r="L52" i="67"/>
  <c r="B52" i="67"/>
  <c r="Z51" i="67"/>
  <c r="X51" i="67"/>
  <c r="L51" i="67"/>
  <c r="N51" i="67" s="1"/>
  <c r="B51" i="67"/>
  <c r="X50" i="67"/>
  <c r="Z50" i="67" s="1"/>
  <c r="N50" i="67"/>
  <c r="L50" i="67"/>
  <c r="B50" i="67"/>
  <c r="Z49" i="67"/>
  <c r="X49" i="67"/>
  <c r="N49" i="67"/>
  <c r="L49" i="67"/>
  <c r="B49" i="67"/>
  <c r="Z48" i="67"/>
  <c r="X48" i="67"/>
  <c r="N48" i="67"/>
  <c r="L48" i="67"/>
  <c r="B48" i="67"/>
  <c r="X47" i="67"/>
  <c r="Z47" i="67" s="1"/>
  <c r="N47" i="67"/>
  <c r="L47" i="67"/>
  <c r="B47" i="67"/>
  <c r="Z46" i="67"/>
  <c r="X46" i="67"/>
  <c r="L46" i="67"/>
  <c r="N46" i="67" s="1"/>
  <c r="B46" i="67"/>
  <c r="X45" i="67"/>
  <c r="Z45" i="67" s="1"/>
  <c r="N45" i="67"/>
  <c r="L45" i="67"/>
  <c r="B45" i="67"/>
  <c r="Z44" i="67"/>
  <c r="X44" i="67"/>
  <c r="N44" i="67"/>
  <c r="L44" i="67"/>
  <c r="B44" i="67"/>
  <c r="Z43" i="67"/>
  <c r="T43" i="67"/>
  <c r="P43" i="67"/>
  <c r="X43" i="67" s="1"/>
  <c r="N43" i="67"/>
  <c r="L43" i="67"/>
  <c r="H43" i="67"/>
  <c r="D43" i="67"/>
  <c r="B43" i="67"/>
  <c r="T42" i="67"/>
  <c r="P42" i="67"/>
  <c r="X42" i="67" s="1"/>
  <c r="H42" i="67"/>
  <c r="N42" i="67" s="1"/>
  <c r="D42" i="67"/>
  <c r="L42" i="67" s="1"/>
  <c r="Z38" i="67"/>
  <c r="X38" i="67"/>
  <c r="N38" i="67"/>
  <c r="L38" i="67"/>
  <c r="J38" i="67"/>
  <c r="B38" i="67"/>
  <c r="Z37" i="67"/>
  <c r="X37" i="67"/>
  <c r="N37" i="67"/>
  <c r="L37" i="67"/>
  <c r="B37" i="67"/>
  <c r="Z36" i="67"/>
  <c r="X36" i="67"/>
  <c r="N36" i="67"/>
  <c r="L36" i="67"/>
  <c r="F36" i="67"/>
  <c r="B36" i="67"/>
  <c r="Z35" i="67"/>
  <c r="X35" i="67"/>
  <c r="N35" i="67"/>
  <c r="L35" i="67"/>
  <c r="J35" i="67"/>
  <c r="B35" i="67"/>
  <c r="Z34" i="67"/>
  <c r="X34" i="67"/>
  <c r="N34" i="67"/>
  <c r="L34" i="67"/>
  <c r="B34" i="67"/>
  <c r="Z33" i="67"/>
  <c r="X33" i="67"/>
  <c r="N33" i="67"/>
  <c r="L33" i="67"/>
  <c r="B33" i="67"/>
  <c r="Z32" i="67"/>
  <c r="X32" i="67"/>
  <c r="N32" i="67"/>
  <c r="L32" i="67"/>
  <c r="J32" i="67"/>
  <c r="B32" i="67"/>
  <c r="Z31" i="67"/>
  <c r="X31" i="67"/>
  <c r="V31" i="67"/>
  <c r="N31" i="67"/>
  <c r="L31" i="67"/>
  <c r="B31" i="67"/>
  <c r="Z30" i="67"/>
  <c r="X30" i="67"/>
  <c r="N30" i="67"/>
  <c r="L30" i="67"/>
  <c r="J30" i="67"/>
  <c r="B30" i="67"/>
  <c r="Z29" i="67"/>
  <c r="X29" i="67"/>
  <c r="N29" i="67"/>
  <c r="L29" i="67"/>
  <c r="B29" i="67"/>
  <c r="Z28" i="67"/>
  <c r="X28" i="67"/>
  <c r="N28" i="67"/>
  <c r="L28" i="67"/>
  <c r="F28" i="67"/>
  <c r="B28" i="67"/>
  <c r="Z27" i="67"/>
  <c r="X27" i="67"/>
  <c r="N27" i="67"/>
  <c r="L27" i="67"/>
  <c r="J27" i="67"/>
  <c r="B27" i="67"/>
  <c r="Z26" i="67"/>
  <c r="X26" i="67"/>
  <c r="V26" i="67"/>
  <c r="N26" i="67"/>
  <c r="L26" i="67"/>
  <c r="B26" i="67"/>
  <c r="Z25" i="67"/>
  <c r="X25" i="67"/>
  <c r="N25" i="67"/>
  <c r="L25" i="67"/>
  <c r="B25" i="67"/>
  <c r="Z24" i="67"/>
  <c r="X24" i="67"/>
  <c r="N24" i="67"/>
  <c r="L24" i="67"/>
  <c r="J24" i="67"/>
  <c r="B24" i="67"/>
  <c r="Z23" i="67"/>
  <c r="X23" i="67"/>
  <c r="V23" i="67"/>
  <c r="N23" i="67"/>
  <c r="L23" i="67"/>
  <c r="B23" i="67"/>
  <c r="Z22" i="67"/>
  <c r="X22" i="67"/>
  <c r="N22" i="67"/>
  <c r="L22" i="67"/>
  <c r="J22" i="67"/>
  <c r="B22" i="67"/>
  <c r="Z21" i="67"/>
  <c r="X21" i="67"/>
  <c r="N21" i="67"/>
  <c r="L21" i="67"/>
  <c r="B21" i="67"/>
  <c r="Z20" i="67"/>
  <c r="X20" i="67"/>
  <c r="N20" i="67"/>
  <c r="L20" i="67"/>
  <c r="F20" i="67"/>
  <c r="B20" i="67"/>
  <c r="T19" i="67"/>
  <c r="P19" i="67"/>
  <c r="H19" i="67"/>
  <c r="D19" i="67"/>
  <c r="L19" i="67" s="1"/>
  <c r="N19" i="67" s="1"/>
  <c r="Z17" i="67"/>
  <c r="P17" i="67"/>
  <c r="X17" i="67" s="1"/>
  <c r="N17" i="67"/>
  <c r="D17" i="67"/>
  <c r="L17" i="67" s="1"/>
  <c r="B17" i="67"/>
  <c r="Z16" i="67"/>
  <c r="P16" i="67"/>
  <c r="X16" i="67" s="1"/>
  <c r="N16" i="67"/>
  <c r="L16" i="67"/>
  <c r="D16" i="67"/>
  <c r="B16" i="67"/>
  <c r="Z15" i="67"/>
  <c r="X15" i="67"/>
  <c r="P15" i="67"/>
  <c r="N15" i="67"/>
  <c r="L15" i="67"/>
  <c r="D15" i="67"/>
  <c r="B15" i="67"/>
  <c r="Z14" i="67"/>
  <c r="P14" i="67"/>
  <c r="X14" i="67" s="1"/>
  <c r="N14" i="67"/>
  <c r="D14" i="67"/>
  <c r="L14" i="67" s="1"/>
  <c r="B14" i="67"/>
  <c r="X13" i="67"/>
  <c r="Z13" i="67" s="1"/>
  <c r="P13" i="67"/>
  <c r="D13" i="67"/>
  <c r="L13" i="67" s="1"/>
  <c r="N13" i="67" s="1"/>
  <c r="B13" i="67"/>
  <c r="T12" i="67"/>
  <c r="V45" i="67" s="1"/>
  <c r="H12" i="67"/>
  <c r="D12" i="67"/>
  <c r="F54" i="67" s="1"/>
  <c r="D6" i="67"/>
  <c r="D4" i="67"/>
  <c r="X95" i="65"/>
  <c r="Z95" i="65" s="1"/>
  <c r="L95" i="65"/>
  <c r="N95" i="65" s="1"/>
  <c r="J95" i="65"/>
  <c r="Z91" i="65"/>
  <c r="X91" i="65"/>
  <c r="V91" i="65"/>
  <c r="P91" i="65"/>
  <c r="N91" i="65"/>
  <c r="D91" i="65"/>
  <c r="L91" i="65" s="1"/>
  <c r="B91" i="65"/>
  <c r="Z90" i="65"/>
  <c r="P90" i="65"/>
  <c r="X90" i="65" s="1"/>
  <c r="N90" i="65"/>
  <c r="L90" i="65"/>
  <c r="J90" i="65"/>
  <c r="D90" i="65"/>
  <c r="B90" i="65"/>
  <c r="P89" i="65"/>
  <c r="X89" i="65" s="1"/>
  <c r="Z89" i="65" s="1"/>
  <c r="D89" i="65"/>
  <c r="L89" i="65" s="1"/>
  <c r="N89" i="65" s="1"/>
  <c r="B89" i="65"/>
  <c r="X88" i="65"/>
  <c r="Z88" i="65" s="1"/>
  <c r="P88" i="65"/>
  <c r="D88" i="65"/>
  <c r="B88" i="65"/>
  <c r="T87" i="65"/>
  <c r="H87" i="65"/>
  <c r="Z85" i="65"/>
  <c r="X85" i="65"/>
  <c r="V85" i="65"/>
  <c r="N85" i="65"/>
  <c r="L85" i="65"/>
  <c r="B85" i="65"/>
  <c r="Z84" i="65"/>
  <c r="X84" i="65"/>
  <c r="T84" i="65"/>
  <c r="P84" i="65"/>
  <c r="H84" i="65"/>
  <c r="D84" i="65"/>
  <c r="B84" i="65"/>
  <c r="X83" i="65"/>
  <c r="Z83" i="65" s="1"/>
  <c r="N83" i="65"/>
  <c r="L83" i="65"/>
  <c r="B83" i="65"/>
  <c r="Z82" i="65"/>
  <c r="X82" i="65"/>
  <c r="N82" i="65"/>
  <c r="L82" i="65"/>
  <c r="B82" i="65"/>
  <c r="V81" i="65"/>
  <c r="T81" i="65"/>
  <c r="Z81" i="65" s="1"/>
  <c r="P81" i="65"/>
  <c r="X81" i="65" s="1"/>
  <c r="L81" i="65"/>
  <c r="H81" i="65"/>
  <c r="N81" i="65" s="1"/>
  <c r="D81" i="65"/>
  <c r="B81" i="65"/>
  <c r="Z80" i="65"/>
  <c r="X80" i="65"/>
  <c r="L80" i="65"/>
  <c r="N80" i="65" s="1"/>
  <c r="B80" i="65"/>
  <c r="X79" i="65"/>
  <c r="Z79" i="65" s="1"/>
  <c r="N79" i="65"/>
  <c r="L79" i="65"/>
  <c r="B79" i="65"/>
  <c r="T78" i="65"/>
  <c r="P78" i="65"/>
  <c r="X78" i="65" s="1"/>
  <c r="H78" i="65"/>
  <c r="D78" i="65"/>
  <c r="L78" i="65" s="1"/>
  <c r="N78" i="65" s="1"/>
  <c r="B78" i="65"/>
  <c r="X77" i="65"/>
  <c r="Z77" i="65" s="1"/>
  <c r="L77" i="65"/>
  <c r="N77" i="65" s="1"/>
  <c r="J77" i="65"/>
  <c r="B77" i="65"/>
  <c r="Z76" i="65"/>
  <c r="X76" i="65"/>
  <c r="L76" i="65"/>
  <c r="N76" i="65" s="1"/>
  <c r="B76" i="65"/>
  <c r="X75" i="65"/>
  <c r="T75" i="65"/>
  <c r="Z75" i="65" s="1"/>
  <c r="P75" i="65"/>
  <c r="H75" i="65"/>
  <c r="D75" i="65"/>
  <c r="B75" i="65"/>
  <c r="Z74" i="65"/>
  <c r="X74" i="65"/>
  <c r="N74" i="65"/>
  <c r="L74" i="65"/>
  <c r="B74" i="65"/>
  <c r="X73" i="65"/>
  <c r="Z73" i="65" s="1"/>
  <c r="L73" i="65"/>
  <c r="N73" i="65" s="1"/>
  <c r="J73" i="65"/>
  <c r="B73" i="65"/>
  <c r="Z72" i="65"/>
  <c r="X72" i="65"/>
  <c r="N72" i="65"/>
  <c r="L72" i="65"/>
  <c r="B72" i="65"/>
  <c r="X71" i="65"/>
  <c r="T71" i="65"/>
  <c r="Z71" i="65" s="1"/>
  <c r="P71" i="65"/>
  <c r="H71" i="65"/>
  <c r="D71" i="65"/>
  <c r="B71" i="65"/>
  <c r="Z70" i="65"/>
  <c r="X70" i="65"/>
  <c r="N70" i="65"/>
  <c r="L70" i="65"/>
  <c r="B70" i="65"/>
  <c r="T69" i="65"/>
  <c r="P69" i="65"/>
  <c r="H69" i="65"/>
  <c r="D69" i="65"/>
  <c r="L69" i="65" s="1"/>
  <c r="N69" i="65" s="1"/>
  <c r="B69" i="65"/>
  <c r="X68" i="65"/>
  <c r="Z68" i="65" s="1"/>
  <c r="N68" i="65"/>
  <c r="L68" i="65"/>
  <c r="B68" i="65"/>
  <c r="T67" i="65"/>
  <c r="P67" i="65"/>
  <c r="X67" i="65" s="1"/>
  <c r="Z67" i="65" s="1"/>
  <c r="J67" i="65"/>
  <c r="H67" i="65"/>
  <c r="N67" i="65" s="1"/>
  <c r="D67" i="65"/>
  <c r="L67" i="65" s="1"/>
  <c r="B67" i="65"/>
  <c r="Z66" i="65"/>
  <c r="X66" i="65"/>
  <c r="N66" i="65"/>
  <c r="L66" i="65"/>
  <c r="B66" i="65"/>
  <c r="X65" i="65"/>
  <c r="Z65" i="65" s="1"/>
  <c r="V65" i="65"/>
  <c r="L65" i="65"/>
  <c r="N65" i="65" s="1"/>
  <c r="B65" i="65"/>
  <c r="X64" i="65"/>
  <c r="Z64" i="65" s="1"/>
  <c r="T64" i="65"/>
  <c r="P64" i="65"/>
  <c r="H64" i="65"/>
  <c r="N64" i="65" s="1"/>
  <c r="D64" i="65"/>
  <c r="L64" i="65" s="1"/>
  <c r="B64" i="65"/>
  <c r="X63" i="65"/>
  <c r="Z63" i="65" s="1"/>
  <c r="N63" i="65"/>
  <c r="L63" i="65"/>
  <c r="B63" i="65"/>
  <c r="T62" i="65"/>
  <c r="P62" i="65"/>
  <c r="X62" i="65" s="1"/>
  <c r="H62" i="65"/>
  <c r="D62" i="65"/>
  <c r="L62" i="65" s="1"/>
  <c r="N62" i="65" s="1"/>
  <c r="B62" i="65"/>
  <c r="X61" i="65"/>
  <c r="Z61" i="65" s="1"/>
  <c r="L61" i="65"/>
  <c r="N61" i="65" s="1"/>
  <c r="J61" i="65"/>
  <c r="B61" i="65"/>
  <c r="T60" i="65"/>
  <c r="P60" i="65"/>
  <c r="X60" i="65" s="1"/>
  <c r="Z60" i="65" s="1"/>
  <c r="H60" i="65"/>
  <c r="D60" i="65"/>
  <c r="L60" i="65" s="1"/>
  <c r="N60" i="65" s="1"/>
  <c r="B60" i="65"/>
  <c r="Z59" i="65"/>
  <c r="X59" i="65"/>
  <c r="N59" i="65"/>
  <c r="L59" i="65"/>
  <c r="B59" i="65"/>
  <c r="Z58" i="65"/>
  <c r="T58" i="65"/>
  <c r="P58" i="65"/>
  <c r="X58" i="65" s="1"/>
  <c r="N58" i="65"/>
  <c r="L58" i="65"/>
  <c r="H58" i="65"/>
  <c r="D58" i="65"/>
  <c r="B58" i="65"/>
  <c r="X57" i="65"/>
  <c r="Z57" i="65" s="1"/>
  <c r="V57" i="65"/>
  <c r="L57" i="65"/>
  <c r="N57" i="65" s="1"/>
  <c r="B57" i="65"/>
  <c r="X56" i="65"/>
  <c r="Z56" i="65" s="1"/>
  <c r="T56" i="65"/>
  <c r="P56" i="65"/>
  <c r="H56" i="65"/>
  <c r="D56" i="65"/>
  <c r="B56" i="65"/>
  <c r="Z55" i="65"/>
  <c r="X55" i="65"/>
  <c r="N55" i="65"/>
  <c r="L55" i="65"/>
  <c r="B55" i="65"/>
  <c r="Z54" i="65"/>
  <c r="X54" i="65"/>
  <c r="N54" i="65"/>
  <c r="L54" i="65"/>
  <c r="B54" i="65"/>
  <c r="X53" i="65"/>
  <c r="Z53" i="65" s="1"/>
  <c r="V53" i="65"/>
  <c r="L53" i="65"/>
  <c r="N53" i="65" s="1"/>
  <c r="B53" i="65"/>
  <c r="X52" i="65"/>
  <c r="Z52" i="65" s="1"/>
  <c r="N52" i="65"/>
  <c r="L52" i="65"/>
  <c r="B52" i="65"/>
  <c r="Z51" i="65"/>
  <c r="X51" i="65"/>
  <c r="N51" i="65"/>
  <c r="L51" i="65"/>
  <c r="B51" i="65"/>
  <c r="Z50" i="65"/>
  <c r="X50" i="65"/>
  <c r="N50" i="65"/>
  <c r="L50" i="65"/>
  <c r="B50" i="65"/>
  <c r="X49" i="65"/>
  <c r="Z49" i="65" s="1"/>
  <c r="L49" i="65"/>
  <c r="N49" i="65" s="1"/>
  <c r="J49" i="65"/>
  <c r="B49" i="65"/>
  <c r="Z48" i="65"/>
  <c r="X48" i="65"/>
  <c r="N48" i="65"/>
  <c r="L48" i="65"/>
  <c r="B48" i="65"/>
  <c r="X47" i="65"/>
  <c r="Z47" i="65" s="1"/>
  <c r="N47" i="65"/>
  <c r="L47" i="65"/>
  <c r="B47" i="65"/>
  <c r="Z46" i="65"/>
  <c r="X46" i="65"/>
  <c r="N46" i="65"/>
  <c r="L46" i="65"/>
  <c r="B46" i="65"/>
  <c r="V45" i="65"/>
  <c r="T45" i="65"/>
  <c r="Z45" i="65" s="1"/>
  <c r="P45" i="65"/>
  <c r="X45" i="65" s="1"/>
  <c r="L45" i="65"/>
  <c r="H45" i="65"/>
  <c r="N45" i="65" s="1"/>
  <c r="D45" i="65"/>
  <c r="B45" i="65"/>
  <c r="Z44" i="65"/>
  <c r="X44" i="65"/>
  <c r="L44" i="65"/>
  <c r="N44" i="65" s="1"/>
  <c r="B44" i="65"/>
  <c r="X43" i="65"/>
  <c r="Z43" i="65" s="1"/>
  <c r="N43" i="65"/>
  <c r="L43" i="65"/>
  <c r="B43" i="65"/>
  <c r="Z42" i="65"/>
  <c r="X42" i="65"/>
  <c r="N42" i="65"/>
  <c r="L42" i="65"/>
  <c r="B42" i="65"/>
  <c r="Z41" i="65"/>
  <c r="X41" i="65"/>
  <c r="V41" i="65"/>
  <c r="N41" i="65"/>
  <c r="L41" i="65"/>
  <c r="B41" i="65"/>
  <c r="Z40" i="65"/>
  <c r="X40" i="65"/>
  <c r="N40" i="65"/>
  <c r="L40" i="65"/>
  <c r="J40" i="65"/>
  <c r="B40" i="65"/>
  <c r="Z39" i="65"/>
  <c r="X39" i="65"/>
  <c r="L39" i="65"/>
  <c r="N39" i="65" s="1"/>
  <c r="B39" i="65"/>
  <c r="Z38" i="65"/>
  <c r="X38" i="65"/>
  <c r="N38" i="65"/>
  <c r="L38" i="65"/>
  <c r="B38" i="65"/>
  <c r="X37" i="65"/>
  <c r="Z37" i="65" s="1"/>
  <c r="L37" i="65"/>
  <c r="N37" i="65" s="1"/>
  <c r="J37" i="65"/>
  <c r="B37" i="65"/>
  <c r="Z36" i="65"/>
  <c r="X36" i="65"/>
  <c r="L36" i="65"/>
  <c r="N36" i="65" s="1"/>
  <c r="B36" i="65"/>
  <c r="X35" i="65"/>
  <c r="Z35" i="65" s="1"/>
  <c r="N35" i="65"/>
  <c r="L35" i="65"/>
  <c r="B35" i="65"/>
  <c r="T34" i="65"/>
  <c r="P34" i="65"/>
  <c r="X34" i="65" s="1"/>
  <c r="J34" i="65"/>
  <c r="H34" i="65"/>
  <c r="D34" i="65"/>
  <c r="L34" i="65" s="1"/>
  <c r="N34" i="65" s="1"/>
  <c r="B34" i="65"/>
  <c r="T33" i="65"/>
  <c r="P33" i="65"/>
  <c r="N33" i="65"/>
  <c r="H33" i="65"/>
  <c r="D33" i="65"/>
  <c r="L33" i="65" s="1"/>
  <c r="Z29" i="65"/>
  <c r="X29" i="65"/>
  <c r="N29" i="65"/>
  <c r="L29" i="65"/>
  <c r="J29" i="65"/>
  <c r="B29" i="65"/>
  <c r="Z28" i="65"/>
  <c r="X28" i="65"/>
  <c r="N28" i="65"/>
  <c r="L28" i="65"/>
  <c r="B28" i="65"/>
  <c r="Z27" i="65"/>
  <c r="X27" i="65"/>
  <c r="N27" i="65"/>
  <c r="L27" i="65"/>
  <c r="B27" i="65"/>
  <c r="Z26" i="65"/>
  <c r="X26" i="65"/>
  <c r="N26" i="65"/>
  <c r="L26" i="65"/>
  <c r="J26" i="65"/>
  <c r="B26" i="65"/>
  <c r="Z25" i="65"/>
  <c r="X25" i="65"/>
  <c r="V25" i="65"/>
  <c r="N25" i="65"/>
  <c r="L25" i="65"/>
  <c r="B25" i="65"/>
  <c r="Z24" i="65"/>
  <c r="X24" i="65"/>
  <c r="N24" i="65"/>
  <c r="L24" i="65"/>
  <c r="J24" i="65"/>
  <c r="B24" i="65"/>
  <c r="Z23" i="65"/>
  <c r="X23" i="65"/>
  <c r="N23" i="65"/>
  <c r="L23" i="65"/>
  <c r="B23" i="65"/>
  <c r="Z22" i="65"/>
  <c r="X22" i="65"/>
  <c r="N22" i="65"/>
  <c r="L22" i="65"/>
  <c r="F22" i="65"/>
  <c r="B22" i="65"/>
  <c r="Z21" i="65"/>
  <c r="X21" i="65"/>
  <c r="N21" i="65"/>
  <c r="L21" i="65"/>
  <c r="J21" i="65"/>
  <c r="B21" i="65"/>
  <c r="Z20" i="65"/>
  <c r="X20" i="65"/>
  <c r="L20" i="65"/>
  <c r="N20" i="65" s="1"/>
  <c r="B20" i="65"/>
  <c r="X19" i="65"/>
  <c r="T19" i="65"/>
  <c r="Z19" i="65" s="1"/>
  <c r="P19" i="65"/>
  <c r="H19" i="65"/>
  <c r="D19" i="65"/>
  <c r="Z17" i="65"/>
  <c r="X17" i="65"/>
  <c r="P17" i="65"/>
  <c r="N17" i="65"/>
  <c r="D17" i="65"/>
  <c r="L17" i="65" s="1"/>
  <c r="B17" i="65"/>
  <c r="Z16" i="65"/>
  <c r="X16" i="65"/>
  <c r="P16" i="65"/>
  <c r="N16" i="65"/>
  <c r="L16" i="65"/>
  <c r="D16" i="65"/>
  <c r="B16" i="65"/>
  <c r="Z15" i="65"/>
  <c r="P15" i="65"/>
  <c r="X15" i="65" s="1"/>
  <c r="N15" i="65"/>
  <c r="D15" i="65"/>
  <c r="L15" i="65" s="1"/>
  <c r="B15" i="65"/>
  <c r="Z14" i="65"/>
  <c r="P14" i="65"/>
  <c r="X14" i="65" s="1"/>
  <c r="N14" i="65"/>
  <c r="L14" i="65"/>
  <c r="D14" i="65"/>
  <c r="B14" i="65"/>
  <c r="X13" i="65"/>
  <c r="Z13" i="65" s="1"/>
  <c r="P13" i="65"/>
  <c r="L13" i="65"/>
  <c r="N13" i="65" s="1"/>
  <c r="D13" i="65"/>
  <c r="D12" i="65" s="1"/>
  <c r="B13" i="65"/>
  <c r="T12" i="65"/>
  <c r="V88" i="65" s="1"/>
  <c r="L12" i="65"/>
  <c r="H12" i="65"/>
  <c r="J80" i="65" s="1"/>
  <c r="D6" i="65"/>
  <c r="D4" i="65"/>
  <c r="J51" i="64"/>
  <c r="R48" i="64"/>
  <c r="Z46" i="64"/>
  <c r="X46" i="64"/>
  <c r="R46" i="64"/>
  <c r="N46" i="64"/>
  <c r="L46" i="64"/>
  <c r="J44" i="64"/>
  <c r="D44" i="64"/>
  <c r="Z42" i="64"/>
  <c r="T42" i="64"/>
  <c r="R42" i="64"/>
  <c r="P42" i="64"/>
  <c r="X42" i="64" s="1"/>
  <c r="N42" i="64"/>
  <c r="L42" i="64"/>
  <c r="H42" i="64"/>
  <c r="D42" i="64"/>
  <c r="Z40" i="64"/>
  <c r="X40" i="64"/>
  <c r="R40" i="64"/>
  <c r="N40" i="64"/>
  <c r="L40" i="64"/>
  <c r="B40" i="64"/>
  <c r="T39" i="64"/>
  <c r="Z39" i="64" s="1"/>
  <c r="P39" i="64"/>
  <c r="X39" i="64" s="1"/>
  <c r="L39" i="64"/>
  <c r="H39" i="64"/>
  <c r="N39" i="64" s="1"/>
  <c r="F39" i="64"/>
  <c r="D39" i="64"/>
  <c r="B39" i="64"/>
  <c r="Z38" i="64"/>
  <c r="X38" i="64"/>
  <c r="N38" i="64"/>
  <c r="L38" i="64"/>
  <c r="B38" i="64"/>
  <c r="Z37" i="64"/>
  <c r="X37" i="64"/>
  <c r="N37" i="64"/>
  <c r="L37" i="64"/>
  <c r="B37" i="64"/>
  <c r="T36" i="64"/>
  <c r="Z36" i="64" s="1"/>
  <c r="P36" i="64"/>
  <c r="X36" i="64" s="1"/>
  <c r="N36" i="64"/>
  <c r="J36" i="64"/>
  <c r="H36" i="64"/>
  <c r="D36" i="64"/>
  <c r="L36" i="64" s="1"/>
  <c r="B36" i="64"/>
  <c r="Z35" i="64"/>
  <c r="X35" i="64"/>
  <c r="R35" i="64"/>
  <c r="N35" i="64"/>
  <c r="L35" i="64"/>
  <c r="J35" i="64"/>
  <c r="B35" i="64"/>
  <c r="Z34" i="64"/>
  <c r="X34" i="64"/>
  <c r="N34" i="64"/>
  <c r="L34" i="64"/>
  <c r="B34" i="64"/>
  <c r="X33" i="64"/>
  <c r="T33" i="64"/>
  <c r="Z33" i="64" s="1"/>
  <c r="R33" i="64"/>
  <c r="P33" i="64"/>
  <c r="H33" i="64"/>
  <c r="N33" i="64" s="1"/>
  <c r="D33" i="64"/>
  <c r="B33" i="64"/>
  <c r="Z32" i="64"/>
  <c r="X32" i="64"/>
  <c r="N32" i="64"/>
  <c r="L32" i="64"/>
  <c r="F32" i="64"/>
  <c r="B32" i="64"/>
  <c r="Z31" i="64"/>
  <c r="X31" i="64"/>
  <c r="R31" i="64"/>
  <c r="N31" i="64"/>
  <c r="L31" i="64"/>
  <c r="J31" i="64"/>
  <c r="B31" i="64"/>
  <c r="Z30" i="64"/>
  <c r="T30" i="64"/>
  <c r="P30" i="64"/>
  <c r="X30" i="64" s="1"/>
  <c r="N30" i="64"/>
  <c r="L30" i="64"/>
  <c r="H30" i="64"/>
  <c r="F30" i="64"/>
  <c r="D30" i="64"/>
  <c r="B30" i="64"/>
  <c r="Z29" i="64"/>
  <c r="X29" i="64"/>
  <c r="R29" i="64"/>
  <c r="N29" i="64"/>
  <c r="L29" i="64"/>
  <c r="B29" i="64"/>
  <c r="Z28" i="64"/>
  <c r="X28" i="64"/>
  <c r="T28" i="64"/>
  <c r="R28" i="64"/>
  <c r="P28" i="64"/>
  <c r="L28" i="64"/>
  <c r="H28" i="64"/>
  <c r="N28" i="64" s="1"/>
  <c r="F28" i="64"/>
  <c r="D28" i="64"/>
  <c r="B28" i="64"/>
  <c r="Z27" i="64"/>
  <c r="X27" i="64"/>
  <c r="N27" i="64"/>
  <c r="L27" i="64"/>
  <c r="F27" i="64"/>
  <c r="B27" i="64"/>
  <c r="X26" i="64"/>
  <c r="T26" i="64"/>
  <c r="Z26" i="64" s="1"/>
  <c r="R26" i="64"/>
  <c r="P26" i="64"/>
  <c r="H26" i="64"/>
  <c r="N26" i="64" s="1"/>
  <c r="D26" i="64"/>
  <c r="L26" i="64" s="1"/>
  <c r="B26" i="64"/>
  <c r="X25" i="64"/>
  <c r="Z25" i="64" s="1"/>
  <c r="N25" i="64"/>
  <c r="L25" i="64"/>
  <c r="F25" i="64"/>
  <c r="B25" i="64"/>
  <c r="T24" i="64"/>
  <c r="P24" i="64"/>
  <c r="X24" i="64" s="1"/>
  <c r="J24" i="64"/>
  <c r="H24" i="64"/>
  <c r="D24" i="64"/>
  <c r="L24" i="64" s="1"/>
  <c r="N24" i="64" s="1"/>
  <c r="B24" i="64"/>
  <c r="Z23" i="64"/>
  <c r="X23" i="64"/>
  <c r="R23" i="64"/>
  <c r="N23" i="64"/>
  <c r="L23" i="64"/>
  <c r="J23" i="64"/>
  <c r="B23" i="64"/>
  <c r="Z22" i="64"/>
  <c r="T22" i="64"/>
  <c r="P22" i="64"/>
  <c r="X22" i="64" s="1"/>
  <c r="N22" i="64"/>
  <c r="L22" i="64"/>
  <c r="J22" i="64"/>
  <c r="H22" i="64"/>
  <c r="F22" i="64"/>
  <c r="D22" i="64"/>
  <c r="B22" i="64"/>
  <c r="Z21" i="64"/>
  <c r="X21" i="64"/>
  <c r="R21" i="64"/>
  <c r="N21" i="64"/>
  <c r="L21" i="64"/>
  <c r="B21" i="64"/>
  <c r="Z20" i="64"/>
  <c r="X20" i="64"/>
  <c r="T20" i="64"/>
  <c r="R20" i="64"/>
  <c r="P20" i="64"/>
  <c r="L20" i="64"/>
  <c r="H20" i="64"/>
  <c r="N20" i="64" s="1"/>
  <c r="F20" i="64"/>
  <c r="D20" i="64"/>
  <c r="B20" i="64"/>
  <c r="T19" i="64"/>
  <c r="P19" i="64"/>
  <c r="X19" i="64" s="1"/>
  <c r="L19" i="64"/>
  <c r="H19" i="64"/>
  <c r="F19" i="64"/>
  <c r="D19" i="64"/>
  <c r="N17" i="64"/>
  <c r="D17" i="64"/>
  <c r="Z15" i="64"/>
  <c r="X15" i="64"/>
  <c r="R15" i="64"/>
  <c r="N15" i="64"/>
  <c r="L15" i="64"/>
  <c r="F15" i="64"/>
  <c r="B15" i="64"/>
  <c r="X14" i="64"/>
  <c r="T14" i="64"/>
  <c r="Z14" i="64" s="1"/>
  <c r="R14" i="64"/>
  <c r="P14" i="64"/>
  <c r="H14" i="64"/>
  <c r="H17" i="64" s="1"/>
  <c r="H44" i="64" s="1"/>
  <c r="F14" i="64"/>
  <c r="D14" i="64"/>
  <c r="T12" i="64"/>
  <c r="V39" i="64" s="1"/>
  <c r="P12" i="64"/>
  <c r="R51" i="64" s="1"/>
  <c r="L12" i="64"/>
  <c r="H12" i="64"/>
  <c r="J48" i="64" s="1"/>
  <c r="D12" i="64"/>
  <c r="F35" i="64" s="1"/>
  <c r="D6" i="64"/>
  <c r="D4" i="64"/>
  <c r="Z86" i="63"/>
  <c r="X86" i="63"/>
  <c r="N86" i="63"/>
  <c r="L86" i="63"/>
  <c r="Z82" i="63"/>
  <c r="X82" i="63"/>
  <c r="T82" i="63"/>
  <c r="P82" i="63"/>
  <c r="L82" i="63"/>
  <c r="H82" i="63"/>
  <c r="N82" i="63" s="1"/>
  <c r="D82" i="63"/>
  <c r="Z80" i="63"/>
  <c r="X80" i="63"/>
  <c r="N80" i="63"/>
  <c r="L80" i="63"/>
  <c r="B80" i="63"/>
  <c r="T79" i="63"/>
  <c r="P79" i="63"/>
  <c r="X79" i="63" s="1"/>
  <c r="L79" i="63"/>
  <c r="H79" i="63"/>
  <c r="N79" i="63" s="1"/>
  <c r="D79" i="63"/>
  <c r="B79" i="63"/>
  <c r="Z78" i="63"/>
  <c r="X78" i="63"/>
  <c r="L78" i="63"/>
  <c r="N78" i="63" s="1"/>
  <c r="B78" i="63"/>
  <c r="X77" i="63"/>
  <c r="Z77" i="63" s="1"/>
  <c r="N77" i="63"/>
  <c r="L77" i="63"/>
  <c r="B77" i="63"/>
  <c r="Z76" i="63"/>
  <c r="X76" i="63"/>
  <c r="N76" i="63"/>
  <c r="L76" i="63"/>
  <c r="B76" i="63"/>
  <c r="Z75" i="63"/>
  <c r="X75" i="63"/>
  <c r="N75" i="63"/>
  <c r="L75" i="63"/>
  <c r="B75" i="63"/>
  <c r="X74" i="63"/>
  <c r="T74" i="63"/>
  <c r="Z74" i="63" s="1"/>
  <c r="P74" i="63"/>
  <c r="H74" i="63"/>
  <c r="D74" i="63"/>
  <c r="B74" i="63"/>
  <c r="Z73" i="63"/>
  <c r="X73" i="63"/>
  <c r="N73" i="63"/>
  <c r="L73" i="63"/>
  <c r="B73" i="63"/>
  <c r="Z72" i="63"/>
  <c r="X72" i="63"/>
  <c r="N72" i="63"/>
  <c r="L72" i="63"/>
  <c r="B72" i="63"/>
  <c r="T71" i="63"/>
  <c r="Z71" i="63" s="1"/>
  <c r="P71" i="63"/>
  <c r="X71" i="63" s="1"/>
  <c r="N71" i="63"/>
  <c r="L71" i="63"/>
  <c r="H71" i="63"/>
  <c r="D71" i="63"/>
  <c r="B71" i="63"/>
  <c r="Z70" i="63"/>
  <c r="X70" i="63"/>
  <c r="N70" i="63"/>
  <c r="L70" i="63"/>
  <c r="B70" i="63"/>
  <c r="Z69" i="63"/>
  <c r="X69" i="63"/>
  <c r="N69" i="63"/>
  <c r="L69" i="63"/>
  <c r="B69" i="63"/>
  <c r="Z68" i="63"/>
  <c r="T68" i="63"/>
  <c r="P68" i="63"/>
  <c r="X68" i="63" s="1"/>
  <c r="N68" i="63"/>
  <c r="H68" i="63"/>
  <c r="D68" i="63"/>
  <c r="L68" i="63" s="1"/>
  <c r="B68" i="63"/>
  <c r="X67" i="63"/>
  <c r="Z67" i="63" s="1"/>
  <c r="N67" i="63"/>
  <c r="L67" i="63"/>
  <c r="B67" i="63"/>
  <c r="T66" i="63"/>
  <c r="P66" i="63"/>
  <c r="X66" i="63" s="1"/>
  <c r="Z66" i="63" s="1"/>
  <c r="N66" i="63"/>
  <c r="L66" i="63"/>
  <c r="H66" i="63"/>
  <c r="D66" i="63"/>
  <c r="B66" i="63"/>
  <c r="Z65" i="63"/>
  <c r="X65" i="63"/>
  <c r="N65" i="63"/>
  <c r="L65" i="63"/>
  <c r="B65" i="63"/>
  <c r="Z64" i="63"/>
  <c r="X64" i="63"/>
  <c r="T64" i="63"/>
  <c r="P64" i="63"/>
  <c r="L64" i="63"/>
  <c r="H64" i="63"/>
  <c r="N64" i="63" s="1"/>
  <c r="D64" i="63"/>
  <c r="B64" i="63"/>
  <c r="Z63" i="63"/>
  <c r="X63" i="63"/>
  <c r="N63" i="63"/>
  <c r="L63" i="63"/>
  <c r="B63" i="63"/>
  <c r="X62" i="63"/>
  <c r="T62" i="63"/>
  <c r="Z62" i="63" s="1"/>
  <c r="P62" i="63"/>
  <c r="N62" i="63"/>
  <c r="H62" i="63"/>
  <c r="D62" i="63"/>
  <c r="L62" i="63" s="1"/>
  <c r="B62" i="63"/>
  <c r="Z61" i="63"/>
  <c r="X61" i="63"/>
  <c r="N61" i="63"/>
  <c r="L61" i="63"/>
  <c r="B61" i="63"/>
  <c r="Z60" i="63"/>
  <c r="X60" i="63"/>
  <c r="N60" i="63"/>
  <c r="L60" i="63"/>
  <c r="B60" i="63"/>
  <c r="T59" i="63"/>
  <c r="Z59" i="63" s="1"/>
  <c r="P59" i="63"/>
  <c r="X59" i="63" s="1"/>
  <c r="N59" i="63"/>
  <c r="L59" i="63"/>
  <c r="H59" i="63"/>
  <c r="D59" i="63"/>
  <c r="B59" i="63"/>
  <c r="Z58" i="63"/>
  <c r="X58" i="63"/>
  <c r="L58" i="63"/>
  <c r="N58" i="63" s="1"/>
  <c r="B58" i="63"/>
  <c r="X57" i="63"/>
  <c r="Z57" i="63" s="1"/>
  <c r="T57" i="63"/>
  <c r="P57" i="63"/>
  <c r="L57" i="63"/>
  <c r="H57" i="63"/>
  <c r="D57" i="63"/>
  <c r="B57" i="63"/>
  <c r="Z56" i="63"/>
  <c r="X56" i="63"/>
  <c r="N56" i="63"/>
  <c r="L56" i="63"/>
  <c r="B56" i="63"/>
  <c r="T55" i="63"/>
  <c r="P55" i="63"/>
  <c r="L55" i="63"/>
  <c r="H55" i="63"/>
  <c r="N55" i="63" s="1"/>
  <c r="D55" i="63"/>
  <c r="B55" i="63"/>
  <c r="X54" i="63"/>
  <c r="Z54" i="63" s="1"/>
  <c r="N54" i="63"/>
  <c r="L54" i="63"/>
  <c r="B54" i="63"/>
  <c r="X53" i="63"/>
  <c r="Z53" i="63" s="1"/>
  <c r="T53" i="63"/>
  <c r="P53" i="63"/>
  <c r="H53" i="63"/>
  <c r="D53" i="63"/>
  <c r="L53" i="63" s="1"/>
  <c r="B53" i="63"/>
  <c r="Z52" i="63"/>
  <c r="X52" i="63"/>
  <c r="N52" i="63"/>
  <c r="L52" i="63"/>
  <c r="B52" i="63"/>
  <c r="Z51" i="63"/>
  <c r="X51" i="63"/>
  <c r="V51" i="63"/>
  <c r="N51" i="63"/>
  <c r="L51" i="63"/>
  <c r="B51" i="63"/>
  <c r="X50" i="63"/>
  <c r="Z50" i="63" s="1"/>
  <c r="N50" i="63"/>
  <c r="L50" i="63"/>
  <c r="B50" i="63"/>
  <c r="X49" i="63"/>
  <c r="Z49" i="63" s="1"/>
  <c r="N49" i="63"/>
  <c r="L49" i="63"/>
  <c r="B49" i="63"/>
  <c r="Z48" i="63"/>
  <c r="X48" i="63"/>
  <c r="N48" i="63"/>
  <c r="L48" i="63"/>
  <c r="B48" i="63"/>
  <c r="Z47" i="63"/>
  <c r="X47" i="63"/>
  <c r="N47" i="63"/>
  <c r="L47" i="63"/>
  <c r="B47" i="63"/>
  <c r="Z46" i="63"/>
  <c r="X46" i="63"/>
  <c r="L46" i="63"/>
  <c r="N46" i="63" s="1"/>
  <c r="B46" i="63"/>
  <c r="Z45" i="63"/>
  <c r="X45" i="63"/>
  <c r="N45" i="63"/>
  <c r="L45" i="63"/>
  <c r="B45" i="63"/>
  <c r="Z44" i="63"/>
  <c r="X44" i="63"/>
  <c r="N44" i="63"/>
  <c r="L44" i="63"/>
  <c r="B44" i="63"/>
  <c r="Z43" i="63"/>
  <c r="X43" i="63"/>
  <c r="N43" i="63"/>
  <c r="L43" i="63"/>
  <c r="B43" i="63"/>
  <c r="T42" i="63"/>
  <c r="P42" i="63"/>
  <c r="X42" i="63" s="1"/>
  <c r="L42" i="63"/>
  <c r="N42" i="63" s="1"/>
  <c r="H42" i="63"/>
  <c r="D42" i="63"/>
  <c r="B42" i="63"/>
  <c r="Z41" i="63"/>
  <c r="X41" i="63"/>
  <c r="V41" i="63"/>
  <c r="N41" i="63"/>
  <c r="L41" i="63"/>
  <c r="B41" i="63"/>
  <c r="Z40" i="63"/>
  <c r="X40" i="63"/>
  <c r="N40" i="63"/>
  <c r="L40" i="63"/>
  <c r="B40" i="63"/>
  <c r="Z39" i="63"/>
  <c r="X39" i="63"/>
  <c r="N39" i="63"/>
  <c r="L39" i="63"/>
  <c r="B39" i="63"/>
  <c r="Z38" i="63"/>
  <c r="X38" i="63"/>
  <c r="N38" i="63"/>
  <c r="L38" i="63"/>
  <c r="B38" i="63"/>
  <c r="Z37" i="63"/>
  <c r="X37" i="63"/>
  <c r="N37" i="63"/>
  <c r="L37" i="63"/>
  <c r="J37" i="63"/>
  <c r="B37" i="63"/>
  <c r="Z36" i="63"/>
  <c r="X36" i="63"/>
  <c r="N36" i="63"/>
  <c r="L36" i="63"/>
  <c r="B36" i="63"/>
  <c r="X35" i="63"/>
  <c r="Z35" i="63" s="1"/>
  <c r="N35" i="63"/>
  <c r="L35" i="63"/>
  <c r="B35" i="63"/>
  <c r="Z34" i="63"/>
  <c r="X34" i="63"/>
  <c r="L34" i="63"/>
  <c r="N34" i="63" s="1"/>
  <c r="B34" i="63"/>
  <c r="Z33" i="63"/>
  <c r="X33" i="63"/>
  <c r="V33" i="63"/>
  <c r="T33" i="63"/>
  <c r="P33" i="63"/>
  <c r="L33" i="63"/>
  <c r="H33" i="63"/>
  <c r="N33" i="63" s="1"/>
  <c r="D33" i="63"/>
  <c r="B33" i="63"/>
  <c r="T32" i="63"/>
  <c r="P32" i="63"/>
  <c r="X32" i="63" s="1"/>
  <c r="H32" i="63"/>
  <c r="N32" i="63" s="1"/>
  <c r="D32" i="63"/>
  <c r="L32" i="63" s="1"/>
  <c r="H30" i="63"/>
  <c r="Z28" i="63"/>
  <c r="X28" i="63"/>
  <c r="N28" i="63"/>
  <c r="L28" i="63"/>
  <c r="B28" i="63"/>
  <c r="Z27" i="63"/>
  <c r="X27" i="63"/>
  <c r="V27" i="63"/>
  <c r="N27" i="63"/>
  <c r="L27" i="63"/>
  <c r="B27" i="63"/>
  <c r="Z26" i="63"/>
  <c r="X26" i="63"/>
  <c r="N26" i="63"/>
  <c r="L26" i="63"/>
  <c r="B26" i="63"/>
  <c r="Z25" i="63"/>
  <c r="X25" i="63"/>
  <c r="V25" i="63"/>
  <c r="N25" i="63"/>
  <c r="L25" i="63"/>
  <c r="B25" i="63"/>
  <c r="Z24" i="63"/>
  <c r="X24" i="63"/>
  <c r="N24" i="63"/>
  <c r="L24" i="63"/>
  <c r="J24" i="63"/>
  <c r="B24" i="63"/>
  <c r="Z23" i="63"/>
  <c r="X23" i="63"/>
  <c r="N23" i="63"/>
  <c r="L23" i="63"/>
  <c r="J23" i="63"/>
  <c r="B23" i="63"/>
  <c r="Z22" i="63"/>
  <c r="X22" i="63"/>
  <c r="N22" i="63"/>
  <c r="L22" i="63"/>
  <c r="B22" i="63"/>
  <c r="Z21" i="63"/>
  <c r="X21" i="63"/>
  <c r="N21" i="63"/>
  <c r="L21" i="63"/>
  <c r="J21" i="63"/>
  <c r="B21" i="63"/>
  <c r="Z20" i="63"/>
  <c r="X20" i="63"/>
  <c r="N20" i="63"/>
  <c r="L20" i="63"/>
  <c r="B20" i="63"/>
  <c r="X19" i="63"/>
  <c r="Z19" i="63" s="1"/>
  <c r="V19" i="63"/>
  <c r="N19" i="63"/>
  <c r="L19" i="63"/>
  <c r="B19" i="63"/>
  <c r="T18" i="63"/>
  <c r="P18" i="63"/>
  <c r="H18" i="63"/>
  <c r="N18" i="63" s="1"/>
  <c r="D18" i="63"/>
  <c r="L18" i="63" s="1"/>
  <c r="Z16" i="63"/>
  <c r="X16" i="63"/>
  <c r="P16" i="63"/>
  <c r="N16" i="63"/>
  <c r="D16" i="63"/>
  <c r="D12" i="63" s="1"/>
  <c r="B16" i="63"/>
  <c r="Z15" i="63"/>
  <c r="P15" i="63"/>
  <c r="X15" i="63" s="1"/>
  <c r="N15" i="63"/>
  <c r="D15" i="63"/>
  <c r="L15" i="63" s="1"/>
  <c r="B15" i="63"/>
  <c r="X14" i="63"/>
  <c r="Z14" i="63" s="1"/>
  <c r="P14" i="63"/>
  <c r="D14" i="63"/>
  <c r="L14" i="63" s="1"/>
  <c r="N14" i="63" s="1"/>
  <c r="B14" i="63"/>
  <c r="P13" i="63"/>
  <c r="X13" i="63" s="1"/>
  <c r="Z13" i="63" s="1"/>
  <c r="L13" i="63"/>
  <c r="N13" i="63" s="1"/>
  <c r="D13" i="63"/>
  <c r="B13" i="63"/>
  <c r="T12" i="63"/>
  <c r="P12" i="63"/>
  <c r="H12" i="63"/>
  <c r="J52" i="63" s="1"/>
  <c r="D6" i="63"/>
  <c r="D4" i="63"/>
  <c r="Z103" i="62"/>
  <c r="X103" i="62"/>
  <c r="N103" i="62"/>
  <c r="L103" i="62"/>
  <c r="X99" i="62"/>
  <c r="Z99" i="62" s="1"/>
  <c r="P99" i="62"/>
  <c r="N99" i="62"/>
  <c r="D99" i="62"/>
  <c r="L99" i="62" s="1"/>
  <c r="B99" i="62"/>
  <c r="Z98" i="62"/>
  <c r="X98" i="62"/>
  <c r="V98" i="62"/>
  <c r="P98" i="62"/>
  <c r="L98" i="62"/>
  <c r="N98" i="62" s="1"/>
  <c r="D98" i="62"/>
  <c r="B98" i="62"/>
  <c r="T97" i="62"/>
  <c r="P97" i="62"/>
  <c r="X97" i="62" s="1"/>
  <c r="L97" i="62"/>
  <c r="N97" i="62" s="1"/>
  <c r="H97" i="62"/>
  <c r="D97" i="62"/>
  <c r="X95" i="62"/>
  <c r="Z95" i="62" s="1"/>
  <c r="R95" i="62"/>
  <c r="L95" i="62"/>
  <c r="N95" i="62" s="1"/>
  <c r="B95" i="62"/>
  <c r="Z94" i="62"/>
  <c r="X94" i="62"/>
  <c r="V94" i="62"/>
  <c r="T94" i="62"/>
  <c r="P94" i="62"/>
  <c r="L94" i="62"/>
  <c r="N94" i="62" s="1"/>
  <c r="H94" i="62"/>
  <c r="F94" i="62"/>
  <c r="D94" i="62"/>
  <c r="B94" i="62"/>
  <c r="Z93" i="62"/>
  <c r="X93" i="62"/>
  <c r="N93" i="62"/>
  <c r="L93" i="62"/>
  <c r="B93" i="62"/>
  <c r="X92" i="62"/>
  <c r="Z92" i="62" s="1"/>
  <c r="N92" i="62"/>
  <c r="L92" i="62"/>
  <c r="B92" i="62"/>
  <c r="T91" i="62"/>
  <c r="P91" i="62"/>
  <c r="H91" i="62"/>
  <c r="D91" i="62"/>
  <c r="L91" i="62" s="1"/>
  <c r="B91" i="62"/>
  <c r="Z90" i="62"/>
  <c r="X90" i="62"/>
  <c r="N90" i="62"/>
  <c r="L90" i="62"/>
  <c r="B90" i="62"/>
  <c r="T89" i="62"/>
  <c r="Z89" i="62" s="1"/>
  <c r="P89" i="62"/>
  <c r="X89" i="62" s="1"/>
  <c r="H89" i="62"/>
  <c r="N89" i="62" s="1"/>
  <c r="D89" i="62"/>
  <c r="L89" i="62" s="1"/>
  <c r="B89" i="62"/>
  <c r="Z88" i="62"/>
  <c r="X88" i="62"/>
  <c r="N88" i="62"/>
  <c r="L88" i="62"/>
  <c r="B88" i="62"/>
  <c r="T87" i="62"/>
  <c r="Z87" i="62" s="1"/>
  <c r="P87" i="62"/>
  <c r="X87" i="62" s="1"/>
  <c r="L87" i="62"/>
  <c r="N87" i="62" s="1"/>
  <c r="H87" i="62"/>
  <c r="D87" i="62"/>
  <c r="B87" i="62"/>
  <c r="Z86" i="62"/>
  <c r="X86" i="62"/>
  <c r="V86" i="62"/>
  <c r="N86" i="62"/>
  <c r="L86" i="62"/>
  <c r="B86" i="62"/>
  <c r="Z85" i="62"/>
  <c r="X85" i="62"/>
  <c r="N85" i="62"/>
  <c r="L85" i="62"/>
  <c r="B85" i="62"/>
  <c r="Z84" i="62"/>
  <c r="X84" i="62"/>
  <c r="L84" i="62"/>
  <c r="N84" i="62" s="1"/>
  <c r="B84" i="62"/>
  <c r="Z83" i="62"/>
  <c r="X83" i="62"/>
  <c r="N83" i="62"/>
  <c r="L83" i="62"/>
  <c r="F83" i="62"/>
  <c r="B83" i="62"/>
  <c r="Z82" i="62"/>
  <c r="X82" i="62"/>
  <c r="N82" i="62"/>
  <c r="L82" i="62"/>
  <c r="B82" i="62"/>
  <c r="X81" i="62"/>
  <c r="Z81" i="62" s="1"/>
  <c r="L81" i="62"/>
  <c r="N81" i="62" s="1"/>
  <c r="B81" i="62"/>
  <c r="X80" i="62"/>
  <c r="Z80" i="62" s="1"/>
  <c r="T80" i="62"/>
  <c r="R80" i="62"/>
  <c r="P80" i="62"/>
  <c r="H80" i="62"/>
  <c r="N80" i="62" s="1"/>
  <c r="D80" i="62"/>
  <c r="L80" i="62" s="1"/>
  <c r="B80" i="62"/>
  <c r="X79" i="62"/>
  <c r="Z79" i="62" s="1"/>
  <c r="N79" i="62"/>
  <c r="L79" i="62"/>
  <c r="F79" i="62"/>
  <c r="B79" i="62"/>
  <c r="T78" i="62"/>
  <c r="Z78" i="62" s="1"/>
  <c r="P78" i="62"/>
  <c r="X78" i="62" s="1"/>
  <c r="N78" i="62"/>
  <c r="H78" i="62"/>
  <c r="D78" i="62"/>
  <c r="L78" i="62" s="1"/>
  <c r="B78" i="62"/>
  <c r="Z77" i="62"/>
  <c r="X77" i="62"/>
  <c r="N77" i="62"/>
  <c r="L77" i="62"/>
  <c r="B77" i="62"/>
  <c r="Z76" i="62"/>
  <c r="X76" i="62"/>
  <c r="L76" i="62"/>
  <c r="N76" i="62" s="1"/>
  <c r="B76" i="62"/>
  <c r="T75" i="62"/>
  <c r="Z75" i="62" s="1"/>
  <c r="P75" i="62"/>
  <c r="X75" i="62" s="1"/>
  <c r="L75" i="62"/>
  <c r="N75" i="62" s="1"/>
  <c r="H75" i="62"/>
  <c r="D75" i="62"/>
  <c r="B75" i="62"/>
  <c r="Z74" i="62"/>
  <c r="X74" i="62"/>
  <c r="V74" i="62"/>
  <c r="N74" i="62"/>
  <c r="L74" i="62"/>
  <c r="B74" i="62"/>
  <c r="X73" i="62"/>
  <c r="Z73" i="62" s="1"/>
  <c r="L73" i="62"/>
  <c r="N73" i="62" s="1"/>
  <c r="B73" i="62"/>
  <c r="Z72" i="62"/>
  <c r="X72" i="62"/>
  <c r="L72" i="62"/>
  <c r="N72" i="62" s="1"/>
  <c r="B72" i="62"/>
  <c r="Z71" i="62"/>
  <c r="X71" i="62"/>
  <c r="L71" i="62"/>
  <c r="N71" i="62" s="1"/>
  <c r="F71" i="62"/>
  <c r="B71" i="62"/>
  <c r="T70" i="62"/>
  <c r="Z70" i="62" s="1"/>
  <c r="P70" i="62"/>
  <c r="X70" i="62" s="1"/>
  <c r="H70" i="62"/>
  <c r="D70" i="62"/>
  <c r="L70" i="62" s="1"/>
  <c r="N70" i="62" s="1"/>
  <c r="B70" i="62"/>
  <c r="X69" i="62"/>
  <c r="Z69" i="62" s="1"/>
  <c r="L69" i="62"/>
  <c r="N69" i="62" s="1"/>
  <c r="B69" i="62"/>
  <c r="Z68" i="62"/>
  <c r="T68" i="62"/>
  <c r="P68" i="62"/>
  <c r="X68" i="62" s="1"/>
  <c r="N68" i="62"/>
  <c r="L68" i="62"/>
  <c r="H68" i="62"/>
  <c r="D68" i="62"/>
  <c r="B68" i="62"/>
  <c r="Z67" i="62"/>
  <c r="X67" i="62"/>
  <c r="R67" i="62"/>
  <c r="N67" i="62"/>
  <c r="L67" i="62"/>
  <c r="B67" i="62"/>
  <c r="Z66" i="62"/>
  <c r="X66" i="62"/>
  <c r="V66" i="62"/>
  <c r="T66" i="62"/>
  <c r="P66" i="62"/>
  <c r="N66" i="62"/>
  <c r="L66" i="62"/>
  <c r="H66" i="62"/>
  <c r="F66" i="62"/>
  <c r="D66" i="62"/>
  <c r="B66" i="62"/>
  <c r="X65" i="62"/>
  <c r="Z65" i="62" s="1"/>
  <c r="L65" i="62"/>
  <c r="N65" i="62" s="1"/>
  <c r="B65" i="62"/>
  <c r="X64" i="62"/>
  <c r="Z64" i="62" s="1"/>
  <c r="T64" i="62"/>
  <c r="R64" i="62"/>
  <c r="P64" i="62"/>
  <c r="H64" i="62"/>
  <c r="N64" i="62" s="1"/>
  <c r="D64" i="62"/>
  <c r="L64" i="62" s="1"/>
  <c r="B64" i="62"/>
  <c r="Z63" i="62"/>
  <c r="X63" i="62"/>
  <c r="L63" i="62"/>
  <c r="N63" i="62" s="1"/>
  <c r="F63" i="62"/>
  <c r="B63" i="62"/>
  <c r="T62" i="62"/>
  <c r="Z62" i="62" s="1"/>
  <c r="P62" i="62"/>
  <c r="X62" i="62" s="1"/>
  <c r="N62" i="62"/>
  <c r="H62" i="62"/>
  <c r="D62" i="62"/>
  <c r="L62" i="62" s="1"/>
  <c r="B62" i="62"/>
  <c r="X61" i="62"/>
  <c r="Z61" i="62" s="1"/>
  <c r="L61" i="62"/>
  <c r="N61" i="62" s="1"/>
  <c r="B61" i="62"/>
  <c r="T60" i="62"/>
  <c r="P60" i="62"/>
  <c r="X60" i="62" s="1"/>
  <c r="Z60" i="62" s="1"/>
  <c r="N60" i="62"/>
  <c r="L60" i="62"/>
  <c r="H60" i="62"/>
  <c r="D60" i="62"/>
  <c r="B60" i="62"/>
  <c r="X59" i="62"/>
  <c r="Z59" i="62" s="1"/>
  <c r="R59" i="62"/>
  <c r="N59" i="62"/>
  <c r="L59" i="62"/>
  <c r="B59" i="62"/>
  <c r="Z58" i="62"/>
  <c r="X58" i="62"/>
  <c r="V58" i="62"/>
  <c r="T58" i="62"/>
  <c r="P58" i="62"/>
  <c r="L58" i="62"/>
  <c r="H58" i="62"/>
  <c r="N58" i="62" s="1"/>
  <c r="F58" i="62"/>
  <c r="D58" i="62"/>
  <c r="B58" i="62"/>
  <c r="X57" i="62"/>
  <c r="Z57" i="62" s="1"/>
  <c r="L57" i="62"/>
  <c r="N57" i="62" s="1"/>
  <c r="B57" i="62"/>
  <c r="X56" i="62"/>
  <c r="T56" i="62"/>
  <c r="Z56" i="62" s="1"/>
  <c r="R56" i="62"/>
  <c r="P56" i="62"/>
  <c r="H56" i="62"/>
  <c r="N56" i="62" s="1"/>
  <c r="D56" i="62"/>
  <c r="L56" i="62" s="1"/>
  <c r="B56" i="62"/>
  <c r="Z55" i="62"/>
  <c r="X55" i="62"/>
  <c r="L55" i="62"/>
  <c r="N55" i="62" s="1"/>
  <c r="F55" i="62"/>
  <c r="B55" i="62"/>
  <c r="T54" i="62"/>
  <c r="Z54" i="62" s="1"/>
  <c r="P54" i="62"/>
  <c r="X54" i="62" s="1"/>
  <c r="N54" i="62"/>
  <c r="H54" i="62"/>
  <c r="D54" i="62"/>
  <c r="L54" i="62" s="1"/>
  <c r="B54" i="62"/>
  <c r="Z53" i="62"/>
  <c r="X53" i="62"/>
  <c r="N53" i="62"/>
  <c r="L53" i="62"/>
  <c r="B53" i="62"/>
  <c r="Z52" i="62"/>
  <c r="X52" i="62"/>
  <c r="N52" i="62"/>
  <c r="L52" i="62"/>
  <c r="B52" i="62"/>
  <c r="T51" i="62"/>
  <c r="Z51" i="62" s="1"/>
  <c r="P51" i="62"/>
  <c r="X51" i="62" s="1"/>
  <c r="N51" i="62"/>
  <c r="L51" i="62"/>
  <c r="H51" i="62"/>
  <c r="D51" i="62"/>
  <c r="B51" i="62"/>
  <c r="Z50" i="62"/>
  <c r="X50" i="62"/>
  <c r="V50" i="62"/>
  <c r="L50" i="62"/>
  <c r="N50" i="62" s="1"/>
  <c r="B50" i="62"/>
  <c r="Z49" i="62"/>
  <c r="X49" i="62"/>
  <c r="N49" i="62"/>
  <c r="L49" i="62"/>
  <c r="B49" i="62"/>
  <c r="T48" i="62"/>
  <c r="P48" i="62"/>
  <c r="X48" i="62" s="1"/>
  <c r="Z48" i="62" s="1"/>
  <c r="N48" i="62"/>
  <c r="L48" i="62"/>
  <c r="H48" i="62"/>
  <c r="D48" i="62"/>
  <c r="B48" i="62"/>
  <c r="X47" i="62"/>
  <c r="Z47" i="62" s="1"/>
  <c r="R47" i="62"/>
  <c r="N47" i="62"/>
  <c r="L47" i="62"/>
  <c r="B47" i="62"/>
  <c r="Z46" i="62"/>
  <c r="X46" i="62"/>
  <c r="V46" i="62"/>
  <c r="T46" i="62"/>
  <c r="P46" i="62"/>
  <c r="L46" i="62"/>
  <c r="H46" i="62"/>
  <c r="N46" i="62" s="1"/>
  <c r="F46" i="62"/>
  <c r="D46" i="62"/>
  <c r="B46" i="62"/>
  <c r="X45" i="62"/>
  <c r="Z45" i="62" s="1"/>
  <c r="L45" i="62"/>
  <c r="N45" i="62" s="1"/>
  <c r="B45" i="62"/>
  <c r="X44" i="62"/>
  <c r="T44" i="62"/>
  <c r="Z44" i="62" s="1"/>
  <c r="R44" i="62"/>
  <c r="P44" i="62"/>
  <c r="H44" i="62"/>
  <c r="N44" i="62" s="1"/>
  <c r="D44" i="62"/>
  <c r="L44" i="62" s="1"/>
  <c r="B44" i="62"/>
  <c r="Z43" i="62"/>
  <c r="X43" i="62"/>
  <c r="N43" i="62"/>
  <c r="L43" i="62"/>
  <c r="F43" i="62"/>
  <c r="B43" i="62"/>
  <c r="T42" i="62"/>
  <c r="Z42" i="62" s="1"/>
  <c r="P42" i="62"/>
  <c r="X42" i="62" s="1"/>
  <c r="N42" i="62"/>
  <c r="H42" i="62"/>
  <c r="D42" i="62"/>
  <c r="L42" i="62" s="1"/>
  <c r="B42" i="62"/>
  <c r="Z41" i="62"/>
  <c r="X41" i="62"/>
  <c r="N41" i="62"/>
  <c r="L41" i="62"/>
  <c r="B41" i="62"/>
  <c r="Z40" i="62"/>
  <c r="X40" i="62"/>
  <c r="N40" i="62"/>
  <c r="L40" i="62"/>
  <c r="B40" i="62"/>
  <c r="Z39" i="62"/>
  <c r="X39" i="62"/>
  <c r="L39" i="62"/>
  <c r="N39" i="62" s="1"/>
  <c r="F39" i="62"/>
  <c r="B39" i="62"/>
  <c r="X38" i="62"/>
  <c r="Z38" i="62" s="1"/>
  <c r="N38" i="62"/>
  <c r="L38" i="62"/>
  <c r="B38" i="62"/>
  <c r="Z37" i="62"/>
  <c r="X37" i="62"/>
  <c r="N37" i="62"/>
  <c r="L37" i="62"/>
  <c r="B37" i="62"/>
  <c r="Z36" i="62"/>
  <c r="X36" i="62"/>
  <c r="N36" i="62"/>
  <c r="L36" i="62"/>
  <c r="B36" i="62"/>
  <c r="X35" i="62"/>
  <c r="Z35" i="62" s="1"/>
  <c r="R35" i="62"/>
  <c r="N35" i="62"/>
  <c r="L35" i="62"/>
  <c r="B35" i="62"/>
  <c r="Z34" i="62"/>
  <c r="X34" i="62"/>
  <c r="V34" i="62"/>
  <c r="N34" i="62"/>
  <c r="L34" i="62"/>
  <c r="B34" i="62"/>
  <c r="Z33" i="62"/>
  <c r="X33" i="62"/>
  <c r="N33" i="62"/>
  <c r="L33" i="62"/>
  <c r="B33" i="62"/>
  <c r="Z32" i="62"/>
  <c r="X32" i="62"/>
  <c r="L32" i="62"/>
  <c r="N32" i="62" s="1"/>
  <c r="B32" i="62"/>
  <c r="T31" i="62"/>
  <c r="P31" i="62"/>
  <c r="X31" i="62" s="1"/>
  <c r="Z31" i="62" s="1"/>
  <c r="L31" i="62"/>
  <c r="N31" i="62" s="1"/>
  <c r="H31" i="62"/>
  <c r="D31" i="62"/>
  <c r="B31" i="62"/>
  <c r="Z30" i="62"/>
  <c r="X30" i="62"/>
  <c r="V30" i="62"/>
  <c r="N30" i="62"/>
  <c r="L30" i="62"/>
  <c r="B30" i="62"/>
  <c r="X29" i="62"/>
  <c r="Z29" i="62" s="1"/>
  <c r="L29" i="62"/>
  <c r="N29" i="62" s="1"/>
  <c r="F29" i="62"/>
  <c r="B29" i="62"/>
  <c r="Z28" i="62"/>
  <c r="X28" i="62"/>
  <c r="L28" i="62"/>
  <c r="N28" i="62" s="1"/>
  <c r="B28" i="62"/>
  <c r="Z27" i="62"/>
  <c r="X27" i="62"/>
  <c r="N27" i="62"/>
  <c r="L27" i="62"/>
  <c r="F27" i="62"/>
  <c r="B27" i="62"/>
  <c r="Z26" i="62"/>
  <c r="X26" i="62"/>
  <c r="N26" i="62"/>
  <c r="L26" i="62"/>
  <c r="B26" i="62"/>
  <c r="X25" i="62"/>
  <c r="Z25" i="62" s="1"/>
  <c r="V25" i="62"/>
  <c r="L25" i="62"/>
  <c r="N25" i="62" s="1"/>
  <c r="B25" i="62"/>
  <c r="X24" i="62"/>
  <c r="Z24" i="62" s="1"/>
  <c r="V24" i="62"/>
  <c r="N24" i="62"/>
  <c r="L24" i="62"/>
  <c r="B24" i="62"/>
  <c r="X23" i="62"/>
  <c r="Z23" i="62" s="1"/>
  <c r="R23" i="62"/>
  <c r="N23" i="62"/>
  <c r="L23" i="62"/>
  <c r="B23" i="62"/>
  <c r="Z22" i="62"/>
  <c r="X22" i="62"/>
  <c r="V22" i="62"/>
  <c r="N22" i="62"/>
  <c r="L22" i="62"/>
  <c r="F22" i="62"/>
  <c r="B22" i="62"/>
  <c r="X21" i="62"/>
  <c r="Z21" i="62" s="1"/>
  <c r="L21" i="62"/>
  <c r="N21" i="62" s="1"/>
  <c r="F21" i="62"/>
  <c r="B21" i="62"/>
  <c r="Z20" i="62"/>
  <c r="T20" i="62"/>
  <c r="P20" i="62"/>
  <c r="X20" i="62" s="1"/>
  <c r="N20" i="62"/>
  <c r="L20" i="62"/>
  <c r="H20" i="62"/>
  <c r="D20" i="62"/>
  <c r="B20" i="62"/>
  <c r="V19" i="62"/>
  <c r="T19" i="62"/>
  <c r="P19" i="62"/>
  <c r="X19" i="62" s="1"/>
  <c r="H19" i="62"/>
  <c r="D19" i="62"/>
  <c r="L19" i="62" s="1"/>
  <c r="P17" i="62"/>
  <c r="Z15" i="62"/>
  <c r="X15" i="62"/>
  <c r="V15" i="62"/>
  <c r="R15" i="62"/>
  <c r="N15" i="62"/>
  <c r="L15" i="62"/>
  <c r="B15" i="62"/>
  <c r="Z14" i="62"/>
  <c r="X14" i="62"/>
  <c r="V14" i="62"/>
  <c r="T14" i="62"/>
  <c r="R14" i="62"/>
  <c r="P14" i="62"/>
  <c r="L14" i="62"/>
  <c r="H14" i="62"/>
  <c r="N14" i="62" s="1"/>
  <c r="F14" i="62"/>
  <c r="D14" i="62"/>
  <c r="Z12" i="62"/>
  <c r="T12" i="62"/>
  <c r="V108" i="62" s="1"/>
  <c r="P12" i="62"/>
  <c r="R98" i="62" s="1"/>
  <c r="H12" i="62"/>
  <c r="J26" i="62" s="1"/>
  <c r="D12" i="62"/>
  <c r="F108" i="62" s="1"/>
  <c r="D6" i="62"/>
  <c r="D4" i="62"/>
  <c r="R64" i="61"/>
  <c r="J61" i="61"/>
  <c r="Z59" i="61"/>
  <c r="X59" i="61"/>
  <c r="N59" i="61"/>
  <c r="L59" i="61"/>
  <c r="R57" i="61"/>
  <c r="Z55" i="61"/>
  <c r="T55" i="61"/>
  <c r="P55" i="61"/>
  <c r="X55" i="61" s="1"/>
  <c r="N55" i="61"/>
  <c r="L55" i="61"/>
  <c r="J55" i="61"/>
  <c r="H55" i="61"/>
  <c r="D55" i="61"/>
  <c r="X53" i="61"/>
  <c r="Z53" i="61" s="1"/>
  <c r="N53" i="61"/>
  <c r="L53" i="61"/>
  <c r="B53" i="61"/>
  <c r="T52" i="61"/>
  <c r="P52" i="61"/>
  <c r="H52" i="61"/>
  <c r="N52" i="61" s="1"/>
  <c r="D52" i="61"/>
  <c r="L52" i="61" s="1"/>
  <c r="B52" i="61"/>
  <c r="Z51" i="61"/>
  <c r="X51" i="61"/>
  <c r="N51" i="61"/>
  <c r="L51" i="61"/>
  <c r="J51" i="61"/>
  <c r="B51" i="61"/>
  <c r="Z50" i="61"/>
  <c r="X50" i="61"/>
  <c r="L50" i="61"/>
  <c r="N50" i="61" s="1"/>
  <c r="B50" i="61"/>
  <c r="X49" i="61"/>
  <c r="T49" i="61"/>
  <c r="Z49" i="61" s="1"/>
  <c r="R49" i="61"/>
  <c r="P49" i="61"/>
  <c r="H49" i="61"/>
  <c r="D49" i="61"/>
  <c r="L49" i="61" s="1"/>
  <c r="N49" i="61" s="1"/>
  <c r="B49" i="61"/>
  <c r="X48" i="61"/>
  <c r="Z48" i="61" s="1"/>
  <c r="L48" i="61"/>
  <c r="N48" i="61" s="1"/>
  <c r="F48" i="61"/>
  <c r="B48" i="61"/>
  <c r="T47" i="61"/>
  <c r="P47" i="61"/>
  <c r="X47" i="61" s="1"/>
  <c r="Z47" i="61" s="1"/>
  <c r="N47" i="61"/>
  <c r="H47" i="61"/>
  <c r="D47" i="61"/>
  <c r="L47" i="61" s="1"/>
  <c r="B47" i="61"/>
  <c r="Z46" i="61"/>
  <c r="X46" i="61"/>
  <c r="N46" i="61"/>
  <c r="L46" i="61"/>
  <c r="B46" i="61"/>
  <c r="Z45" i="61"/>
  <c r="X45" i="61"/>
  <c r="L45" i="61"/>
  <c r="N45" i="61" s="1"/>
  <c r="B45" i="61"/>
  <c r="T44" i="61"/>
  <c r="P44" i="61"/>
  <c r="X44" i="61" s="1"/>
  <c r="Z44" i="61" s="1"/>
  <c r="L44" i="61"/>
  <c r="H44" i="61"/>
  <c r="N44" i="61" s="1"/>
  <c r="D44" i="61"/>
  <c r="B44" i="61"/>
  <c r="Z43" i="61"/>
  <c r="X43" i="61"/>
  <c r="V43" i="61"/>
  <c r="N43" i="61"/>
  <c r="L43" i="61"/>
  <c r="B43" i="61"/>
  <c r="X42" i="61"/>
  <c r="T42" i="61"/>
  <c r="Z42" i="61" s="1"/>
  <c r="P42" i="61"/>
  <c r="H42" i="61"/>
  <c r="D42" i="61"/>
  <c r="B42" i="61"/>
  <c r="X41" i="61"/>
  <c r="Z41" i="61" s="1"/>
  <c r="N41" i="61"/>
  <c r="L41" i="61"/>
  <c r="B41" i="61"/>
  <c r="T40" i="61"/>
  <c r="P40" i="61"/>
  <c r="H40" i="61"/>
  <c r="N40" i="61" s="1"/>
  <c r="D40" i="61"/>
  <c r="L40" i="61" s="1"/>
  <c r="B40" i="61"/>
  <c r="Z39" i="61"/>
  <c r="X39" i="61"/>
  <c r="N39" i="61"/>
  <c r="L39" i="61"/>
  <c r="J39" i="61"/>
  <c r="B39" i="61"/>
  <c r="Z38" i="61"/>
  <c r="X38" i="61"/>
  <c r="N38" i="61"/>
  <c r="L38" i="61"/>
  <c r="B38" i="61"/>
  <c r="X37" i="61"/>
  <c r="Z37" i="61" s="1"/>
  <c r="N37" i="61"/>
  <c r="L37" i="61"/>
  <c r="B37" i="61"/>
  <c r="X36" i="61"/>
  <c r="Z36" i="61" s="1"/>
  <c r="R36" i="61"/>
  <c r="N36" i="61"/>
  <c r="L36" i="61"/>
  <c r="B36" i="61"/>
  <c r="Z35" i="61"/>
  <c r="X35" i="61"/>
  <c r="V35" i="61"/>
  <c r="N35" i="61"/>
  <c r="L35" i="61"/>
  <c r="B35" i="61"/>
  <c r="Z34" i="61"/>
  <c r="X34" i="61"/>
  <c r="N34" i="61"/>
  <c r="L34" i="61"/>
  <c r="B34" i="61"/>
  <c r="Z33" i="61"/>
  <c r="X33" i="61"/>
  <c r="L33" i="61"/>
  <c r="N33" i="61" s="1"/>
  <c r="J33" i="61"/>
  <c r="B33" i="61"/>
  <c r="Z32" i="61"/>
  <c r="X32" i="61"/>
  <c r="N32" i="61"/>
  <c r="L32" i="61"/>
  <c r="F32" i="61"/>
  <c r="B32" i="61"/>
  <c r="Z31" i="61"/>
  <c r="X31" i="61"/>
  <c r="N31" i="61"/>
  <c r="L31" i="61"/>
  <c r="J31" i="61"/>
  <c r="B31" i="61"/>
  <c r="Z30" i="61"/>
  <c r="X30" i="61"/>
  <c r="N30" i="61"/>
  <c r="L30" i="61"/>
  <c r="B30" i="61"/>
  <c r="X29" i="61"/>
  <c r="V29" i="61"/>
  <c r="T29" i="61"/>
  <c r="Z29" i="61" s="1"/>
  <c r="R29" i="61"/>
  <c r="P29" i="61"/>
  <c r="H29" i="61"/>
  <c r="D29" i="61"/>
  <c r="L29" i="61" s="1"/>
  <c r="N29" i="61" s="1"/>
  <c r="B29" i="61"/>
  <c r="X28" i="61"/>
  <c r="Z28" i="61" s="1"/>
  <c r="L28" i="61"/>
  <c r="N28" i="61" s="1"/>
  <c r="F28" i="61"/>
  <c r="B28" i="61"/>
  <c r="Z27" i="61"/>
  <c r="X27" i="61"/>
  <c r="N27" i="61"/>
  <c r="L27" i="61"/>
  <c r="J27" i="61"/>
  <c r="B27" i="61"/>
  <c r="Z26" i="61"/>
  <c r="X26" i="61"/>
  <c r="L26" i="61"/>
  <c r="N26" i="61" s="1"/>
  <c r="B26" i="61"/>
  <c r="Z25" i="61"/>
  <c r="X25" i="61"/>
  <c r="V25" i="61"/>
  <c r="N25" i="61"/>
  <c r="L25" i="61"/>
  <c r="B25" i="61"/>
  <c r="Z24" i="61"/>
  <c r="X24" i="61"/>
  <c r="R24" i="61"/>
  <c r="N24" i="61"/>
  <c r="L24" i="61"/>
  <c r="B24" i="61"/>
  <c r="Z23" i="61"/>
  <c r="X23" i="61"/>
  <c r="V23" i="61"/>
  <c r="N23" i="61"/>
  <c r="L23" i="61"/>
  <c r="B23" i="61"/>
  <c r="X22" i="61"/>
  <c r="Z22" i="61" s="1"/>
  <c r="N22" i="61"/>
  <c r="L22" i="61"/>
  <c r="B22" i="61"/>
  <c r="Z21" i="61"/>
  <c r="X21" i="61"/>
  <c r="L21" i="61"/>
  <c r="N21" i="61" s="1"/>
  <c r="J21" i="61"/>
  <c r="B21" i="61"/>
  <c r="X20" i="61"/>
  <c r="Z20" i="61" s="1"/>
  <c r="L20" i="61"/>
  <c r="N20" i="61" s="1"/>
  <c r="F20" i="61"/>
  <c r="B20" i="61"/>
  <c r="T19" i="61"/>
  <c r="P19" i="61"/>
  <c r="X19" i="61" s="1"/>
  <c r="N19" i="61"/>
  <c r="J19" i="61"/>
  <c r="H19" i="61"/>
  <c r="D19" i="61"/>
  <c r="L19" i="61" s="1"/>
  <c r="B19" i="61"/>
  <c r="X18" i="61"/>
  <c r="T18" i="61"/>
  <c r="Z18" i="61" s="1"/>
  <c r="P18" i="61"/>
  <c r="H18" i="61"/>
  <c r="D18" i="61"/>
  <c r="T16" i="61"/>
  <c r="Z16" i="61" s="1"/>
  <c r="P16" i="61"/>
  <c r="D16" i="61"/>
  <c r="X14" i="61"/>
  <c r="T14" i="61"/>
  <c r="Z14" i="61" s="1"/>
  <c r="P14" i="61"/>
  <c r="H14" i="61"/>
  <c r="D14" i="61"/>
  <c r="T12" i="61"/>
  <c r="V46" i="61" s="1"/>
  <c r="P12" i="61"/>
  <c r="R52" i="61" s="1"/>
  <c r="L12" i="61"/>
  <c r="H12" i="61"/>
  <c r="J50" i="61" s="1"/>
  <c r="D12" i="61"/>
  <c r="F51" i="61" s="1"/>
  <c r="D6" i="61"/>
  <c r="D4" i="61"/>
  <c r="Z60" i="60"/>
  <c r="X60" i="60"/>
  <c r="N60" i="60"/>
  <c r="L60" i="60"/>
  <c r="T56" i="60"/>
  <c r="Z56" i="60" s="1"/>
  <c r="P56" i="60"/>
  <c r="X56" i="60" s="1"/>
  <c r="L56" i="60"/>
  <c r="H56" i="60"/>
  <c r="N56" i="60" s="1"/>
  <c r="D56" i="60"/>
  <c r="X54" i="60"/>
  <c r="Z54" i="60" s="1"/>
  <c r="L54" i="60"/>
  <c r="N54" i="60" s="1"/>
  <c r="B54" i="60"/>
  <c r="V53" i="60"/>
  <c r="T53" i="60"/>
  <c r="X53" i="60" s="1"/>
  <c r="Z53" i="60" s="1"/>
  <c r="P53" i="60"/>
  <c r="L53" i="60"/>
  <c r="N53" i="60" s="1"/>
  <c r="H53" i="60"/>
  <c r="D53" i="60"/>
  <c r="B53" i="60"/>
  <c r="X52" i="60"/>
  <c r="Z52" i="60" s="1"/>
  <c r="N52" i="60"/>
  <c r="L52" i="60"/>
  <c r="B52" i="60"/>
  <c r="X51" i="60"/>
  <c r="Z51" i="60" s="1"/>
  <c r="N51" i="60"/>
  <c r="L51" i="60"/>
  <c r="B51" i="60"/>
  <c r="Z50" i="60"/>
  <c r="X50" i="60"/>
  <c r="N50" i="60"/>
  <c r="L50" i="60"/>
  <c r="B50" i="60"/>
  <c r="V49" i="60"/>
  <c r="T49" i="60"/>
  <c r="P49" i="60"/>
  <c r="X49" i="60" s="1"/>
  <c r="Z49" i="60" s="1"/>
  <c r="L49" i="60"/>
  <c r="N49" i="60" s="1"/>
  <c r="H49" i="60"/>
  <c r="F49" i="60"/>
  <c r="D49" i="60"/>
  <c r="B49" i="60"/>
  <c r="X48" i="60"/>
  <c r="Z48" i="60" s="1"/>
  <c r="L48" i="60"/>
  <c r="N48" i="60" s="1"/>
  <c r="B48" i="60"/>
  <c r="X47" i="60"/>
  <c r="Z47" i="60" s="1"/>
  <c r="T47" i="60"/>
  <c r="R47" i="60"/>
  <c r="P47" i="60"/>
  <c r="H47" i="60"/>
  <c r="L47" i="60" s="1"/>
  <c r="N47" i="60" s="1"/>
  <c r="D47" i="60"/>
  <c r="B47" i="60"/>
  <c r="Z46" i="60"/>
  <c r="X46" i="60"/>
  <c r="N46" i="60"/>
  <c r="L46" i="60"/>
  <c r="B46" i="60"/>
  <c r="Z45" i="60"/>
  <c r="X45" i="60"/>
  <c r="N45" i="60"/>
  <c r="L45" i="60"/>
  <c r="B45" i="60"/>
  <c r="T44" i="60"/>
  <c r="P44" i="60"/>
  <c r="X44" i="60" s="1"/>
  <c r="H44" i="60"/>
  <c r="D44" i="60"/>
  <c r="L44" i="60" s="1"/>
  <c r="N44" i="60" s="1"/>
  <c r="B44" i="60"/>
  <c r="Z43" i="60"/>
  <c r="X43" i="60"/>
  <c r="L43" i="60"/>
  <c r="N43" i="60" s="1"/>
  <c r="B43" i="60"/>
  <c r="T42" i="60"/>
  <c r="P42" i="60"/>
  <c r="X42" i="60" s="1"/>
  <c r="Z42" i="60" s="1"/>
  <c r="L42" i="60"/>
  <c r="H42" i="60"/>
  <c r="N42" i="60" s="1"/>
  <c r="D42" i="60"/>
  <c r="B42" i="60"/>
  <c r="Z41" i="60"/>
  <c r="X41" i="60"/>
  <c r="V41" i="60"/>
  <c r="N41" i="60"/>
  <c r="L41" i="60"/>
  <c r="B41" i="60"/>
  <c r="X40" i="60"/>
  <c r="T40" i="60"/>
  <c r="Z40" i="60" s="1"/>
  <c r="P40" i="60"/>
  <c r="H40" i="60"/>
  <c r="D40" i="60"/>
  <c r="B40" i="60"/>
  <c r="Z39" i="60"/>
  <c r="X39" i="60"/>
  <c r="N39" i="60"/>
  <c r="L39" i="60"/>
  <c r="B39" i="60"/>
  <c r="Z38" i="60"/>
  <c r="X38" i="60"/>
  <c r="N38" i="60"/>
  <c r="L38" i="60"/>
  <c r="B38" i="60"/>
  <c r="Z37" i="60"/>
  <c r="X37" i="60"/>
  <c r="V37" i="60"/>
  <c r="N37" i="60"/>
  <c r="L37" i="60"/>
  <c r="B37" i="60"/>
  <c r="Z36" i="60"/>
  <c r="X36" i="60"/>
  <c r="N36" i="60"/>
  <c r="L36" i="60"/>
  <c r="B36" i="60"/>
  <c r="Z35" i="60"/>
  <c r="X35" i="60"/>
  <c r="N35" i="60"/>
  <c r="L35" i="60"/>
  <c r="B35" i="60"/>
  <c r="Z34" i="60"/>
  <c r="X34" i="60"/>
  <c r="N34" i="60"/>
  <c r="L34" i="60"/>
  <c r="B34" i="60"/>
  <c r="Z33" i="60"/>
  <c r="X33" i="60"/>
  <c r="N33" i="60"/>
  <c r="L33" i="60"/>
  <c r="B33" i="60"/>
  <c r="Z32" i="60"/>
  <c r="X32" i="60"/>
  <c r="N32" i="60"/>
  <c r="L32" i="60"/>
  <c r="B32" i="60"/>
  <c r="Z31" i="60"/>
  <c r="X31" i="60"/>
  <c r="N31" i="60"/>
  <c r="L31" i="60"/>
  <c r="B31" i="60"/>
  <c r="Z30" i="60"/>
  <c r="X30" i="60"/>
  <c r="N30" i="60"/>
  <c r="L30" i="60"/>
  <c r="B30" i="60"/>
  <c r="V29" i="60"/>
  <c r="T29" i="60"/>
  <c r="P29" i="60"/>
  <c r="X29" i="60" s="1"/>
  <c r="Z29" i="60" s="1"/>
  <c r="H29" i="60"/>
  <c r="F29" i="60"/>
  <c r="D29" i="60"/>
  <c r="L29" i="60" s="1"/>
  <c r="N29" i="60" s="1"/>
  <c r="B29" i="60"/>
  <c r="X28" i="60"/>
  <c r="Z28" i="60" s="1"/>
  <c r="L28" i="60"/>
  <c r="N28" i="60" s="1"/>
  <c r="B28" i="60"/>
  <c r="X27" i="60"/>
  <c r="Z27" i="60" s="1"/>
  <c r="N27" i="60"/>
  <c r="L27" i="60"/>
  <c r="B27" i="60"/>
  <c r="X26" i="60"/>
  <c r="Z26" i="60" s="1"/>
  <c r="L26" i="60"/>
  <c r="N26" i="60" s="1"/>
  <c r="B26" i="60"/>
  <c r="Z25" i="60"/>
  <c r="X25" i="60"/>
  <c r="V25" i="60"/>
  <c r="N25" i="60"/>
  <c r="L25" i="60"/>
  <c r="B25" i="60"/>
  <c r="Z24" i="60"/>
  <c r="X24" i="60"/>
  <c r="N24" i="60"/>
  <c r="L24" i="60"/>
  <c r="F24" i="60"/>
  <c r="B24" i="60"/>
  <c r="Z23" i="60"/>
  <c r="X23" i="60"/>
  <c r="V23" i="60"/>
  <c r="L23" i="60"/>
  <c r="N23" i="60" s="1"/>
  <c r="B23" i="60"/>
  <c r="X22" i="60"/>
  <c r="Z22" i="60" s="1"/>
  <c r="L22" i="60"/>
  <c r="N22" i="60" s="1"/>
  <c r="F22" i="60"/>
  <c r="B22" i="60"/>
  <c r="Z21" i="60"/>
  <c r="X21" i="60"/>
  <c r="N21" i="60"/>
  <c r="L21" i="60"/>
  <c r="J21" i="60"/>
  <c r="B21" i="60"/>
  <c r="X20" i="60"/>
  <c r="Z20" i="60" s="1"/>
  <c r="L20" i="60"/>
  <c r="N20" i="60" s="1"/>
  <c r="F20" i="60"/>
  <c r="B20" i="60"/>
  <c r="V19" i="60"/>
  <c r="T19" i="60"/>
  <c r="P19" i="60"/>
  <c r="X19" i="60" s="1"/>
  <c r="Z19" i="60" s="1"/>
  <c r="N19" i="60"/>
  <c r="H19" i="60"/>
  <c r="L19" i="60" s="1"/>
  <c r="F19" i="60"/>
  <c r="D19" i="60"/>
  <c r="B19" i="60"/>
  <c r="Z18" i="60"/>
  <c r="X18" i="60"/>
  <c r="T18" i="60"/>
  <c r="P18" i="60"/>
  <c r="H18" i="60"/>
  <c r="D18" i="60"/>
  <c r="L18" i="60" s="1"/>
  <c r="Z16" i="60"/>
  <c r="T16" i="60"/>
  <c r="T58" i="60" s="1"/>
  <c r="J16" i="60"/>
  <c r="H16" i="60"/>
  <c r="D16" i="60"/>
  <c r="Z14" i="60"/>
  <c r="T14" i="60"/>
  <c r="P14" i="60"/>
  <c r="X14" i="60" s="1"/>
  <c r="L14" i="60"/>
  <c r="J14" i="60"/>
  <c r="H14" i="60"/>
  <c r="N14" i="60" s="1"/>
  <c r="F14" i="60"/>
  <c r="D14" i="60"/>
  <c r="Z12" i="60"/>
  <c r="T12" i="60"/>
  <c r="V40" i="60" s="1"/>
  <c r="P12" i="60"/>
  <c r="N12" i="60"/>
  <c r="H12" i="60"/>
  <c r="J23" i="60" s="1"/>
  <c r="D12" i="60"/>
  <c r="D6" i="60"/>
  <c r="D4" i="60"/>
  <c r="Z69" i="59"/>
  <c r="X69" i="59"/>
  <c r="R69" i="59"/>
  <c r="N69" i="59"/>
  <c r="L69" i="59"/>
  <c r="T67" i="59"/>
  <c r="Z65" i="59"/>
  <c r="X65" i="59"/>
  <c r="T65" i="59"/>
  <c r="P65" i="59"/>
  <c r="N65" i="59"/>
  <c r="L65" i="59"/>
  <c r="H65" i="59"/>
  <c r="D65" i="59"/>
  <c r="Z63" i="59"/>
  <c r="X63" i="59"/>
  <c r="R63" i="59"/>
  <c r="L63" i="59"/>
  <c r="N63" i="59" s="1"/>
  <c r="B63" i="59"/>
  <c r="X62" i="59"/>
  <c r="V62" i="59"/>
  <c r="T62" i="59"/>
  <c r="Z62" i="59" s="1"/>
  <c r="P62" i="59"/>
  <c r="L62" i="59"/>
  <c r="H62" i="59"/>
  <c r="N62" i="59" s="1"/>
  <c r="F62" i="59"/>
  <c r="D62" i="59"/>
  <c r="B62" i="59"/>
  <c r="Z61" i="59"/>
  <c r="X61" i="59"/>
  <c r="N61" i="59"/>
  <c r="L61" i="59"/>
  <c r="B61" i="59"/>
  <c r="X60" i="59"/>
  <c r="T60" i="59"/>
  <c r="Z60" i="59" s="1"/>
  <c r="R60" i="59"/>
  <c r="P60" i="59"/>
  <c r="H60" i="59"/>
  <c r="N60" i="59" s="1"/>
  <c r="D60" i="59"/>
  <c r="L60" i="59" s="1"/>
  <c r="B60" i="59"/>
  <c r="X59" i="59"/>
  <c r="Z59" i="59" s="1"/>
  <c r="N59" i="59"/>
  <c r="L59" i="59"/>
  <c r="F59" i="59"/>
  <c r="B59" i="59"/>
  <c r="Z58" i="59"/>
  <c r="X58" i="59"/>
  <c r="L58" i="59"/>
  <c r="N58" i="59" s="1"/>
  <c r="B58" i="59"/>
  <c r="T57" i="59"/>
  <c r="P57" i="59"/>
  <c r="X57" i="59" s="1"/>
  <c r="Z57" i="59" s="1"/>
  <c r="L57" i="59"/>
  <c r="N57" i="59" s="1"/>
  <c r="H57" i="59"/>
  <c r="D57" i="59"/>
  <c r="B57" i="59"/>
  <c r="Z56" i="59"/>
  <c r="X56" i="59"/>
  <c r="L56" i="59"/>
  <c r="N56" i="59" s="1"/>
  <c r="B56" i="59"/>
  <c r="X55" i="59"/>
  <c r="Z55" i="59" s="1"/>
  <c r="T55" i="59"/>
  <c r="P55" i="59"/>
  <c r="L55" i="59"/>
  <c r="N55" i="59" s="1"/>
  <c r="H55" i="59"/>
  <c r="D55" i="59"/>
  <c r="B55" i="59"/>
  <c r="X54" i="59"/>
  <c r="Z54" i="59" s="1"/>
  <c r="V54" i="59"/>
  <c r="N54" i="59"/>
  <c r="L54" i="59"/>
  <c r="B54" i="59"/>
  <c r="X53" i="59"/>
  <c r="Z53" i="59" s="1"/>
  <c r="N53" i="59"/>
  <c r="L53" i="59"/>
  <c r="B53" i="59"/>
  <c r="Z52" i="59"/>
  <c r="T52" i="59"/>
  <c r="P52" i="59"/>
  <c r="X52" i="59" s="1"/>
  <c r="L52" i="59"/>
  <c r="H52" i="59"/>
  <c r="N52" i="59" s="1"/>
  <c r="D52" i="59"/>
  <c r="B52" i="59"/>
  <c r="Z51" i="59"/>
  <c r="X51" i="59"/>
  <c r="R51" i="59"/>
  <c r="N51" i="59"/>
  <c r="L51" i="59"/>
  <c r="B51" i="59"/>
  <c r="X50" i="59"/>
  <c r="Z50" i="59" s="1"/>
  <c r="V50" i="59"/>
  <c r="N50" i="59"/>
  <c r="L50" i="59"/>
  <c r="B50" i="59"/>
  <c r="X49" i="59"/>
  <c r="Z49" i="59" s="1"/>
  <c r="N49" i="59"/>
  <c r="L49" i="59"/>
  <c r="B49" i="59"/>
  <c r="Z48" i="59"/>
  <c r="X48" i="59"/>
  <c r="L48" i="59"/>
  <c r="N48" i="59" s="1"/>
  <c r="B48" i="59"/>
  <c r="X47" i="59"/>
  <c r="Z47" i="59" s="1"/>
  <c r="T47" i="59"/>
  <c r="P47" i="59"/>
  <c r="L47" i="59"/>
  <c r="N47" i="59" s="1"/>
  <c r="H47" i="59"/>
  <c r="D47" i="59"/>
  <c r="B47" i="59"/>
  <c r="X46" i="59"/>
  <c r="Z46" i="59" s="1"/>
  <c r="V46" i="59"/>
  <c r="N46" i="59"/>
  <c r="L46" i="59"/>
  <c r="B46" i="59"/>
  <c r="X45" i="59"/>
  <c r="Z45" i="59" s="1"/>
  <c r="T45" i="59"/>
  <c r="P45" i="59"/>
  <c r="H45" i="59"/>
  <c r="D45" i="59"/>
  <c r="B45" i="59"/>
  <c r="X44" i="59"/>
  <c r="Z44" i="59" s="1"/>
  <c r="N44" i="59"/>
  <c r="L44" i="59"/>
  <c r="B44" i="59"/>
  <c r="Z43" i="59"/>
  <c r="X43" i="59"/>
  <c r="R43" i="59"/>
  <c r="L43" i="59"/>
  <c r="N43" i="59" s="1"/>
  <c r="B43" i="59"/>
  <c r="X42" i="59"/>
  <c r="V42" i="59"/>
  <c r="T42" i="59"/>
  <c r="Z42" i="59" s="1"/>
  <c r="P42" i="59"/>
  <c r="L42" i="59"/>
  <c r="H42" i="59"/>
  <c r="N42" i="59" s="1"/>
  <c r="F42" i="59"/>
  <c r="D42" i="59"/>
  <c r="B42" i="59"/>
  <c r="Z41" i="59"/>
  <c r="X41" i="59"/>
  <c r="N41" i="59"/>
  <c r="L41" i="59"/>
  <c r="B41" i="59"/>
  <c r="X40" i="59"/>
  <c r="T40" i="59"/>
  <c r="Z40" i="59" s="1"/>
  <c r="R40" i="59"/>
  <c r="P40" i="59"/>
  <c r="H40" i="59"/>
  <c r="N40" i="59" s="1"/>
  <c r="D40" i="59"/>
  <c r="L40" i="59" s="1"/>
  <c r="B40" i="59"/>
  <c r="Z39" i="59"/>
  <c r="X39" i="59"/>
  <c r="N39" i="59"/>
  <c r="L39" i="59"/>
  <c r="F39" i="59"/>
  <c r="B39" i="59"/>
  <c r="Z38" i="59"/>
  <c r="X38" i="59"/>
  <c r="N38" i="59"/>
  <c r="L38" i="59"/>
  <c r="B38" i="59"/>
  <c r="Z37" i="59"/>
  <c r="X37" i="59"/>
  <c r="N37" i="59"/>
  <c r="L37" i="59"/>
  <c r="B37" i="59"/>
  <c r="Z36" i="59"/>
  <c r="X36" i="59"/>
  <c r="N36" i="59"/>
  <c r="L36" i="59"/>
  <c r="B36" i="59"/>
  <c r="Z35" i="59"/>
  <c r="X35" i="59"/>
  <c r="R35" i="59"/>
  <c r="N35" i="59"/>
  <c r="L35" i="59"/>
  <c r="B35" i="59"/>
  <c r="Z34" i="59"/>
  <c r="X34" i="59"/>
  <c r="V34" i="59"/>
  <c r="N34" i="59"/>
  <c r="L34" i="59"/>
  <c r="B34" i="59"/>
  <c r="X33" i="59"/>
  <c r="Z33" i="59" s="1"/>
  <c r="N33" i="59"/>
  <c r="L33" i="59"/>
  <c r="B33" i="59"/>
  <c r="Z32" i="59"/>
  <c r="X32" i="59"/>
  <c r="N32" i="59"/>
  <c r="L32" i="59"/>
  <c r="B32" i="59"/>
  <c r="X31" i="59"/>
  <c r="Z31" i="59" s="1"/>
  <c r="N31" i="59"/>
  <c r="L31" i="59"/>
  <c r="F31" i="59"/>
  <c r="B31" i="59"/>
  <c r="Z30" i="59"/>
  <c r="X30" i="59"/>
  <c r="N30" i="59"/>
  <c r="L30" i="59"/>
  <c r="B30" i="59"/>
  <c r="T29" i="59"/>
  <c r="P29" i="59"/>
  <c r="X29" i="59" s="1"/>
  <c r="L29" i="59"/>
  <c r="N29" i="59" s="1"/>
  <c r="H29" i="59"/>
  <c r="D29" i="59"/>
  <c r="B29" i="59"/>
  <c r="Z28" i="59"/>
  <c r="X28" i="59"/>
  <c r="L28" i="59"/>
  <c r="N28" i="59" s="1"/>
  <c r="B28" i="59"/>
  <c r="X27" i="59"/>
  <c r="Z27" i="59" s="1"/>
  <c r="N27" i="59"/>
  <c r="L27" i="59"/>
  <c r="F27" i="59"/>
  <c r="B27" i="59"/>
  <c r="Z26" i="59"/>
  <c r="X26" i="59"/>
  <c r="L26" i="59"/>
  <c r="N26" i="59" s="1"/>
  <c r="B26" i="59"/>
  <c r="Z25" i="59"/>
  <c r="X25" i="59"/>
  <c r="V25" i="59"/>
  <c r="N25" i="59"/>
  <c r="L25" i="59"/>
  <c r="B25" i="59"/>
  <c r="X24" i="59"/>
  <c r="Z24" i="59" s="1"/>
  <c r="N24" i="59"/>
  <c r="L24" i="59"/>
  <c r="B24" i="59"/>
  <c r="Z23" i="59"/>
  <c r="X23" i="59"/>
  <c r="R23" i="59"/>
  <c r="L23" i="59"/>
  <c r="N23" i="59" s="1"/>
  <c r="B23" i="59"/>
  <c r="X22" i="59"/>
  <c r="Z22" i="59" s="1"/>
  <c r="V22" i="59"/>
  <c r="N22" i="59"/>
  <c r="L22" i="59"/>
  <c r="B22" i="59"/>
  <c r="X21" i="59"/>
  <c r="Z21" i="59" s="1"/>
  <c r="L21" i="59"/>
  <c r="N21" i="59" s="1"/>
  <c r="B21" i="59"/>
  <c r="Z20" i="59"/>
  <c r="X20" i="59"/>
  <c r="L20" i="59"/>
  <c r="N20" i="59" s="1"/>
  <c r="B20" i="59"/>
  <c r="X19" i="59"/>
  <c r="T19" i="59"/>
  <c r="Z19" i="59" s="1"/>
  <c r="P19" i="59"/>
  <c r="L19" i="59"/>
  <c r="N19" i="59" s="1"/>
  <c r="H19" i="59"/>
  <c r="D19" i="59"/>
  <c r="B19" i="59"/>
  <c r="V18" i="59"/>
  <c r="T18" i="59"/>
  <c r="Z18" i="59" s="1"/>
  <c r="P18" i="59"/>
  <c r="X18" i="59" s="1"/>
  <c r="L18" i="59"/>
  <c r="H18" i="59"/>
  <c r="N18" i="59" s="1"/>
  <c r="F18" i="59"/>
  <c r="D18" i="59"/>
  <c r="T16" i="59"/>
  <c r="Z16" i="59" s="1"/>
  <c r="V14" i="59"/>
  <c r="T14" i="59"/>
  <c r="Z14" i="59" s="1"/>
  <c r="P14" i="59"/>
  <c r="L14" i="59"/>
  <c r="H14" i="59"/>
  <c r="N14" i="59" s="1"/>
  <c r="F14" i="59"/>
  <c r="D14" i="59"/>
  <c r="Z12" i="59"/>
  <c r="T12" i="59"/>
  <c r="V53" i="59" s="1"/>
  <c r="P12" i="59"/>
  <c r="R74" i="59" s="1"/>
  <c r="H12" i="59"/>
  <c r="J26" i="59" s="1"/>
  <c r="D12" i="59"/>
  <c r="F58" i="59" s="1"/>
  <c r="D6" i="59"/>
  <c r="D4" i="59"/>
  <c r="R83" i="58"/>
  <c r="J80" i="58"/>
  <c r="Z78" i="58"/>
  <c r="X78" i="58"/>
  <c r="N78" i="58"/>
  <c r="L78" i="58"/>
  <c r="R76" i="58"/>
  <c r="Z74" i="58"/>
  <c r="T74" i="58"/>
  <c r="P74" i="58"/>
  <c r="X74" i="58" s="1"/>
  <c r="L74" i="58"/>
  <c r="H74" i="58"/>
  <c r="N74" i="58" s="1"/>
  <c r="D74" i="58"/>
  <c r="X72" i="58"/>
  <c r="Z72" i="58" s="1"/>
  <c r="N72" i="58"/>
  <c r="L72" i="58"/>
  <c r="B72" i="58"/>
  <c r="T71" i="58"/>
  <c r="P71" i="58"/>
  <c r="X71" i="58" s="1"/>
  <c r="N71" i="58"/>
  <c r="H71" i="58"/>
  <c r="D71" i="58"/>
  <c r="L71" i="58" s="1"/>
  <c r="B71" i="58"/>
  <c r="X70" i="58"/>
  <c r="Z70" i="58" s="1"/>
  <c r="L70" i="58"/>
  <c r="N70" i="58" s="1"/>
  <c r="B70" i="58"/>
  <c r="T69" i="58"/>
  <c r="P69" i="58"/>
  <c r="X69" i="58" s="1"/>
  <c r="Z69" i="58" s="1"/>
  <c r="N69" i="58"/>
  <c r="L69" i="58"/>
  <c r="H69" i="58"/>
  <c r="D69" i="58"/>
  <c r="B69" i="58"/>
  <c r="Z68" i="58"/>
  <c r="X68" i="58"/>
  <c r="L68" i="58"/>
  <c r="N68" i="58" s="1"/>
  <c r="B68" i="58"/>
  <c r="Z67" i="58"/>
  <c r="X67" i="58"/>
  <c r="T67" i="58"/>
  <c r="P67" i="58"/>
  <c r="L67" i="58"/>
  <c r="N67" i="58" s="1"/>
  <c r="H67" i="58"/>
  <c r="D67" i="58"/>
  <c r="B67" i="58"/>
  <c r="Z66" i="58"/>
  <c r="X66" i="58"/>
  <c r="V66" i="58"/>
  <c r="N66" i="58"/>
  <c r="L66" i="58"/>
  <c r="B66" i="58"/>
  <c r="X65" i="58"/>
  <c r="Z65" i="58" s="1"/>
  <c r="N65" i="58"/>
  <c r="L65" i="58"/>
  <c r="B65" i="58"/>
  <c r="Z64" i="58"/>
  <c r="X64" i="58"/>
  <c r="L64" i="58"/>
  <c r="N64" i="58" s="1"/>
  <c r="B64" i="58"/>
  <c r="Z63" i="58"/>
  <c r="X63" i="58"/>
  <c r="N63" i="58"/>
  <c r="L63" i="58"/>
  <c r="F63" i="58"/>
  <c r="B63" i="58"/>
  <c r="T62" i="58"/>
  <c r="Z62" i="58" s="1"/>
  <c r="P62" i="58"/>
  <c r="X62" i="58" s="1"/>
  <c r="N62" i="58"/>
  <c r="H62" i="58"/>
  <c r="D62" i="58"/>
  <c r="L62" i="58" s="1"/>
  <c r="B62" i="58"/>
  <c r="X61" i="58"/>
  <c r="Z61" i="58" s="1"/>
  <c r="N61" i="58"/>
  <c r="L61" i="58"/>
  <c r="B61" i="58"/>
  <c r="Z60" i="58"/>
  <c r="T60" i="58"/>
  <c r="P60" i="58"/>
  <c r="X60" i="58" s="1"/>
  <c r="L60" i="58"/>
  <c r="J60" i="58"/>
  <c r="H60" i="58"/>
  <c r="N60" i="58" s="1"/>
  <c r="D60" i="58"/>
  <c r="B60" i="58"/>
  <c r="Z59" i="58"/>
  <c r="X59" i="58"/>
  <c r="R59" i="58"/>
  <c r="N59" i="58"/>
  <c r="L59" i="58"/>
  <c r="B59" i="58"/>
  <c r="X58" i="58"/>
  <c r="Z58" i="58" s="1"/>
  <c r="V58" i="58"/>
  <c r="L58" i="58"/>
  <c r="N58" i="58" s="1"/>
  <c r="B58" i="58"/>
  <c r="X57" i="58"/>
  <c r="Z57" i="58" s="1"/>
  <c r="T57" i="58"/>
  <c r="P57" i="58"/>
  <c r="H57" i="58"/>
  <c r="D57" i="58"/>
  <c r="B57" i="58"/>
  <c r="X56" i="58"/>
  <c r="Z56" i="58" s="1"/>
  <c r="N56" i="58"/>
  <c r="L56" i="58"/>
  <c r="B56" i="58"/>
  <c r="Z55" i="58"/>
  <c r="X55" i="58"/>
  <c r="R55" i="58"/>
  <c r="N55" i="58"/>
  <c r="L55" i="58"/>
  <c r="B55" i="58"/>
  <c r="Z54" i="58"/>
  <c r="X54" i="58"/>
  <c r="V54" i="58"/>
  <c r="N54" i="58"/>
  <c r="L54" i="58"/>
  <c r="B54" i="58"/>
  <c r="X53" i="58"/>
  <c r="Z53" i="58" s="1"/>
  <c r="T53" i="58"/>
  <c r="P53" i="58"/>
  <c r="H53" i="58"/>
  <c r="D53" i="58"/>
  <c r="B53" i="58"/>
  <c r="X52" i="58"/>
  <c r="Z52" i="58" s="1"/>
  <c r="N52" i="58"/>
  <c r="L52" i="58"/>
  <c r="B52" i="58"/>
  <c r="T51" i="58"/>
  <c r="P51" i="58"/>
  <c r="X51" i="58" s="1"/>
  <c r="H51" i="58"/>
  <c r="N51" i="58" s="1"/>
  <c r="D51" i="58"/>
  <c r="L51" i="58" s="1"/>
  <c r="B51" i="58"/>
  <c r="Z50" i="58"/>
  <c r="X50" i="58"/>
  <c r="N50" i="58"/>
  <c r="L50" i="58"/>
  <c r="B50" i="58"/>
  <c r="T49" i="58"/>
  <c r="Z49" i="58" s="1"/>
  <c r="P49" i="58"/>
  <c r="X49" i="58" s="1"/>
  <c r="N49" i="58"/>
  <c r="H49" i="58"/>
  <c r="D49" i="58"/>
  <c r="L49" i="58" s="1"/>
  <c r="B49" i="58"/>
  <c r="Z48" i="58"/>
  <c r="X48" i="58"/>
  <c r="L48" i="58"/>
  <c r="N48" i="58" s="1"/>
  <c r="B48" i="58"/>
  <c r="T47" i="58"/>
  <c r="P47" i="58"/>
  <c r="X47" i="58" s="1"/>
  <c r="Z47" i="58" s="1"/>
  <c r="L47" i="58"/>
  <c r="N47" i="58" s="1"/>
  <c r="H47" i="58"/>
  <c r="D47" i="58"/>
  <c r="B47" i="58"/>
  <c r="X46" i="58"/>
  <c r="Z46" i="58" s="1"/>
  <c r="V46" i="58"/>
  <c r="N46" i="58"/>
  <c r="L46" i="58"/>
  <c r="B46" i="58"/>
  <c r="X45" i="58"/>
  <c r="Z45" i="58" s="1"/>
  <c r="T45" i="58"/>
  <c r="P45" i="58"/>
  <c r="H45" i="58"/>
  <c r="D45" i="58"/>
  <c r="B45" i="58"/>
  <c r="X44" i="58"/>
  <c r="Z44" i="58" s="1"/>
  <c r="N44" i="58"/>
  <c r="L44" i="58"/>
  <c r="B44" i="58"/>
  <c r="T43" i="58"/>
  <c r="P43" i="58"/>
  <c r="H43" i="58"/>
  <c r="N43" i="58" s="1"/>
  <c r="D43" i="58"/>
  <c r="L43" i="58" s="1"/>
  <c r="B43" i="58"/>
  <c r="Z42" i="58"/>
  <c r="X42" i="58"/>
  <c r="N42" i="58"/>
  <c r="L42" i="58"/>
  <c r="B42" i="58"/>
  <c r="T41" i="58"/>
  <c r="P41" i="58"/>
  <c r="X41" i="58" s="1"/>
  <c r="H41" i="58"/>
  <c r="D41" i="58"/>
  <c r="L41" i="58" s="1"/>
  <c r="N41" i="58" s="1"/>
  <c r="B41" i="58"/>
  <c r="Z40" i="58"/>
  <c r="X40" i="58"/>
  <c r="N40" i="58"/>
  <c r="L40" i="58"/>
  <c r="B40" i="58"/>
  <c r="Z39" i="58"/>
  <c r="X39" i="58"/>
  <c r="N39" i="58"/>
  <c r="L39" i="58"/>
  <c r="F39" i="58"/>
  <c r="B39" i="58"/>
  <c r="Z38" i="58"/>
  <c r="X38" i="58"/>
  <c r="N38" i="58"/>
  <c r="L38" i="58"/>
  <c r="J38" i="58"/>
  <c r="B38" i="58"/>
  <c r="Z37" i="58"/>
  <c r="X37" i="58"/>
  <c r="N37" i="58"/>
  <c r="L37" i="58"/>
  <c r="B37" i="58"/>
  <c r="Z36" i="58"/>
  <c r="X36" i="58"/>
  <c r="N36" i="58"/>
  <c r="L36" i="58"/>
  <c r="B36" i="58"/>
  <c r="Z35" i="58"/>
  <c r="X35" i="58"/>
  <c r="R35" i="58"/>
  <c r="L35" i="58"/>
  <c r="N35" i="58" s="1"/>
  <c r="B35" i="58"/>
  <c r="Z34" i="58"/>
  <c r="X34" i="58"/>
  <c r="V34" i="58"/>
  <c r="N34" i="58"/>
  <c r="L34" i="58"/>
  <c r="B34" i="58"/>
  <c r="Z33" i="58"/>
  <c r="X33" i="58"/>
  <c r="N33" i="58"/>
  <c r="L33" i="58"/>
  <c r="B33" i="58"/>
  <c r="Z32" i="58"/>
  <c r="X32" i="58"/>
  <c r="N32" i="58"/>
  <c r="L32" i="58"/>
  <c r="B32" i="58"/>
  <c r="X31" i="58"/>
  <c r="Z31" i="58" s="1"/>
  <c r="N31" i="58"/>
  <c r="L31" i="58"/>
  <c r="F31" i="58"/>
  <c r="B31" i="58"/>
  <c r="T30" i="58"/>
  <c r="Z30" i="58" s="1"/>
  <c r="P30" i="58"/>
  <c r="X30" i="58" s="1"/>
  <c r="N30" i="58"/>
  <c r="H30" i="58"/>
  <c r="D30" i="58"/>
  <c r="L30" i="58" s="1"/>
  <c r="B30" i="58"/>
  <c r="X29" i="58"/>
  <c r="Z29" i="58" s="1"/>
  <c r="L29" i="58"/>
  <c r="N29" i="58" s="1"/>
  <c r="B29" i="58"/>
  <c r="Z28" i="58"/>
  <c r="X28" i="58"/>
  <c r="L28" i="58"/>
  <c r="N28" i="58" s="1"/>
  <c r="B28" i="58"/>
  <c r="X27" i="58"/>
  <c r="Z27" i="58" s="1"/>
  <c r="N27" i="58"/>
  <c r="L27" i="58"/>
  <c r="F27" i="58"/>
  <c r="B27" i="58"/>
  <c r="Z26" i="58"/>
  <c r="X26" i="58"/>
  <c r="N26" i="58"/>
  <c r="L26" i="58"/>
  <c r="B26" i="58"/>
  <c r="X25" i="58"/>
  <c r="Z25" i="58" s="1"/>
  <c r="L25" i="58"/>
  <c r="N25" i="58" s="1"/>
  <c r="B25" i="58"/>
  <c r="X24" i="58"/>
  <c r="Z24" i="58" s="1"/>
  <c r="N24" i="58"/>
  <c r="L24" i="58"/>
  <c r="B24" i="58"/>
  <c r="Z23" i="58"/>
  <c r="X23" i="58"/>
  <c r="R23" i="58"/>
  <c r="L23" i="58"/>
  <c r="N23" i="58" s="1"/>
  <c r="B23" i="58"/>
  <c r="Z22" i="58"/>
  <c r="X22" i="58"/>
  <c r="V22" i="58"/>
  <c r="N22" i="58"/>
  <c r="L22" i="58"/>
  <c r="B22" i="58"/>
  <c r="X21" i="58"/>
  <c r="Z21" i="58" s="1"/>
  <c r="N21" i="58"/>
  <c r="L21" i="58"/>
  <c r="B21" i="58"/>
  <c r="Z20" i="58"/>
  <c r="X20" i="58"/>
  <c r="L20" i="58"/>
  <c r="N20" i="58" s="1"/>
  <c r="B20" i="58"/>
  <c r="T19" i="58"/>
  <c r="P19" i="58"/>
  <c r="X19" i="58" s="1"/>
  <c r="Z19" i="58" s="1"/>
  <c r="L19" i="58"/>
  <c r="N19" i="58" s="1"/>
  <c r="H19" i="58"/>
  <c r="D19" i="58"/>
  <c r="B19" i="58"/>
  <c r="V18" i="58"/>
  <c r="T18" i="58"/>
  <c r="P18" i="58"/>
  <c r="X18" i="58" s="1"/>
  <c r="H18" i="58"/>
  <c r="N18" i="58" s="1"/>
  <c r="F18" i="58"/>
  <c r="D18" i="58"/>
  <c r="L18" i="58" s="1"/>
  <c r="P16" i="58"/>
  <c r="P76" i="58" s="1"/>
  <c r="V14" i="58"/>
  <c r="T14" i="58"/>
  <c r="T16" i="58" s="1"/>
  <c r="P14" i="58"/>
  <c r="H14" i="58"/>
  <c r="N14" i="58" s="1"/>
  <c r="F14" i="58"/>
  <c r="D14" i="58"/>
  <c r="L14" i="58" s="1"/>
  <c r="Z12" i="58"/>
  <c r="T12" i="58"/>
  <c r="V65" i="58" s="1"/>
  <c r="P12" i="58"/>
  <c r="R71" i="58" s="1"/>
  <c r="H12" i="58"/>
  <c r="J50" i="58" s="1"/>
  <c r="D12" i="58"/>
  <c r="F70" i="58" s="1"/>
  <c r="D6" i="58"/>
  <c r="D4" i="58"/>
  <c r="R74" i="57"/>
  <c r="J71" i="57"/>
  <c r="Z69" i="57"/>
  <c r="X69" i="57"/>
  <c r="N69" i="57"/>
  <c r="L69" i="57"/>
  <c r="R67" i="57"/>
  <c r="Z65" i="57"/>
  <c r="X65" i="57"/>
  <c r="T65" i="57"/>
  <c r="P65" i="57"/>
  <c r="J65" i="57"/>
  <c r="H65" i="57"/>
  <c r="N65" i="57" s="1"/>
  <c r="D65" i="57"/>
  <c r="Z63" i="57"/>
  <c r="X63" i="57"/>
  <c r="N63" i="57"/>
  <c r="L63" i="57"/>
  <c r="B63" i="57"/>
  <c r="T62" i="57"/>
  <c r="Z62" i="57" s="1"/>
  <c r="P62" i="57"/>
  <c r="X62" i="57" s="1"/>
  <c r="N62" i="57"/>
  <c r="H62" i="57"/>
  <c r="D62" i="57"/>
  <c r="L62" i="57" s="1"/>
  <c r="B62" i="57"/>
  <c r="X61" i="57"/>
  <c r="Z61" i="57" s="1"/>
  <c r="L61" i="57"/>
  <c r="N61" i="57" s="1"/>
  <c r="J61" i="57"/>
  <c r="B61" i="57"/>
  <c r="T60" i="57"/>
  <c r="P60" i="57"/>
  <c r="X60" i="57" s="1"/>
  <c r="Z60" i="57" s="1"/>
  <c r="N60" i="57"/>
  <c r="L60" i="57"/>
  <c r="H60" i="57"/>
  <c r="D60" i="57"/>
  <c r="B60" i="57"/>
  <c r="Z59" i="57"/>
  <c r="X59" i="57"/>
  <c r="L59" i="57"/>
  <c r="N59" i="57" s="1"/>
  <c r="B59" i="57"/>
  <c r="Z58" i="57"/>
  <c r="X58" i="57"/>
  <c r="T58" i="57"/>
  <c r="P58" i="57"/>
  <c r="L58" i="57"/>
  <c r="N58" i="57" s="1"/>
  <c r="H58" i="57"/>
  <c r="D58" i="57"/>
  <c r="B58" i="57"/>
  <c r="X57" i="57"/>
  <c r="Z57" i="57" s="1"/>
  <c r="V57" i="57"/>
  <c r="L57" i="57"/>
  <c r="N57" i="57" s="1"/>
  <c r="B57" i="57"/>
  <c r="X56" i="57"/>
  <c r="Z56" i="57" s="1"/>
  <c r="T56" i="57"/>
  <c r="P56" i="57"/>
  <c r="H56" i="57"/>
  <c r="D56" i="57"/>
  <c r="B56" i="57"/>
  <c r="X55" i="57"/>
  <c r="Z55" i="57" s="1"/>
  <c r="N55" i="57"/>
  <c r="L55" i="57"/>
  <c r="B55" i="57"/>
  <c r="T54" i="57"/>
  <c r="P54" i="57"/>
  <c r="X54" i="57" s="1"/>
  <c r="H54" i="57"/>
  <c r="D54" i="57"/>
  <c r="L54" i="57" s="1"/>
  <c r="N54" i="57" s="1"/>
  <c r="B54" i="57"/>
  <c r="X53" i="57"/>
  <c r="Z53" i="57" s="1"/>
  <c r="L53" i="57"/>
  <c r="N53" i="57" s="1"/>
  <c r="J53" i="57"/>
  <c r="B53" i="57"/>
  <c r="Z52" i="57"/>
  <c r="X52" i="57"/>
  <c r="L52" i="57"/>
  <c r="N52" i="57" s="1"/>
  <c r="B52" i="57"/>
  <c r="Z51" i="57"/>
  <c r="X51" i="57"/>
  <c r="N51" i="57"/>
  <c r="L51" i="57"/>
  <c r="B51" i="57"/>
  <c r="T50" i="57"/>
  <c r="P50" i="57"/>
  <c r="X50" i="57" s="1"/>
  <c r="H50" i="57"/>
  <c r="D50" i="57"/>
  <c r="L50" i="57" s="1"/>
  <c r="N50" i="57" s="1"/>
  <c r="B50" i="57"/>
  <c r="X49" i="57"/>
  <c r="Z49" i="57" s="1"/>
  <c r="L49" i="57"/>
  <c r="N49" i="57" s="1"/>
  <c r="J49" i="57"/>
  <c r="B49" i="57"/>
  <c r="T48" i="57"/>
  <c r="P48" i="57"/>
  <c r="X48" i="57" s="1"/>
  <c r="Z48" i="57" s="1"/>
  <c r="N48" i="57"/>
  <c r="L48" i="57"/>
  <c r="H48" i="57"/>
  <c r="D48" i="57"/>
  <c r="B48" i="57"/>
  <c r="Z47" i="57"/>
  <c r="X47" i="57"/>
  <c r="N47" i="57"/>
  <c r="L47" i="57"/>
  <c r="B47" i="57"/>
  <c r="Z46" i="57"/>
  <c r="X46" i="57"/>
  <c r="T46" i="57"/>
  <c r="P46" i="57"/>
  <c r="L46" i="57"/>
  <c r="H46" i="57"/>
  <c r="N46" i="57" s="1"/>
  <c r="D46" i="57"/>
  <c r="B46" i="57"/>
  <c r="X45" i="57"/>
  <c r="Z45" i="57" s="1"/>
  <c r="V45" i="57"/>
  <c r="N45" i="57"/>
  <c r="L45" i="57"/>
  <c r="B45" i="57"/>
  <c r="X44" i="57"/>
  <c r="T44" i="57"/>
  <c r="P44" i="57"/>
  <c r="H44" i="57"/>
  <c r="D44" i="57"/>
  <c r="B44" i="57"/>
  <c r="Z43" i="57"/>
  <c r="X43" i="57"/>
  <c r="N43" i="57"/>
  <c r="L43" i="57"/>
  <c r="B43" i="57"/>
  <c r="T42" i="57"/>
  <c r="Z42" i="57" s="1"/>
  <c r="P42" i="57"/>
  <c r="H42" i="57"/>
  <c r="N42" i="57" s="1"/>
  <c r="D42" i="57"/>
  <c r="L42" i="57" s="1"/>
  <c r="B42" i="57"/>
  <c r="Z41" i="57"/>
  <c r="X41" i="57"/>
  <c r="L41" i="57"/>
  <c r="N41" i="57" s="1"/>
  <c r="J41" i="57"/>
  <c r="B41" i="57"/>
  <c r="T40" i="57"/>
  <c r="Z40" i="57" s="1"/>
  <c r="P40" i="57"/>
  <c r="X40" i="57" s="1"/>
  <c r="L40" i="57"/>
  <c r="N40" i="57" s="1"/>
  <c r="H40" i="57"/>
  <c r="D40" i="57"/>
  <c r="B40" i="57"/>
  <c r="Z39" i="57"/>
  <c r="X39" i="57"/>
  <c r="N39" i="57"/>
  <c r="L39" i="57"/>
  <c r="B39" i="57"/>
  <c r="Z38" i="57"/>
  <c r="X38" i="57"/>
  <c r="N38" i="57"/>
  <c r="L38" i="57"/>
  <c r="B38" i="57"/>
  <c r="Z37" i="57"/>
  <c r="X37" i="57"/>
  <c r="N37" i="57"/>
  <c r="L37" i="57"/>
  <c r="J37" i="57"/>
  <c r="B37" i="57"/>
  <c r="Z36" i="57"/>
  <c r="X36" i="57"/>
  <c r="N36" i="57"/>
  <c r="L36" i="57"/>
  <c r="B36" i="57"/>
  <c r="Z35" i="57"/>
  <c r="X35" i="57"/>
  <c r="N35" i="57"/>
  <c r="L35" i="57"/>
  <c r="B35" i="57"/>
  <c r="Z34" i="57"/>
  <c r="X34" i="57"/>
  <c r="R34" i="57"/>
  <c r="N34" i="57"/>
  <c r="L34" i="57"/>
  <c r="B34" i="57"/>
  <c r="Z33" i="57"/>
  <c r="X33" i="57"/>
  <c r="V33" i="57"/>
  <c r="N33" i="57"/>
  <c r="L33" i="57"/>
  <c r="B33" i="57"/>
  <c r="Z32" i="57"/>
  <c r="X32" i="57"/>
  <c r="N32" i="57"/>
  <c r="L32" i="57"/>
  <c r="B32" i="57"/>
  <c r="Z31" i="57"/>
  <c r="X31" i="57"/>
  <c r="N31" i="57"/>
  <c r="L31" i="57"/>
  <c r="B31" i="57"/>
  <c r="X30" i="57"/>
  <c r="Z30" i="57" s="1"/>
  <c r="L30" i="57"/>
  <c r="N30" i="57" s="1"/>
  <c r="B30" i="57"/>
  <c r="T29" i="57"/>
  <c r="P29" i="57"/>
  <c r="X29" i="57" s="1"/>
  <c r="Z29" i="57" s="1"/>
  <c r="N29" i="57"/>
  <c r="L29" i="57"/>
  <c r="H29" i="57"/>
  <c r="D29" i="57"/>
  <c r="B29" i="57"/>
  <c r="X28" i="57"/>
  <c r="Z28" i="57" s="1"/>
  <c r="L28" i="57"/>
  <c r="N28" i="57" s="1"/>
  <c r="B28" i="57"/>
  <c r="Z27" i="57"/>
  <c r="X27" i="57"/>
  <c r="L27" i="57"/>
  <c r="N27" i="57" s="1"/>
  <c r="B27" i="57"/>
  <c r="Z26" i="57"/>
  <c r="X26" i="57"/>
  <c r="N26" i="57"/>
  <c r="L26" i="57"/>
  <c r="B26" i="57"/>
  <c r="Z25" i="57"/>
  <c r="X25" i="57"/>
  <c r="N25" i="57"/>
  <c r="L25" i="57"/>
  <c r="J25" i="57"/>
  <c r="B25" i="57"/>
  <c r="X24" i="57"/>
  <c r="Z24" i="57" s="1"/>
  <c r="L24" i="57"/>
  <c r="N24" i="57" s="1"/>
  <c r="B24" i="57"/>
  <c r="X23" i="57"/>
  <c r="Z23" i="57" s="1"/>
  <c r="N23" i="57"/>
  <c r="L23" i="57"/>
  <c r="B23" i="57"/>
  <c r="Z22" i="57"/>
  <c r="X22" i="57"/>
  <c r="R22" i="57"/>
  <c r="N22" i="57"/>
  <c r="L22" i="57"/>
  <c r="B22" i="57"/>
  <c r="X21" i="57"/>
  <c r="Z21" i="57" s="1"/>
  <c r="V21" i="57"/>
  <c r="N21" i="57"/>
  <c r="L21" i="57"/>
  <c r="B21" i="57"/>
  <c r="X20" i="57"/>
  <c r="Z20" i="57" s="1"/>
  <c r="L20" i="57"/>
  <c r="N20" i="57" s="1"/>
  <c r="B20" i="57"/>
  <c r="Z19" i="57"/>
  <c r="T19" i="57"/>
  <c r="P19" i="57"/>
  <c r="X19" i="57" s="1"/>
  <c r="J19" i="57"/>
  <c r="H19" i="57"/>
  <c r="N19" i="57" s="1"/>
  <c r="D19" i="57"/>
  <c r="L19" i="57" s="1"/>
  <c r="B19" i="57"/>
  <c r="T18" i="57"/>
  <c r="P18" i="57"/>
  <c r="X18" i="57" s="1"/>
  <c r="H18" i="57"/>
  <c r="D18" i="57"/>
  <c r="L18" i="57" s="1"/>
  <c r="T14" i="57"/>
  <c r="R14" i="57"/>
  <c r="P14" i="57"/>
  <c r="P16" i="57" s="1"/>
  <c r="H14" i="57"/>
  <c r="H16" i="57" s="1"/>
  <c r="D14" i="57"/>
  <c r="L14" i="57" s="1"/>
  <c r="Z12" i="57"/>
  <c r="X12" i="57"/>
  <c r="T12" i="57"/>
  <c r="V56" i="57" s="1"/>
  <c r="P12" i="57"/>
  <c r="R62" i="57" s="1"/>
  <c r="H12" i="57"/>
  <c r="J58" i="57" s="1"/>
  <c r="D12" i="57"/>
  <c r="F30" i="57" s="1"/>
  <c r="D6" i="57"/>
  <c r="D4" i="57"/>
  <c r="Z77" i="56"/>
  <c r="X77" i="56"/>
  <c r="N77" i="56"/>
  <c r="L77" i="56"/>
  <c r="X73" i="56"/>
  <c r="T73" i="56"/>
  <c r="Z73" i="56" s="1"/>
  <c r="P73" i="56"/>
  <c r="H73" i="56"/>
  <c r="N73" i="56" s="1"/>
  <c r="D73" i="56"/>
  <c r="X71" i="56"/>
  <c r="Z71" i="56" s="1"/>
  <c r="N71" i="56"/>
  <c r="L71" i="56"/>
  <c r="B71" i="56"/>
  <c r="T70" i="56"/>
  <c r="P70" i="56"/>
  <c r="X70" i="56" s="1"/>
  <c r="N70" i="56"/>
  <c r="L70" i="56"/>
  <c r="H70" i="56"/>
  <c r="D70" i="56"/>
  <c r="B70" i="56"/>
  <c r="X69" i="56"/>
  <c r="Z69" i="56" s="1"/>
  <c r="L69" i="56"/>
  <c r="N69" i="56" s="1"/>
  <c r="F69" i="56"/>
  <c r="B69" i="56"/>
  <c r="Z68" i="56"/>
  <c r="X68" i="56"/>
  <c r="T68" i="56"/>
  <c r="P68" i="56"/>
  <c r="H68" i="56"/>
  <c r="L68" i="56" s="1"/>
  <c r="N68" i="56" s="1"/>
  <c r="D68" i="56"/>
  <c r="B68" i="56"/>
  <c r="X67" i="56"/>
  <c r="Z67" i="56" s="1"/>
  <c r="N67" i="56"/>
  <c r="L67" i="56"/>
  <c r="B67" i="56"/>
  <c r="T66" i="56"/>
  <c r="P66" i="56"/>
  <c r="X66" i="56" s="1"/>
  <c r="Z66" i="56" s="1"/>
  <c r="H66" i="56"/>
  <c r="D66" i="56"/>
  <c r="L66" i="56" s="1"/>
  <c r="N66" i="56" s="1"/>
  <c r="B66" i="56"/>
  <c r="Z65" i="56"/>
  <c r="X65" i="56"/>
  <c r="N65" i="56"/>
  <c r="L65" i="56"/>
  <c r="B65" i="56"/>
  <c r="Z64" i="56"/>
  <c r="X64" i="56"/>
  <c r="N64" i="56"/>
  <c r="L64" i="56"/>
  <c r="B64" i="56"/>
  <c r="X63" i="56"/>
  <c r="T63" i="56"/>
  <c r="Z63" i="56" s="1"/>
  <c r="P63" i="56"/>
  <c r="H63" i="56"/>
  <c r="D63" i="56"/>
  <c r="L63" i="56" s="1"/>
  <c r="B63" i="56"/>
  <c r="X62" i="56"/>
  <c r="Z62" i="56" s="1"/>
  <c r="N62" i="56"/>
  <c r="L62" i="56"/>
  <c r="B62" i="56"/>
  <c r="T61" i="56"/>
  <c r="P61" i="56"/>
  <c r="X61" i="56" s="1"/>
  <c r="H61" i="56"/>
  <c r="N61" i="56" s="1"/>
  <c r="D61" i="56"/>
  <c r="L61" i="56" s="1"/>
  <c r="B61" i="56"/>
  <c r="Z60" i="56"/>
  <c r="X60" i="56"/>
  <c r="N60" i="56"/>
  <c r="L60" i="56"/>
  <c r="B60" i="56"/>
  <c r="Z59" i="56"/>
  <c r="X59" i="56"/>
  <c r="L59" i="56"/>
  <c r="N59" i="56" s="1"/>
  <c r="B59" i="56"/>
  <c r="T58" i="56"/>
  <c r="Z58" i="56" s="1"/>
  <c r="P58" i="56"/>
  <c r="X58" i="56" s="1"/>
  <c r="N58" i="56"/>
  <c r="L58" i="56"/>
  <c r="H58" i="56"/>
  <c r="D58" i="56"/>
  <c r="B58" i="56"/>
  <c r="X57" i="56"/>
  <c r="Z57" i="56" s="1"/>
  <c r="N57" i="56"/>
  <c r="L57" i="56"/>
  <c r="B57" i="56"/>
  <c r="Z56" i="56"/>
  <c r="X56" i="56"/>
  <c r="N56" i="56"/>
  <c r="L56" i="56"/>
  <c r="B56" i="56"/>
  <c r="Z55" i="56"/>
  <c r="X55" i="56"/>
  <c r="L55" i="56"/>
  <c r="N55" i="56" s="1"/>
  <c r="B55" i="56"/>
  <c r="T54" i="56"/>
  <c r="P54" i="56"/>
  <c r="X54" i="56" s="1"/>
  <c r="N54" i="56"/>
  <c r="L54" i="56"/>
  <c r="H54" i="56"/>
  <c r="D54" i="56"/>
  <c r="B54" i="56"/>
  <c r="X53" i="56"/>
  <c r="Z53" i="56" s="1"/>
  <c r="L53" i="56"/>
  <c r="N53" i="56" s="1"/>
  <c r="B53" i="56"/>
  <c r="T52" i="56"/>
  <c r="P52" i="56"/>
  <c r="X52" i="56" s="1"/>
  <c r="Z52" i="56" s="1"/>
  <c r="N52" i="56"/>
  <c r="L52" i="56"/>
  <c r="H52" i="56"/>
  <c r="D52" i="56"/>
  <c r="B52" i="56"/>
  <c r="X51" i="56"/>
  <c r="Z51" i="56" s="1"/>
  <c r="N51" i="56"/>
  <c r="L51" i="56"/>
  <c r="B51" i="56"/>
  <c r="Z50" i="56"/>
  <c r="X50" i="56"/>
  <c r="T50" i="56"/>
  <c r="P50" i="56"/>
  <c r="H50" i="56"/>
  <c r="D50" i="56"/>
  <c r="L50" i="56" s="1"/>
  <c r="B50" i="56"/>
  <c r="Z49" i="56"/>
  <c r="X49" i="56"/>
  <c r="L49" i="56"/>
  <c r="N49" i="56" s="1"/>
  <c r="B49" i="56"/>
  <c r="V48" i="56"/>
  <c r="T48" i="56"/>
  <c r="P48" i="56"/>
  <c r="X48" i="56" s="1"/>
  <c r="H48" i="56"/>
  <c r="N48" i="56" s="1"/>
  <c r="D48" i="56"/>
  <c r="L48" i="56" s="1"/>
  <c r="B48" i="56"/>
  <c r="Z47" i="56"/>
  <c r="X47" i="56"/>
  <c r="N47" i="56"/>
  <c r="L47" i="56"/>
  <c r="B47" i="56"/>
  <c r="T46" i="56"/>
  <c r="P46" i="56"/>
  <c r="X46" i="56" s="1"/>
  <c r="N46" i="56"/>
  <c r="L46" i="56"/>
  <c r="H46" i="56"/>
  <c r="D46" i="56"/>
  <c r="B46" i="56"/>
  <c r="X45" i="56"/>
  <c r="Z45" i="56" s="1"/>
  <c r="N45" i="56"/>
  <c r="L45" i="56"/>
  <c r="B45" i="56"/>
  <c r="T44" i="56"/>
  <c r="X44" i="56" s="1"/>
  <c r="Z44" i="56" s="1"/>
  <c r="P44" i="56"/>
  <c r="N44" i="56"/>
  <c r="L44" i="56"/>
  <c r="H44" i="56"/>
  <c r="D44" i="56"/>
  <c r="B44" i="56"/>
  <c r="X43" i="56"/>
  <c r="Z43" i="56" s="1"/>
  <c r="N43" i="56"/>
  <c r="L43" i="56"/>
  <c r="B43" i="56"/>
  <c r="T42" i="56"/>
  <c r="P42" i="56"/>
  <c r="X42" i="56" s="1"/>
  <c r="Z42" i="56" s="1"/>
  <c r="H42" i="56"/>
  <c r="D42" i="56"/>
  <c r="L42" i="56" s="1"/>
  <c r="B42" i="56"/>
  <c r="Z41" i="56"/>
  <c r="X41" i="56"/>
  <c r="N41" i="56"/>
  <c r="L41" i="56"/>
  <c r="B41" i="56"/>
  <c r="V40" i="56"/>
  <c r="T40" i="56"/>
  <c r="P40" i="56"/>
  <c r="X40" i="56" s="1"/>
  <c r="H40" i="56"/>
  <c r="D40" i="56"/>
  <c r="L40" i="56" s="1"/>
  <c r="B40" i="56"/>
  <c r="Z39" i="56"/>
  <c r="X39" i="56"/>
  <c r="N39" i="56"/>
  <c r="L39" i="56"/>
  <c r="B39" i="56"/>
  <c r="Z38" i="56"/>
  <c r="X38" i="56"/>
  <c r="N38" i="56"/>
  <c r="L38" i="56"/>
  <c r="B38" i="56"/>
  <c r="Z37" i="56"/>
  <c r="X37" i="56"/>
  <c r="N37" i="56"/>
  <c r="L37" i="56"/>
  <c r="B37" i="56"/>
  <c r="Z36" i="56"/>
  <c r="X36" i="56"/>
  <c r="V36" i="56"/>
  <c r="N36" i="56"/>
  <c r="L36" i="56"/>
  <c r="B36" i="56"/>
  <c r="Z35" i="56"/>
  <c r="X35" i="56"/>
  <c r="N35" i="56"/>
  <c r="L35" i="56"/>
  <c r="B35" i="56"/>
  <c r="Z34" i="56"/>
  <c r="X34" i="56"/>
  <c r="N34" i="56"/>
  <c r="L34" i="56"/>
  <c r="B34" i="56"/>
  <c r="Z33" i="56"/>
  <c r="X33" i="56"/>
  <c r="N33" i="56"/>
  <c r="L33" i="56"/>
  <c r="B33" i="56"/>
  <c r="Z32" i="56"/>
  <c r="X32" i="56"/>
  <c r="N32" i="56"/>
  <c r="L32" i="56"/>
  <c r="B32" i="56"/>
  <c r="Z31" i="56"/>
  <c r="X31" i="56"/>
  <c r="L31" i="56"/>
  <c r="N31" i="56" s="1"/>
  <c r="B31" i="56"/>
  <c r="X30" i="56"/>
  <c r="Z30" i="56" s="1"/>
  <c r="N30" i="56"/>
  <c r="L30" i="56"/>
  <c r="B30" i="56"/>
  <c r="T29" i="56"/>
  <c r="P29" i="56"/>
  <c r="X29" i="56" s="1"/>
  <c r="H29" i="56"/>
  <c r="D29" i="56"/>
  <c r="L29" i="56" s="1"/>
  <c r="N29" i="56" s="1"/>
  <c r="B29" i="56"/>
  <c r="X28" i="56"/>
  <c r="Z28" i="56" s="1"/>
  <c r="L28" i="56"/>
  <c r="N28" i="56" s="1"/>
  <c r="J28" i="56"/>
  <c r="B28" i="56"/>
  <c r="Z27" i="56"/>
  <c r="X27" i="56"/>
  <c r="L27" i="56"/>
  <c r="N27" i="56" s="1"/>
  <c r="B27" i="56"/>
  <c r="X26" i="56"/>
  <c r="Z26" i="56" s="1"/>
  <c r="N26" i="56"/>
  <c r="L26" i="56"/>
  <c r="B26" i="56"/>
  <c r="Z25" i="56"/>
  <c r="X25" i="56"/>
  <c r="N25" i="56"/>
  <c r="L25" i="56"/>
  <c r="B25" i="56"/>
  <c r="X24" i="56"/>
  <c r="Z24" i="56" s="1"/>
  <c r="N24" i="56"/>
  <c r="L24" i="56"/>
  <c r="B24" i="56"/>
  <c r="X23" i="56"/>
  <c r="Z23" i="56" s="1"/>
  <c r="N23" i="56"/>
  <c r="L23" i="56"/>
  <c r="J23" i="56"/>
  <c r="B23" i="56"/>
  <c r="Z22" i="56"/>
  <c r="X22" i="56"/>
  <c r="L22" i="56"/>
  <c r="N22" i="56" s="1"/>
  <c r="B22" i="56"/>
  <c r="Z21" i="56"/>
  <c r="X21" i="56"/>
  <c r="N21" i="56"/>
  <c r="L21" i="56"/>
  <c r="B21" i="56"/>
  <c r="Z20" i="56"/>
  <c r="X20" i="56"/>
  <c r="L20" i="56"/>
  <c r="N20" i="56" s="1"/>
  <c r="J20" i="56"/>
  <c r="B20" i="56"/>
  <c r="T19" i="56"/>
  <c r="Z19" i="56" s="1"/>
  <c r="P19" i="56"/>
  <c r="X19" i="56" s="1"/>
  <c r="L19" i="56"/>
  <c r="N19" i="56" s="1"/>
  <c r="J19" i="56"/>
  <c r="H19" i="56"/>
  <c r="F19" i="56"/>
  <c r="D19" i="56"/>
  <c r="B19" i="56"/>
  <c r="V18" i="56"/>
  <c r="T18" i="56"/>
  <c r="P18" i="56"/>
  <c r="H18" i="56"/>
  <c r="D18" i="56"/>
  <c r="L18" i="56" s="1"/>
  <c r="T16" i="56"/>
  <c r="J16" i="56"/>
  <c r="H16" i="56"/>
  <c r="D16" i="56"/>
  <c r="L16" i="56" s="1"/>
  <c r="V14" i="56"/>
  <c r="T14" i="56"/>
  <c r="Z14" i="56" s="1"/>
  <c r="R14" i="56"/>
  <c r="P14" i="56"/>
  <c r="X14" i="56" s="1"/>
  <c r="L14" i="56"/>
  <c r="H14" i="56"/>
  <c r="N14" i="56" s="1"/>
  <c r="F14" i="56"/>
  <c r="D14" i="56"/>
  <c r="Z12" i="56"/>
  <c r="X12" i="56"/>
  <c r="T12" i="56"/>
  <c r="V19" i="56" s="1"/>
  <c r="P12" i="56"/>
  <c r="R58" i="56" s="1"/>
  <c r="H12" i="56"/>
  <c r="J32" i="56" s="1"/>
  <c r="D12" i="56"/>
  <c r="D6" i="56"/>
  <c r="D4" i="56"/>
  <c r="R38" i="55"/>
  <c r="Z33" i="55"/>
  <c r="X33" i="55"/>
  <c r="R33" i="55"/>
  <c r="N33" i="55"/>
  <c r="L33" i="55"/>
  <c r="F33" i="55"/>
  <c r="R31" i="55"/>
  <c r="T29" i="55"/>
  <c r="Z29" i="55" s="1"/>
  <c r="P29" i="55"/>
  <c r="H29" i="55"/>
  <c r="N29" i="55" s="1"/>
  <c r="D29" i="55"/>
  <c r="L29" i="55" s="1"/>
  <c r="X27" i="55"/>
  <c r="Z27" i="55" s="1"/>
  <c r="R27" i="55"/>
  <c r="N27" i="55"/>
  <c r="L27" i="55"/>
  <c r="J27" i="55"/>
  <c r="F27" i="55"/>
  <c r="B27" i="55"/>
  <c r="Z26" i="55"/>
  <c r="X26" i="55"/>
  <c r="R26" i="55"/>
  <c r="L26" i="55"/>
  <c r="N26" i="55" s="1"/>
  <c r="J26" i="55"/>
  <c r="B26" i="55"/>
  <c r="T25" i="55"/>
  <c r="R25" i="55"/>
  <c r="P25" i="55"/>
  <c r="X25" i="55" s="1"/>
  <c r="L25" i="55"/>
  <c r="H25" i="55"/>
  <c r="N25" i="55" s="1"/>
  <c r="D25" i="55"/>
  <c r="B25" i="55"/>
  <c r="Z24" i="55"/>
  <c r="X24" i="55"/>
  <c r="L24" i="55"/>
  <c r="N24" i="55" s="1"/>
  <c r="B24" i="55"/>
  <c r="X23" i="55"/>
  <c r="T23" i="55"/>
  <c r="Z23" i="55" s="1"/>
  <c r="R23" i="55"/>
  <c r="P23" i="55"/>
  <c r="L23" i="55"/>
  <c r="N23" i="55" s="1"/>
  <c r="H23" i="55"/>
  <c r="D23" i="55"/>
  <c r="B23" i="55"/>
  <c r="X22" i="55"/>
  <c r="Z22" i="55" s="1"/>
  <c r="N22" i="55"/>
  <c r="L22" i="55"/>
  <c r="B22" i="55"/>
  <c r="X21" i="55"/>
  <c r="Z21" i="55" s="1"/>
  <c r="T21" i="55"/>
  <c r="P21" i="55"/>
  <c r="J21" i="55"/>
  <c r="H21" i="55"/>
  <c r="D21" i="55"/>
  <c r="L21" i="55" s="1"/>
  <c r="B21" i="55"/>
  <c r="X20" i="55"/>
  <c r="Z20" i="55" s="1"/>
  <c r="R20" i="55"/>
  <c r="N20" i="55"/>
  <c r="L20" i="55"/>
  <c r="B20" i="55"/>
  <c r="T19" i="55"/>
  <c r="P19" i="55"/>
  <c r="X19" i="55" s="1"/>
  <c r="J19" i="55"/>
  <c r="H19" i="55"/>
  <c r="N19" i="55" s="1"/>
  <c r="D19" i="55"/>
  <c r="L19" i="55" s="1"/>
  <c r="B19" i="55"/>
  <c r="T18" i="55"/>
  <c r="Z18" i="55" s="1"/>
  <c r="R18" i="55"/>
  <c r="P18" i="55"/>
  <c r="X18" i="55" s="1"/>
  <c r="N18" i="55"/>
  <c r="J18" i="55"/>
  <c r="H18" i="55"/>
  <c r="D18" i="55"/>
  <c r="L18" i="55" s="1"/>
  <c r="R16" i="55"/>
  <c r="J16" i="55"/>
  <c r="H16" i="55"/>
  <c r="H31" i="55" s="1"/>
  <c r="F16" i="55"/>
  <c r="T14" i="55"/>
  <c r="Z14" i="55" s="1"/>
  <c r="R14" i="55"/>
  <c r="P14" i="55"/>
  <c r="P16" i="55" s="1"/>
  <c r="N14" i="55"/>
  <c r="J14" i="55"/>
  <c r="H14" i="55"/>
  <c r="D14" i="55"/>
  <c r="L14" i="55" s="1"/>
  <c r="T12" i="55"/>
  <c r="P12" i="55"/>
  <c r="R35" i="55" s="1"/>
  <c r="N12" i="55"/>
  <c r="H12" i="55"/>
  <c r="J38" i="55" s="1"/>
  <c r="D12" i="55"/>
  <c r="F26" i="55" s="1"/>
  <c r="D6" i="55"/>
  <c r="D4" i="55"/>
  <c r="J31" i="54"/>
  <c r="F31" i="54"/>
  <c r="T29" i="54"/>
  <c r="R29" i="54"/>
  <c r="P29" i="54"/>
  <c r="H29" i="54"/>
  <c r="N29" i="54" s="1"/>
  <c r="F29" i="54"/>
  <c r="D29" i="54"/>
  <c r="L29" i="54" s="1"/>
  <c r="Z28" i="54"/>
  <c r="T28" i="54"/>
  <c r="P28" i="54"/>
  <c r="X28" i="54" s="1"/>
  <c r="L28" i="54"/>
  <c r="N28" i="54" s="1"/>
  <c r="J28" i="54"/>
  <c r="H28" i="54"/>
  <c r="F28" i="54"/>
  <c r="D28" i="54"/>
  <c r="R26" i="54"/>
  <c r="F26" i="54"/>
  <c r="Z24" i="54"/>
  <c r="X24" i="54"/>
  <c r="N24" i="54"/>
  <c r="L24" i="54"/>
  <c r="F24" i="54"/>
  <c r="Z22" i="54"/>
  <c r="J22" i="54"/>
  <c r="F22" i="54"/>
  <c r="T20" i="54"/>
  <c r="Z20" i="54" s="1"/>
  <c r="R20" i="54"/>
  <c r="P20" i="54"/>
  <c r="H20" i="54"/>
  <c r="N20" i="54" s="1"/>
  <c r="F20" i="54"/>
  <c r="D20" i="54"/>
  <c r="L20" i="54" s="1"/>
  <c r="Z18" i="54"/>
  <c r="T18" i="54"/>
  <c r="P18" i="54"/>
  <c r="X18" i="54" s="1"/>
  <c r="N18" i="54"/>
  <c r="L18" i="54"/>
  <c r="J18" i="54"/>
  <c r="H18" i="54"/>
  <c r="F18" i="54"/>
  <c r="D18" i="54"/>
  <c r="T16" i="54"/>
  <c r="T22" i="54" s="1"/>
  <c r="T26" i="54" s="1"/>
  <c r="R16" i="54"/>
  <c r="H16" i="54"/>
  <c r="H22" i="54" s="1"/>
  <c r="F16" i="54"/>
  <c r="D16" i="54"/>
  <c r="D22" i="54" s="1"/>
  <c r="Z14" i="54"/>
  <c r="T14" i="54"/>
  <c r="P14" i="54"/>
  <c r="X14" i="54" s="1"/>
  <c r="N14" i="54"/>
  <c r="L14" i="54"/>
  <c r="J14" i="54"/>
  <c r="H14" i="54"/>
  <c r="F14" i="54"/>
  <c r="D14" i="54"/>
  <c r="T12" i="54"/>
  <c r="V31" i="54" s="1"/>
  <c r="P12" i="54"/>
  <c r="P16" i="54" s="1"/>
  <c r="N12" i="54"/>
  <c r="H12" i="54"/>
  <c r="L12" i="54" s="1"/>
  <c r="D12" i="54"/>
  <c r="D6" i="54"/>
  <c r="D4" i="54"/>
  <c r="B39" i="53"/>
  <c r="B38" i="53"/>
  <c r="T34" i="53"/>
  <c r="Z34" i="53" s="1"/>
  <c r="P34" i="53"/>
  <c r="H34" i="53"/>
  <c r="N34" i="53" s="1"/>
  <c r="D34" i="53"/>
  <c r="T33" i="53"/>
  <c r="Z33" i="53" s="1"/>
  <c r="P33" i="53"/>
  <c r="H33" i="53"/>
  <c r="N33" i="53" s="1"/>
  <c r="D33" i="53"/>
  <c r="T29" i="53"/>
  <c r="Z29" i="53" s="1"/>
  <c r="P29" i="53"/>
  <c r="H29" i="53"/>
  <c r="N29" i="53" s="1"/>
  <c r="D29" i="53"/>
  <c r="T25" i="53"/>
  <c r="Z25" i="53" s="1"/>
  <c r="P25" i="53"/>
  <c r="H25" i="53"/>
  <c r="N25" i="53" s="1"/>
  <c r="D25" i="53"/>
  <c r="B25" i="53"/>
  <c r="T24" i="53"/>
  <c r="P24" i="53"/>
  <c r="H24" i="53"/>
  <c r="N24" i="53" s="1"/>
  <c r="D24" i="53"/>
  <c r="T22" i="53"/>
  <c r="Z22" i="53" s="1"/>
  <c r="P22" i="53"/>
  <c r="H22" i="53"/>
  <c r="N22" i="53" s="1"/>
  <c r="D22" i="53"/>
  <c r="B22" i="53"/>
  <c r="T21" i="53"/>
  <c r="Z21" i="53" s="1"/>
  <c r="P21" i="53"/>
  <c r="H21" i="53"/>
  <c r="N21" i="53" s="1"/>
  <c r="D21" i="53"/>
  <c r="B21" i="53"/>
  <c r="T20" i="53"/>
  <c r="Z20" i="53" s="1"/>
  <c r="P20" i="53"/>
  <c r="H20" i="53"/>
  <c r="N20" i="53" s="1"/>
  <c r="D20" i="53"/>
  <c r="T16" i="53"/>
  <c r="Z16" i="53" s="1"/>
  <c r="P16" i="53"/>
  <c r="H16" i="53"/>
  <c r="N16" i="53" s="1"/>
  <c r="D16" i="53"/>
  <c r="B16" i="53"/>
  <c r="T15" i="53"/>
  <c r="Z15" i="53" s="1"/>
  <c r="P15" i="53"/>
  <c r="H15" i="53"/>
  <c r="N15" i="53" s="1"/>
  <c r="D15" i="53"/>
  <c r="T13" i="53"/>
  <c r="Z13" i="53" s="1"/>
  <c r="P13" i="53"/>
  <c r="H13" i="53"/>
  <c r="N13" i="53" s="1"/>
  <c r="D13" i="53"/>
  <c r="B13" i="53"/>
  <c r="T12" i="53"/>
  <c r="P12" i="53"/>
  <c r="R34" i="53" s="1"/>
  <c r="H12" i="53"/>
  <c r="D12" i="53"/>
  <c r="D5" i="53"/>
  <c r="D4" i="53"/>
  <c r="B39" i="52"/>
  <c r="B38" i="52"/>
  <c r="T34" i="52"/>
  <c r="P34" i="52"/>
  <c r="H34" i="52"/>
  <c r="N34" i="52" s="1"/>
  <c r="D34" i="52"/>
  <c r="T33" i="52"/>
  <c r="Z33" i="52" s="1"/>
  <c r="P33" i="52"/>
  <c r="H33" i="52"/>
  <c r="N33" i="52" s="1"/>
  <c r="D33" i="52"/>
  <c r="T29" i="52"/>
  <c r="Z29" i="52" s="1"/>
  <c r="P29" i="52"/>
  <c r="H29" i="52"/>
  <c r="N29" i="52" s="1"/>
  <c r="D29" i="52"/>
  <c r="T25" i="52"/>
  <c r="Z25" i="52" s="1"/>
  <c r="P25" i="52"/>
  <c r="H25" i="52"/>
  <c r="N25" i="52" s="1"/>
  <c r="D25" i="52"/>
  <c r="B25" i="52"/>
  <c r="T24" i="52"/>
  <c r="Z24" i="52" s="1"/>
  <c r="P24" i="52"/>
  <c r="H24" i="52"/>
  <c r="D24" i="52"/>
  <c r="T22" i="52"/>
  <c r="Z22" i="52" s="1"/>
  <c r="P22" i="52"/>
  <c r="H22" i="52"/>
  <c r="N22" i="52" s="1"/>
  <c r="D22" i="52"/>
  <c r="B22" i="52"/>
  <c r="T21" i="52"/>
  <c r="Z21" i="52" s="1"/>
  <c r="P21" i="52"/>
  <c r="H21" i="52"/>
  <c r="D21" i="52"/>
  <c r="B21" i="52"/>
  <c r="T20" i="52"/>
  <c r="Z20" i="52" s="1"/>
  <c r="P20" i="52"/>
  <c r="H20" i="52"/>
  <c r="N20" i="52" s="1"/>
  <c r="D20" i="52"/>
  <c r="T16" i="52"/>
  <c r="Z16" i="52" s="1"/>
  <c r="P16" i="52"/>
  <c r="H16" i="52"/>
  <c r="N16" i="52" s="1"/>
  <c r="D16" i="52"/>
  <c r="B16" i="52"/>
  <c r="T15" i="52"/>
  <c r="Z15" i="52" s="1"/>
  <c r="P15" i="52"/>
  <c r="H15" i="52"/>
  <c r="N15" i="52" s="1"/>
  <c r="D15" i="52"/>
  <c r="T13" i="52"/>
  <c r="Z13" i="52" s="1"/>
  <c r="P13" i="52"/>
  <c r="H13" i="52"/>
  <c r="N13" i="52" s="1"/>
  <c r="D13" i="52"/>
  <c r="B13" i="52"/>
  <c r="T12" i="52"/>
  <c r="V24" i="52" s="1"/>
  <c r="P12" i="52"/>
  <c r="R18" i="52" s="1"/>
  <c r="H12" i="52"/>
  <c r="J36" i="52" s="1"/>
  <c r="D12" i="52"/>
  <c r="F21" i="52" s="1"/>
  <c r="D5" i="52"/>
  <c r="D4" i="52"/>
  <c r="Z81" i="51"/>
  <c r="X81" i="51"/>
  <c r="L81" i="51"/>
  <c r="N81" i="51" s="1"/>
  <c r="P77" i="51"/>
  <c r="X77" i="51" s="1"/>
  <c r="Z77" i="51" s="1"/>
  <c r="D77" i="51"/>
  <c r="L77" i="51" s="1"/>
  <c r="N77" i="51" s="1"/>
  <c r="B77" i="51"/>
  <c r="Z76" i="51"/>
  <c r="X76" i="51"/>
  <c r="P76" i="51"/>
  <c r="N76" i="51"/>
  <c r="D76" i="51"/>
  <c r="L76" i="51" s="1"/>
  <c r="B76" i="51"/>
  <c r="Z75" i="51"/>
  <c r="P75" i="51"/>
  <c r="N75" i="51"/>
  <c r="L75" i="51"/>
  <c r="D75" i="51"/>
  <c r="B75" i="51"/>
  <c r="T74" i="51"/>
  <c r="H74" i="51"/>
  <c r="D74" i="51"/>
  <c r="L74" i="51" s="1"/>
  <c r="X72" i="51"/>
  <c r="Z72" i="51" s="1"/>
  <c r="N72" i="51"/>
  <c r="L72" i="51"/>
  <c r="B72" i="51"/>
  <c r="T71" i="51"/>
  <c r="P71" i="51"/>
  <c r="X71" i="51" s="1"/>
  <c r="N71" i="51"/>
  <c r="H71" i="51"/>
  <c r="D71" i="51"/>
  <c r="L71" i="51" s="1"/>
  <c r="B71" i="51"/>
  <c r="X70" i="51"/>
  <c r="Z70" i="51" s="1"/>
  <c r="L70" i="51"/>
  <c r="N70" i="51" s="1"/>
  <c r="B70" i="51"/>
  <c r="Z69" i="51"/>
  <c r="X69" i="51"/>
  <c r="L69" i="51"/>
  <c r="N69" i="51" s="1"/>
  <c r="B69" i="51"/>
  <c r="T68" i="51"/>
  <c r="P68" i="51"/>
  <c r="X68" i="51" s="1"/>
  <c r="L68" i="51"/>
  <c r="N68" i="51" s="1"/>
  <c r="H68" i="51"/>
  <c r="D68" i="51"/>
  <c r="B68" i="51"/>
  <c r="X67" i="51"/>
  <c r="Z67" i="51" s="1"/>
  <c r="V67" i="51"/>
  <c r="N67" i="51"/>
  <c r="L67" i="51"/>
  <c r="B67" i="51"/>
  <c r="X66" i="51"/>
  <c r="Z66" i="51" s="1"/>
  <c r="T66" i="51"/>
  <c r="P66" i="51"/>
  <c r="H66" i="51"/>
  <c r="D66" i="51"/>
  <c r="B66" i="51"/>
  <c r="X65" i="51"/>
  <c r="Z65" i="51" s="1"/>
  <c r="N65" i="51"/>
  <c r="L65" i="51"/>
  <c r="B65" i="51"/>
  <c r="T64" i="51"/>
  <c r="P64" i="51"/>
  <c r="H64" i="51"/>
  <c r="N64" i="51" s="1"/>
  <c r="D64" i="51"/>
  <c r="L64" i="51" s="1"/>
  <c r="B64" i="51"/>
  <c r="Z63" i="51"/>
  <c r="X63" i="51"/>
  <c r="L63" i="51"/>
  <c r="N63" i="51" s="1"/>
  <c r="J63" i="51"/>
  <c r="B63" i="51"/>
  <c r="T62" i="51"/>
  <c r="Z62" i="51" s="1"/>
  <c r="P62" i="51"/>
  <c r="X62" i="51" s="1"/>
  <c r="H62" i="51"/>
  <c r="D62" i="51"/>
  <c r="L62" i="51" s="1"/>
  <c r="B62" i="51"/>
  <c r="Z61" i="51"/>
  <c r="X61" i="51"/>
  <c r="L61" i="51"/>
  <c r="N61" i="51" s="1"/>
  <c r="B61" i="51"/>
  <c r="T60" i="51"/>
  <c r="P60" i="51"/>
  <c r="X60" i="51" s="1"/>
  <c r="L60" i="51"/>
  <c r="N60" i="51" s="1"/>
  <c r="H60" i="51"/>
  <c r="D60" i="51"/>
  <c r="B60" i="51"/>
  <c r="Z59" i="51"/>
  <c r="X59" i="51"/>
  <c r="V59" i="51"/>
  <c r="N59" i="51"/>
  <c r="L59" i="51"/>
  <c r="B59" i="51"/>
  <c r="Z58" i="51"/>
  <c r="X58" i="51"/>
  <c r="T58" i="51"/>
  <c r="P58" i="51"/>
  <c r="H58" i="51"/>
  <c r="D58" i="51"/>
  <c r="B58" i="51"/>
  <c r="X57" i="51"/>
  <c r="Z57" i="51" s="1"/>
  <c r="N57" i="51"/>
  <c r="L57" i="51"/>
  <c r="B57" i="51"/>
  <c r="T56" i="51"/>
  <c r="P56" i="51"/>
  <c r="H56" i="51"/>
  <c r="D56" i="51"/>
  <c r="L56" i="51" s="1"/>
  <c r="B56" i="51"/>
  <c r="Z55" i="51"/>
  <c r="X55" i="51"/>
  <c r="N55" i="51"/>
  <c r="L55" i="51"/>
  <c r="J55" i="51"/>
  <c r="B55" i="51"/>
  <c r="Z54" i="51"/>
  <c r="X54" i="51"/>
  <c r="N54" i="51"/>
  <c r="L54" i="51"/>
  <c r="B54" i="51"/>
  <c r="X53" i="51"/>
  <c r="Z53" i="51" s="1"/>
  <c r="N53" i="51"/>
  <c r="L53" i="51"/>
  <c r="B53" i="51"/>
  <c r="Z52" i="51"/>
  <c r="X52" i="51"/>
  <c r="N52" i="51"/>
  <c r="L52" i="51"/>
  <c r="B52" i="51"/>
  <c r="Z51" i="51"/>
  <c r="X51" i="51"/>
  <c r="V51" i="51"/>
  <c r="N51" i="51"/>
  <c r="L51" i="51"/>
  <c r="B51" i="51"/>
  <c r="Z50" i="51"/>
  <c r="X50" i="51"/>
  <c r="N50" i="51"/>
  <c r="L50" i="51"/>
  <c r="B50" i="51"/>
  <c r="Z49" i="51"/>
  <c r="X49" i="51"/>
  <c r="L49" i="51"/>
  <c r="N49" i="51" s="1"/>
  <c r="B49" i="51"/>
  <c r="Z48" i="51"/>
  <c r="X48" i="51"/>
  <c r="N48" i="51"/>
  <c r="L48" i="51"/>
  <c r="B48" i="51"/>
  <c r="Z47" i="51"/>
  <c r="X47" i="51"/>
  <c r="L47" i="51"/>
  <c r="N47" i="51" s="1"/>
  <c r="J47" i="51"/>
  <c r="B47" i="51"/>
  <c r="Z46" i="51"/>
  <c r="X46" i="51"/>
  <c r="N46" i="51"/>
  <c r="L46" i="51"/>
  <c r="B46" i="51"/>
  <c r="X45" i="51"/>
  <c r="T45" i="51"/>
  <c r="Z45" i="51" s="1"/>
  <c r="P45" i="51"/>
  <c r="H45" i="51"/>
  <c r="D45" i="51"/>
  <c r="L45" i="51" s="1"/>
  <c r="B45" i="51"/>
  <c r="X44" i="51"/>
  <c r="Z44" i="51" s="1"/>
  <c r="N44" i="51"/>
  <c r="L44" i="51"/>
  <c r="B44" i="51"/>
  <c r="Z43" i="51"/>
  <c r="X43" i="51"/>
  <c r="L43" i="51"/>
  <c r="N43" i="51" s="1"/>
  <c r="J43" i="51"/>
  <c r="B43" i="51"/>
  <c r="X42" i="51"/>
  <c r="Z42" i="51" s="1"/>
  <c r="L42" i="51"/>
  <c r="N42" i="51" s="1"/>
  <c r="B42" i="51"/>
  <c r="Z41" i="51"/>
  <c r="X41" i="51"/>
  <c r="N41" i="51"/>
  <c r="L41" i="51"/>
  <c r="B41" i="51"/>
  <c r="Z40" i="51"/>
  <c r="X40" i="51"/>
  <c r="N40" i="51"/>
  <c r="L40" i="51"/>
  <c r="B40" i="51"/>
  <c r="X39" i="51"/>
  <c r="Z39" i="51" s="1"/>
  <c r="V39" i="51"/>
  <c r="N39" i="51"/>
  <c r="L39" i="51"/>
  <c r="B39" i="51"/>
  <c r="X38" i="51"/>
  <c r="Z38" i="51" s="1"/>
  <c r="L38" i="51"/>
  <c r="N38" i="51" s="1"/>
  <c r="B38" i="51"/>
  <c r="Z37" i="51"/>
  <c r="X37" i="51"/>
  <c r="L37" i="51"/>
  <c r="N37" i="51" s="1"/>
  <c r="B37" i="51"/>
  <c r="X36" i="51"/>
  <c r="Z36" i="51" s="1"/>
  <c r="N36" i="51"/>
  <c r="L36" i="51"/>
  <c r="B36" i="51"/>
  <c r="Z35" i="51"/>
  <c r="X35" i="51"/>
  <c r="L35" i="51"/>
  <c r="N35" i="51" s="1"/>
  <c r="J35" i="51"/>
  <c r="B35" i="51"/>
  <c r="V34" i="51"/>
  <c r="T34" i="51"/>
  <c r="P34" i="51"/>
  <c r="X34" i="51" s="1"/>
  <c r="H34" i="51"/>
  <c r="D34" i="51"/>
  <c r="L34" i="51" s="1"/>
  <c r="B34" i="51"/>
  <c r="T33" i="51"/>
  <c r="P33" i="51"/>
  <c r="X33" i="51" s="1"/>
  <c r="Z33" i="51" s="1"/>
  <c r="L33" i="51"/>
  <c r="N33" i="51" s="1"/>
  <c r="J33" i="51"/>
  <c r="H33" i="51"/>
  <c r="D33" i="51"/>
  <c r="H31" i="51"/>
  <c r="H79" i="51" s="1"/>
  <c r="Z29" i="51"/>
  <c r="X29" i="51"/>
  <c r="N29" i="51"/>
  <c r="L29" i="51"/>
  <c r="B29" i="51"/>
  <c r="Z28" i="51"/>
  <c r="X28" i="51"/>
  <c r="N28" i="51"/>
  <c r="L28" i="51"/>
  <c r="F28" i="51"/>
  <c r="B28" i="51"/>
  <c r="Z27" i="51"/>
  <c r="X27" i="51"/>
  <c r="N27" i="51"/>
  <c r="L27" i="51"/>
  <c r="J27" i="51"/>
  <c r="B27" i="51"/>
  <c r="Z26" i="51"/>
  <c r="X26" i="51"/>
  <c r="V26" i="51"/>
  <c r="N26" i="51"/>
  <c r="L26" i="51"/>
  <c r="B26" i="51"/>
  <c r="Z25" i="51"/>
  <c r="X25" i="51"/>
  <c r="N25" i="51"/>
  <c r="L25" i="51"/>
  <c r="B25" i="51"/>
  <c r="Z24" i="51"/>
  <c r="X24" i="51"/>
  <c r="N24" i="51"/>
  <c r="L24" i="51"/>
  <c r="B24" i="51"/>
  <c r="Z23" i="51"/>
  <c r="X23" i="51"/>
  <c r="V23" i="51"/>
  <c r="N23" i="51"/>
  <c r="L23" i="51"/>
  <c r="B23" i="51"/>
  <c r="Z22" i="51"/>
  <c r="X22" i="51"/>
  <c r="N22" i="51"/>
  <c r="L22" i="51"/>
  <c r="J22" i="51"/>
  <c r="B22" i="51"/>
  <c r="Z21" i="51"/>
  <c r="X21" i="51"/>
  <c r="N21" i="51"/>
  <c r="L21" i="51"/>
  <c r="B21" i="51"/>
  <c r="Z20" i="51"/>
  <c r="X20" i="51"/>
  <c r="N20" i="51"/>
  <c r="L20" i="51"/>
  <c r="B20" i="51"/>
  <c r="T19" i="51"/>
  <c r="Z19" i="51" s="1"/>
  <c r="P19" i="51"/>
  <c r="X19" i="51" s="1"/>
  <c r="N19" i="51"/>
  <c r="H19" i="51"/>
  <c r="D19" i="51"/>
  <c r="L19" i="51" s="1"/>
  <c r="Z17" i="51"/>
  <c r="P17" i="51"/>
  <c r="X17" i="51" s="1"/>
  <c r="N17" i="51"/>
  <c r="D17" i="51"/>
  <c r="L17" i="51" s="1"/>
  <c r="B17" i="51"/>
  <c r="Z16" i="51"/>
  <c r="P16" i="51"/>
  <c r="X16" i="51" s="1"/>
  <c r="N16" i="51"/>
  <c r="L16" i="51"/>
  <c r="D16" i="51"/>
  <c r="B16" i="51"/>
  <c r="Z15" i="51"/>
  <c r="X15" i="51"/>
  <c r="P15" i="51"/>
  <c r="N15" i="51"/>
  <c r="L15" i="51"/>
  <c r="D15" i="51"/>
  <c r="B15" i="51"/>
  <c r="P14" i="51"/>
  <c r="X14" i="51" s="1"/>
  <c r="Z14" i="51" s="1"/>
  <c r="D14" i="51"/>
  <c r="L14" i="51" s="1"/>
  <c r="N14" i="51" s="1"/>
  <c r="B14" i="51"/>
  <c r="X13" i="51"/>
  <c r="Z13" i="51" s="1"/>
  <c r="P13" i="51"/>
  <c r="D13" i="51"/>
  <c r="L13" i="51" s="1"/>
  <c r="N13" i="51" s="1"/>
  <c r="B13" i="51"/>
  <c r="T12" i="51"/>
  <c r="V76" i="51" s="1"/>
  <c r="H12" i="51"/>
  <c r="J75" i="51" s="1"/>
  <c r="D12" i="51"/>
  <c r="D4" i="51"/>
  <c r="B39" i="50"/>
  <c r="B38" i="50"/>
  <c r="T34" i="50"/>
  <c r="Z34" i="50" s="1"/>
  <c r="P34" i="50"/>
  <c r="H34" i="50"/>
  <c r="N34" i="50" s="1"/>
  <c r="D34" i="50"/>
  <c r="T33" i="50"/>
  <c r="Z33" i="50" s="1"/>
  <c r="P33" i="50"/>
  <c r="H33" i="50"/>
  <c r="N33" i="50" s="1"/>
  <c r="D33" i="50"/>
  <c r="T29" i="50"/>
  <c r="Z29" i="50" s="1"/>
  <c r="P29" i="50"/>
  <c r="H29" i="50"/>
  <c r="N29" i="50" s="1"/>
  <c r="D29" i="50"/>
  <c r="T25" i="50"/>
  <c r="Z25" i="50" s="1"/>
  <c r="P25" i="50"/>
  <c r="H25" i="50"/>
  <c r="N25" i="50" s="1"/>
  <c r="D25" i="50"/>
  <c r="B25" i="50"/>
  <c r="T24" i="50"/>
  <c r="Z24" i="50" s="1"/>
  <c r="P24" i="50"/>
  <c r="H24" i="50"/>
  <c r="N24" i="50" s="1"/>
  <c r="D24" i="50"/>
  <c r="T22" i="50"/>
  <c r="P22" i="50"/>
  <c r="H22" i="50"/>
  <c r="N22" i="50" s="1"/>
  <c r="D22" i="50"/>
  <c r="B22" i="50"/>
  <c r="T21" i="50"/>
  <c r="Z21" i="50" s="1"/>
  <c r="P21" i="50"/>
  <c r="H21" i="50"/>
  <c r="N21" i="50" s="1"/>
  <c r="D21" i="50"/>
  <c r="B21" i="50"/>
  <c r="T20" i="50"/>
  <c r="Z20" i="50" s="1"/>
  <c r="P20" i="50"/>
  <c r="H20" i="50"/>
  <c r="D20" i="50"/>
  <c r="T16" i="50"/>
  <c r="Z16" i="50" s="1"/>
  <c r="P16" i="50"/>
  <c r="H16" i="50"/>
  <c r="D16" i="50"/>
  <c r="B16" i="50"/>
  <c r="T15" i="50"/>
  <c r="Z15" i="50" s="1"/>
  <c r="P15" i="50"/>
  <c r="H15" i="50"/>
  <c r="N15" i="50" s="1"/>
  <c r="D15" i="50"/>
  <c r="T13" i="50"/>
  <c r="Z13" i="50" s="1"/>
  <c r="P13" i="50"/>
  <c r="H13" i="50"/>
  <c r="N13" i="50" s="1"/>
  <c r="D13" i="50"/>
  <c r="B13" i="50"/>
  <c r="T12" i="50"/>
  <c r="V20" i="50" s="1"/>
  <c r="P12" i="50"/>
  <c r="H12" i="50"/>
  <c r="J24" i="50" s="1"/>
  <c r="D12" i="50"/>
  <c r="D5" i="50"/>
  <c r="D4" i="50"/>
  <c r="B39" i="49"/>
  <c r="B38" i="49"/>
  <c r="T34" i="49"/>
  <c r="Z34" i="49" s="1"/>
  <c r="P34" i="49"/>
  <c r="H34" i="49"/>
  <c r="N34" i="49" s="1"/>
  <c r="D34" i="49"/>
  <c r="T33" i="49"/>
  <c r="Z33" i="49" s="1"/>
  <c r="P33" i="49"/>
  <c r="H33" i="49"/>
  <c r="N33" i="49" s="1"/>
  <c r="D33" i="49"/>
  <c r="T29" i="49"/>
  <c r="P29" i="49"/>
  <c r="H29" i="49"/>
  <c r="N29" i="49" s="1"/>
  <c r="D29" i="49"/>
  <c r="T25" i="49"/>
  <c r="P25" i="49"/>
  <c r="H25" i="49"/>
  <c r="N25" i="49" s="1"/>
  <c r="D25" i="49"/>
  <c r="B25" i="49"/>
  <c r="T24" i="49"/>
  <c r="Z24" i="49" s="1"/>
  <c r="P24" i="49"/>
  <c r="H24" i="49"/>
  <c r="N24" i="49" s="1"/>
  <c r="D24" i="49"/>
  <c r="T22" i="49"/>
  <c r="Z22" i="49" s="1"/>
  <c r="P22" i="49"/>
  <c r="H22" i="49"/>
  <c r="N22" i="49" s="1"/>
  <c r="D22" i="49"/>
  <c r="B22" i="49"/>
  <c r="T21" i="49"/>
  <c r="Z21" i="49" s="1"/>
  <c r="P21" i="49"/>
  <c r="H21" i="49"/>
  <c r="N21" i="49" s="1"/>
  <c r="D21" i="49"/>
  <c r="B21" i="49"/>
  <c r="T20" i="49"/>
  <c r="Z20" i="49" s="1"/>
  <c r="P20" i="49"/>
  <c r="H20" i="49"/>
  <c r="N20" i="49" s="1"/>
  <c r="D20" i="49"/>
  <c r="T16" i="49"/>
  <c r="Z16" i="49" s="1"/>
  <c r="P16" i="49"/>
  <c r="H16" i="49"/>
  <c r="N16" i="49" s="1"/>
  <c r="D16" i="49"/>
  <c r="B16" i="49"/>
  <c r="T15" i="49"/>
  <c r="P15" i="49"/>
  <c r="H15" i="49"/>
  <c r="N15" i="49" s="1"/>
  <c r="D15" i="49"/>
  <c r="T13" i="49"/>
  <c r="Z13" i="49" s="1"/>
  <c r="P13" i="49"/>
  <c r="H13" i="49"/>
  <c r="N13" i="49" s="1"/>
  <c r="D13" i="49"/>
  <c r="B13" i="49"/>
  <c r="T12" i="49"/>
  <c r="P12" i="49"/>
  <c r="R18" i="49" s="1"/>
  <c r="H12" i="49"/>
  <c r="D12" i="49"/>
  <c r="F20" i="49" s="1"/>
  <c r="D5" i="49"/>
  <c r="D4" i="49"/>
  <c r="X77" i="48"/>
  <c r="Z77" i="48" s="1"/>
  <c r="N77" i="48"/>
  <c r="L77" i="48"/>
  <c r="Z73" i="48"/>
  <c r="X73" i="48"/>
  <c r="P73" i="48"/>
  <c r="N73" i="48"/>
  <c r="F73" i="48"/>
  <c r="D73" i="48"/>
  <c r="L73" i="48" s="1"/>
  <c r="B73" i="48"/>
  <c r="T72" i="48"/>
  <c r="P72" i="48"/>
  <c r="X72" i="48" s="1"/>
  <c r="Z72" i="48" s="1"/>
  <c r="H72" i="48"/>
  <c r="Z70" i="48"/>
  <c r="X70" i="48"/>
  <c r="N70" i="48"/>
  <c r="L70" i="48"/>
  <c r="B70" i="48"/>
  <c r="Z69" i="48"/>
  <c r="T69" i="48"/>
  <c r="P69" i="48"/>
  <c r="X69" i="48" s="1"/>
  <c r="H69" i="48"/>
  <c r="N69" i="48" s="1"/>
  <c r="D69" i="48"/>
  <c r="L69" i="48" s="1"/>
  <c r="B69" i="48"/>
  <c r="Z68" i="48"/>
  <c r="X68" i="48"/>
  <c r="N68" i="48"/>
  <c r="L68" i="48"/>
  <c r="B68" i="48"/>
  <c r="T67" i="48"/>
  <c r="P67" i="48"/>
  <c r="X67" i="48" s="1"/>
  <c r="L67" i="48"/>
  <c r="H67" i="48"/>
  <c r="N67" i="48" s="1"/>
  <c r="F67" i="48"/>
  <c r="D67" i="48"/>
  <c r="B67" i="48"/>
  <c r="Z66" i="48"/>
  <c r="X66" i="48"/>
  <c r="N66" i="48"/>
  <c r="L66" i="48"/>
  <c r="B66" i="48"/>
  <c r="Z65" i="48"/>
  <c r="X65" i="48"/>
  <c r="N65" i="48"/>
  <c r="L65" i="48"/>
  <c r="B65" i="48"/>
  <c r="Z64" i="48"/>
  <c r="X64" i="48"/>
  <c r="R64" i="48"/>
  <c r="N64" i="48"/>
  <c r="L64" i="48"/>
  <c r="B64" i="48"/>
  <c r="T63" i="48"/>
  <c r="Z63" i="48" s="1"/>
  <c r="P63" i="48"/>
  <c r="X63" i="48" s="1"/>
  <c r="L63" i="48"/>
  <c r="H63" i="48"/>
  <c r="N63" i="48" s="1"/>
  <c r="D63" i="48"/>
  <c r="B63" i="48"/>
  <c r="Z62" i="48"/>
  <c r="X62" i="48"/>
  <c r="L62" i="48"/>
  <c r="N62" i="48" s="1"/>
  <c r="B62" i="48"/>
  <c r="X61" i="48"/>
  <c r="T61" i="48"/>
  <c r="Z61" i="48" s="1"/>
  <c r="P61" i="48"/>
  <c r="L61" i="48"/>
  <c r="H61" i="48"/>
  <c r="D61" i="48"/>
  <c r="B61" i="48"/>
  <c r="Z60" i="48"/>
  <c r="X60" i="48"/>
  <c r="N60" i="48"/>
  <c r="L60" i="48"/>
  <c r="B60" i="48"/>
  <c r="X59" i="48"/>
  <c r="Z59" i="48" s="1"/>
  <c r="L59" i="48"/>
  <c r="N59" i="48" s="1"/>
  <c r="B59" i="48"/>
  <c r="Z58" i="48"/>
  <c r="X58" i="48"/>
  <c r="N58" i="48"/>
  <c r="L58" i="48"/>
  <c r="B58" i="48"/>
  <c r="T57" i="48"/>
  <c r="P57" i="48"/>
  <c r="X57" i="48" s="1"/>
  <c r="H57" i="48"/>
  <c r="D57" i="48"/>
  <c r="L57" i="48" s="1"/>
  <c r="B57" i="48"/>
  <c r="Z56" i="48"/>
  <c r="X56" i="48"/>
  <c r="N56" i="48"/>
  <c r="L56" i="48"/>
  <c r="B56" i="48"/>
  <c r="X55" i="48"/>
  <c r="T55" i="48"/>
  <c r="P55" i="48"/>
  <c r="H55" i="48"/>
  <c r="D55" i="48"/>
  <c r="L55" i="48" s="1"/>
  <c r="N55" i="48" s="1"/>
  <c r="B55" i="48"/>
  <c r="Z54" i="48"/>
  <c r="X54" i="48"/>
  <c r="N54" i="48"/>
  <c r="L54" i="48"/>
  <c r="B54" i="48"/>
  <c r="X53" i="48"/>
  <c r="T53" i="48"/>
  <c r="Z53" i="48" s="1"/>
  <c r="P53" i="48"/>
  <c r="L53" i="48"/>
  <c r="H53" i="48"/>
  <c r="D53" i="48"/>
  <c r="B53" i="48"/>
  <c r="Z52" i="48"/>
  <c r="X52" i="48"/>
  <c r="N52" i="48"/>
  <c r="L52" i="48"/>
  <c r="B52" i="48"/>
  <c r="X51" i="48"/>
  <c r="Z51" i="48" s="1"/>
  <c r="T51" i="48"/>
  <c r="P51" i="48"/>
  <c r="H51" i="48"/>
  <c r="D51" i="48"/>
  <c r="B51" i="48"/>
  <c r="X50" i="48"/>
  <c r="Z50" i="48" s="1"/>
  <c r="N50" i="48"/>
  <c r="L50" i="48"/>
  <c r="B50" i="48"/>
  <c r="Z49" i="48"/>
  <c r="X49" i="48"/>
  <c r="R49" i="48"/>
  <c r="N49" i="48"/>
  <c r="L49" i="48"/>
  <c r="B49" i="48"/>
  <c r="Z48" i="48"/>
  <c r="X48" i="48"/>
  <c r="T48" i="48"/>
  <c r="P48" i="48"/>
  <c r="L48" i="48"/>
  <c r="H48" i="48"/>
  <c r="N48" i="48" s="1"/>
  <c r="F48" i="48"/>
  <c r="D48" i="48"/>
  <c r="B48" i="48"/>
  <c r="X47" i="48"/>
  <c r="Z47" i="48" s="1"/>
  <c r="L47" i="48"/>
  <c r="N47" i="48" s="1"/>
  <c r="B47" i="48"/>
  <c r="X46" i="48"/>
  <c r="T46" i="48"/>
  <c r="Z46" i="48" s="1"/>
  <c r="R46" i="48"/>
  <c r="P46" i="48"/>
  <c r="H46" i="48"/>
  <c r="N46" i="48" s="1"/>
  <c r="D46" i="48"/>
  <c r="L46" i="48" s="1"/>
  <c r="B46" i="48"/>
  <c r="X45" i="48"/>
  <c r="Z45" i="48" s="1"/>
  <c r="N45" i="48"/>
  <c r="L45" i="48"/>
  <c r="F45" i="48"/>
  <c r="B45" i="48"/>
  <c r="T44" i="48"/>
  <c r="R44" i="48"/>
  <c r="P44" i="48"/>
  <c r="X44" i="48" s="1"/>
  <c r="N44" i="48"/>
  <c r="H44" i="48"/>
  <c r="D44" i="48"/>
  <c r="L44" i="48" s="1"/>
  <c r="B44" i="48"/>
  <c r="X43" i="48"/>
  <c r="Z43" i="48" s="1"/>
  <c r="L43" i="48"/>
  <c r="N43" i="48" s="1"/>
  <c r="J43" i="48"/>
  <c r="B43" i="48"/>
  <c r="Z42" i="48"/>
  <c r="T42" i="48"/>
  <c r="P42" i="48"/>
  <c r="X42" i="48" s="1"/>
  <c r="L42" i="48"/>
  <c r="N42" i="48" s="1"/>
  <c r="J42" i="48"/>
  <c r="H42" i="48"/>
  <c r="D42" i="48"/>
  <c r="B42" i="48"/>
  <c r="Z41" i="48"/>
  <c r="X41" i="48"/>
  <c r="R41" i="48"/>
  <c r="N41" i="48"/>
  <c r="L41" i="48"/>
  <c r="B41" i="48"/>
  <c r="Z40" i="48"/>
  <c r="X40" i="48"/>
  <c r="N40" i="48"/>
  <c r="L40" i="48"/>
  <c r="B40" i="48"/>
  <c r="X39" i="48"/>
  <c r="Z39" i="48" s="1"/>
  <c r="L39" i="48"/>
  <c r="N39" i="48" s="1"/>
  <c r="J39" i="48"/>
  <c r="B39" i="48"/>
  <c r="Z38" i="48"/>
  <c r="X38" i="48"/>
  <c r="N38" i="48"/>
  <c r="L38" i="48"/>
  <c r="B38" i="48"/>
  <c r="Z37" i="48"/>
  <c r="X37" i="48"/>
  <c r="N37" i="48"/>
  <c r="L37" i="48"/>
  <c r="F37" i="48"/>
  <c r="B37" i="48"/>
  <c r="Z36" i="48"/>
  <c r="X36" i="48"/>
  <c r="R36" i="48"/>
  <c r="N36" i="48"/>
  <c r="L36" i="48"/>
  <c r="J36" i="48"/>
  <c r="B36" i="48"/>
  <c r="X35" i="48"/>
  <c r="Z35" i="48" s="1"/>
  <c r="R35" i="48"/>
  <c r="L35" i="48"/>
  <c r="N35" i="48" s="1"/>
  <c r="B35" i="48"/>
  <c r="Z34" i="48"/>
  <c r="X34" i="48"/>
  <c r="R34" i="48"/>
  <c r="N34" i="48"/>
  <c r="L34" i="48"/>
  <c r="B34" i="48"/>
  <c r="Z33" i="48"/>
  <c r="X33" i="48"/>
  <c r="R33" i="48"/>
  <c r="L33" i="48"/>
  <c r="N33" i="48" s="1"/>
  <c r="B33" i="48"/>
  <c r="X32" i="48"/>
  <c r="Z32" i="48" s="1"/>
  <c r="N32" i="48"/>
  <c r="L32" i="48"/>
  <c r="B32" i="48"/>
  <c r="X31" i="48"/>
  <c r="Z31" i="48" s="1"/>
  <c r="T31" i="48"/>
  <c r="P31" i="48"/>
  <c r="H31" i="48"/>
  <c r="D31" i="48"/>
  <c r="B31" i="48"/>
  <c r="Z30" i="48"/>
  <c r="X30" i="48"/>
  <c r="R30" i="48"/>
  <c r="N30" i="48"/>
  <c r="L30" i="48"/>
  <c r="B30" i="48"/>
  <c r="Z29" i="48"/>
  <c r="X29" i="48"/>
  <c r="R29" i="48"/>
  <c r="L29" i="48"/>
  <c r="N29" i="48" s="1"/>
  <c r="B29" i="48"/>
  <c r="Z28" i="48"/>
  <c r="X28" i="48"/>
  <c r="N28" i="48"/>
  <c r="L28" i="48"/>
  <c r="B28" i="48"/>
  <c r="Z27" i="48"/>
  <c r="X27" i="48"/>
  <c r="N27" i="48"/>
  <c r="L27" i="48"/>
  <c r="J27" i="48"/>
  <c r="B27" i="48"/>
  <c r="Z26" i="48"/>
  <c r="X26" i="48"/>
  <c r="N26" i="48"/>
  <c r="L26" i="48"/>
  <c r="J26" i="48"/>
  <c r="B26" i="48"/>
  <c r="X25" i="48"/>
  <c r="Z25" i="48" s="1"/>
  <c r="N25" i="48"/>
  <c r="L25" i="48"/>
  <c r="J25" i="48"/>
  <c r="F25" i="48"/>
  <c r="B25" i="48"/>
  <c r="Z24" i="48"/>
  <c r="X24" i="48"/>
  <c r="R24" i="48"/>
  <c r="L24" i="48"/>
  <c r="N24" i="48" s="1"/>
  <c r="J24" i="48"/>
  <c r="B24" i="48"/>
  <c r="X23" i="48"/>
  <c r="Z23" i="48" s="1"/>
  <c r="R23" i="48"/>
  <c r="L23" i="48"/>
  <c r="N23" i="48" s="1"/>
  <c r="B23" i="48"/>
  <c r="X22" i="48"/>
  <c r="Z22" i="48" s="1"/>
  <c r="R22" i="48"/>
  <c r="N22" i="48"/>
  <c r="L22" i="48"/>
  <c r="B22" i="48"/>
  <c r="Z21" i="48"/>
  <c r="X21" i="48"/>
  <c r="R21" i="48"/>
  <c r="L21" i="48"/>
  <c r="N21" i="48" s="1"/>
  <c r="B21" i="48"/>
  <c r="X20" i="48"/>
  <c r="Z20" i="48" s="1"/>
  <c r="T20" i="48"/>
  <c r="R20" i="48"/>
  <c r="P20" i="48"/>
  <c r="L20" i="48"/>
  <c r="H20" i="48"/>
  <c r="N20" i="48" s="1"/>
  <c r="F20" i="48"/>
  <c r="D20" i="48"/>
  <c r="B20" i="48"/>
  <c r="T19" i="48"/>
  <c r="P19" i="48"/>
  <c r="H19" i="48"/>
  <c r="D19" i="48"/>
  <c r="L19" i="48" s="1"/>
  <c r="H17" i="48"/>
  <c r="T15" i="48"/>
  <c r="Z15" i="48" s="1"/>
  <c r="P15" i="48"/>
  <c r="H15" i="48"/>
  <c r="N15" i="48" s="1"/>
  <c r="D15" i="48"/>
  <c r="L15" i="48" s="1"/>
  <c r="X13" i="48"/>
  <c r="Z13" i="48" s="1"/>
  <c r="P13" i="48"/>
  <c r="D13" i="48"/>
  <c r="L13" i="48" s="1"/>
  <c r="N13" i="48" s="1"/>
  <c r="B13" i="48"/>
  <c r="T12" i="48"/>
  <c r="P12" i="48"/>
  <c r="H12" i="48"/>
  <c r="J48" i="48" s="1"/>
  <c r="D12" i="48"/>
  <c r="F60" i="48" s="1"/>
  <c r="D4" i="48"/>
  <c r="B39" i="47"/>
  <c r="B38" i="47"/>
  <c r="T34" i="47"/>
  <c r="P34" i="47"/>
  <c r="H34" i="47"/>
  <c r="N34" i="47" s="1"/>
  <c r="D34" i="47"/>
  <c r="T33" i="47"/>
  <c r="Z33" i="47" s="1"/>
  <c r="P33" i="47"/>
  <c r="H33" i="47"/>
  <c r="N33" i="47" s="1"/>
  <c r="D33" i="47"/>
  <c r="T29" i="47"/>
  <c r="Z29" i="47" s="1"/>
  <c r="P29" i="47"/>
  <c r="H29" i="47"/>
  <c r="N29" i="47" s="1"/>
  <c r="D29" i="47"/>
  <c r="T25" i="47"/>
  <c r="Z25" i="47" s="1"/>
  <c r="P25" i="47"/>
  <c r="H25" i="47"/>
  <c r="N25" i="47" s="1"/>
  <c r="D25" i="47"/>
  <c r="B25" i="47"/>
  <c r="T24" i="47"/>
  <c r="Z24" i="47" s="1"/>
  <c r="P24" i="47"/>
  <c r="H24" i="47"/>
  <c r="N24" i="47" s="1"/>
  <c r="D24" i="47"/>
  <c r="T22" i="47"/>
  <c r="Z22" i="47" s="1"/>
  <c r="P22" i="47"/>
  <c r="H22" i="47"/>
  <c r="N22" i="47" s="1"/>
  <c r="D22" i="47"/>
  <c r="L22" i="47" s="1"/>
  <c r="B22" i="47"/>
  <c r="T21" i="47"/>
  <c r="Z21" i="47" s="1"/>
  <c r="P21" i="47"/>
  <c r="H21" i="47"/>
  <c r="D21" i="47"/>
  <c r="B21" i="47"/>
  <c r="T20" i="47"/>
  <c r="Z20" i="47" s="1"/>
  <c r="P20" i="47"/>
  <c r="X20" i="47" s="1"/>
  <c r="H20" i="47"/>
  <c r="N20" i="47" s="1"/>
  <c r="D20" i="47"/>
  <c r="T16" i="47"/>
  <c r="Z16" i="47" s="1"/>
  <c r="P16" i="47"/>
  <c r="H16" i="47"/>
  <c r="N16" i="47" s="1"/>
  <c r="D16" i="47"/>
  <c r="B16" i="47"/>
  <c r="T15" i="47"/>
  <c r="Z15" i="47" s="1"/>
  <c r="P15" i="47"/>
  <c r="H15" i="47"/>
  <c r="N15" i="47" s="1"/>
  <c r="D15" i="47"/>
  <c r="T13" i="47"/>
  <c r="Z13" i="47" s="1"/>
  <c r="P13" i="47"/>
  <c r="H13" i="47"/>
  <c r="N13" i="47" s="1"/>
  <c r="D13" i="47"/>
  <c r="B13" i="47"/>
  <c r="T12" i="47"/>
  <c r="V24" i="47" s="1"/>
  <c r="P12" i="47"/>
  <c r="R34" i="47" s="1"/>
  <c r="H12" i="47"/>
  <c r="J36" i="47" s="1"/>
  <c r="D12" i="47"/>
  <c r="F21" i="47" s="1"/>
  <c r="D5" i="47"/>
  <c r="D4" i="47"/>
  <c r="B39" i="46"/>
  <c r="B38" i="46"/>
  <c r="T34" i="46"/>
  <c r="Z34" i="46" s="1"/>
  <c r="P34" i="46"/>
  <c r="H34" i="46"/>
  <c r="N34" i="46" s="1"/>
  <c r="D34" i="46"/>
  <c r="T33" i="46"/>
  <c r="Z33" i="46" s="1"/>
  <c r="P33" i="46"/>
  <c r="H33" i="46"/>
  <c r="N33" i="46" s="1"/>
  <c r="D33" i="46"/>
  <c r="T29" i="46"/>
  <c r="Z29" i="46" s="1"/>
  <c r="P29" i="46"/>
  <c r="H29" i="46"/>
  <c r="N29" i="46" s="1"/>
  <c r="D29" i="46"/>
  <c r="T25" i="46"/>
  <c r="Z25" i="46" s="1"/>
  <c r="P25" i="46"/>
  <c r="H25" i="46"/>
  <c r="N25" i="46" s="1"/>
  <c r="D25" i="46"/>
  <c r="B25" i="46"/>
  <c r="T24" i="46"/>
  <c r="Z24" i="46" s="1"/>
  <c r="P24" i="46"/>
  <c r="H24" i="46"/>
  <c r="D24" i="46"/>
  <c r="T22" i="46"/>
  <c r="Z22" i="46" s="1"/>
  <c r="P22" i="46"/>
  <c r="H22" i="46"/>
  <c r="N22" i="46" s="1"/>
  <c r="D22" i="46"/>
  <c r="B22" i="46"/>
  <c r="T21" i="46"/>
  <c r="Z21" i="46" s="1"/>
  <c r="P21" i="46"/>
  <c r="H21" i="46"/>
  <c r="N21" i="46" s="1"/>
  <c r="D21" i="46"/>
  <c r="B21" i="46"/>
  <c r="T20" i="46"/>
  <c r="P20" i="46"/>
  <c r="H20" i="46"/>
  <c r="N20" i="46" s="1"/>
  <c r="D20" i="46"/>
  <c r="T16" i="46"/>
  <c r="P16" i="46"/>
  <c r="H16" i="46"/>
  <c r="N16" i="46" s="1"/>
  <c r="D16" i="46"/>
  <c r="B16" i="46"/>
  <c r="T15" i="46"/>
  <c r="Z15" i="46" s="1"/>
  <c r="P15" i="46"/>
  <c r="H15" i="46"/>
  <c r="N15" i="46" s="1"/>
  <c r="D15" i="46"/>
  <c r="T13" i="46"/>
  <c r="P13" i="46"/>
  <c r="H13" i="46"/>
  <c r="N13" i="46" s="1"/>
  <c r="D13" i="46"/>
  <c r="B13" i="46"/>
  <c r="T12" i="46"/>
  <c r="V24" i="46" s="1"/>
  <c r="P12" i="46"/>
  <c r="R18" i="46" s="1"/>
  <c r="H12" i="46"/>
  <c r="J18" i="46" s="1"/>
  <c r="D12" i="46"/>
  <c r="F22" i="46" s="1"/>
  <c r="D5" i="46"/>
  <c r="D4" i="46"/>
  <c r="X101" i="45"/>
  <c r="Z101" i="45" s="1"/>
  <c r="N101" i="45"/>
  <c r="L101" i="45"/>
  <c r="F101" i="45"/>
  <c r="T97" i="45"/>
  <c r="P97" i="45"/>
  <c r="H97" i="45"/>
  <c r="N97" i="45" s="1"/>
  <c r="D97" i="45"/>
  <c r="L97" i="45" s="1"/>
  <c r="Z95" i="45"/>
  <c r="X95" i="45"/>
  <c r="N95" i="45"/>
  <c r="L95" i="45"/>
  <c r="F95" i="45"/>
  <c r="B95" i="45"/>
  <c r="Z94" i="45"/>
  <c r="X94" i="45"/>
  <c r="N94" i="45"/>
  <c r="L94" i="45"/>
  <c r="J94" i="45"/>
  <c r="B94" i="45"/>
  <c r="T93" i="45"/>
  <c r="Z93" i="45" s="1"/>
  <c r="P93" i="45"/>
  <c r="X93" i="45" s="1"/>
  <c r="H93" i="45"/>
  <c r="N93" i="45" s="1"/>
  <c r="D93" i="45"/>
  <c r="L93" i="45" s="1"/>
  <c r="B93" i="45"/>
  <c r="Z92" i="45"/>
  <c r="X92" i="45"/>
  <c r="L92" i="45"/>
  <c r="N92" i="45" s="1"/>
  <c r="B92" i="45"/>
  <c r="T91" i="45"/>
  <c r="Z91" i="45" s="1"/>
  <c r="P91" i="45"/>
  <c r="X91" i="45" s="1"/>
  <c r="L91" i="45"/>
  <c r="N91" i="45" s="1"/>
  <c r="H91" i="45"/>
  <c r="D91" i="45"/>
  <c r="B91" i="45"/>
  <c r="Z90" i="45"/>
  <c r="X90" i="45"/>
  <c r="V90" i="45"/>
  <c r="N90" i="45"/>
  <c r="L90" i="45"/>
  <c r="B90" i="45"/>
  <c r="X89" i="45"/>
  <c r="Z89" i="45" s="1"/>
  <c r="L89" i="45"/>
  <c r="N89" i="45" s="1"/>
  <c r="B89" i="45"/>
  <c r="T88" i="45"/>
  <c r="P88" i="45"/>
  <c r="X88" i="45" s="1"/>
  <c r="Z88" i="45" s="1"/>
  <c r="N88" i="45"/>
  <c r="L88" i="45"/>
  <c r="J88" i="45"/>
  <c r="H88" i="45"/>
  <c r="D88" i="45"/>
  <c r="B88" i="45"/>
  <c r="Z87" i="45"/>
  <c r="X87" i="45"/>
  <c r="L87" i="45"/>
  <c r="N87" i="45" s="1"/>
  <c r="B87" i="45"/>
  <c r="Z86" i="45"/>
  <c r="X86" i="45"/>
  <c r="V86" i="45"/>
  <c r="N86" i="45"/>
  <c r="L86" i="45"/>
  <c r="B86" i="45"/>
  <c r="X85" i="45"/>
  <c r="Z85" i="45" s="1"/>
  <c r="L85" i="45"/>
  <c r="N85" i="45" s="1"/>
  <c r="J85" i="45"/>
  <c r="B85" i="45"/>
  <c r="Z84" i="45"/>
  <c r="X84" i="45"/>
  <c r="L84" i="45"/>
  <c r="N84" i="45" s="1"/>
  <c r="B84" i="45"/>
  <c r="X83" i="45"/>
  <c r="Z83" i="45" s="1"/>
  <c r="N83" i="45"/>
  <c r="L83" i="45"/>
  <c r="F83" i="45"/>
  <c r="B83" i="45"/>
  <c r="Z82" i="45"/>
  <c r="X82" i="45"/>
  <c r="N82" i="45"/>
  <c r="L82" i="45"/>
  <c r="J82" i="45"/>
  <c r="B82" i="45"/>
  <c r="X81" i="45"/>
  <c r="Z81" i="45" s="1"/>
  <c r="L81" i="45"/>
  <c r="N81" i="45" s="1"/>
  <c r="B81" i="45"/>
  <c r="X80" i="45"/>
  <c r="Z80" i="45" s="1"/>
  <c r="N80" i="45"/>
  <c r="L80" i="45"/>
  <c r="B80" i="45"/>
  <c r="T79" i="45"/>
  <c r="P79" i="45"/>
  <c r="J79" i="45"/>
  <c r="H79" i="45"/>
  <c r="N79" i="45" s="1"/>
  <c r="D79" i="45"/>
  <c r="L79" i="45" s="1"/>
  <c r="B79" i="45"/>
  <c r="Z78" i="45"/>
  <c r="X78" i="45"/>
  <c r="N78" i="45"/>
  <c r="L78" i="45"/>
  <c r="J78" i="45"/>
  <c r="B78" i="45"/>
  <c r="T77" i="45"/>
  <c r="Z77" i="45" s="1"/>
  <c r="P77" i="45"/>
  <c r="X77" i="45" s="1"/>
  <c r="H77" i="45"/>
  <c r="N77" i="45" s="1"/>
  <c r="D77" i="45"/>
  <c r="L77" i="45" s="1"/>
  <c r="B77" i="45"/>
  <c r="Z76" i="45"/>
  <c r="X76" i="45"/>
  <c r="L76" i="45"/>
  <c r="N76" i="45" s="1"/>
  <c r="B76" i="45"/>
  <c r="X75" i="45"/>
  <c r="Z75" i="45" s="1"/>
  <c r="N75" i="45"/>
  <c r="L75" i="45"/>
  <c r="F75" i="45"/>
  <c r="B75" i="45"/>
  <c r="Z74" i="45"/>
  <c r="X74" i="45"/>
  <c r="N74" i="45"/>
  <c r="L74" i="45"/>
  <c r="J74" i="45"/>
  <c r="B74" i="45"/>
  <c r="X73" i="45"/>
  <c r="Z73" i="45" s="1"/>
  <c r="L73" i="45"/>
  <c r="N73" i="45" s="1"/>
  <c r="B73" i="45"/>
  <c r="X72" i="45"/>
  <c r="T72" i="45"/>
  <c r="Z72" i="45" s="1"/>
  <c r="P72" i="45"/>
  <c r="H72" i="45"/>
  <c r="N72" i="45" s="1"/>
  <c r="D72" i="45"/>
  <c r="L72" i="45" s="1"/>
  <c r="B72" i="45"/>
  <c r="X71" i="45"/>
  <c r="Z71" i="45" s="1"/>
  <c r="N71" i="45"/>
  <c r="L71" i="45"/>
  <c r="F71" i="45"/>
  <c r="B71" i="45"/>
  <c r="Z70" i="45"/>
  <c r="X70" i="45"/>
  <c r="N70" i="45"/>
  <c r="L70" i="45"/>
  <c r="J70" i="45"/>
  <c r="B70" i="45"/>
  <c r="X69" i="45"/>
  <c r="Z69" i="45" s="1"/>
  <c r="L69" i="45"/>
  <c r="N69" i="45" s="1"/>
  <c r="B69" i="45"/>
  <c r="X68" i="45"/>
  <c r="T68" i="45"/>
  <c r="Z68" i="45" s="1"/>
  <c r="P68" i="45"/>
  <c r="H68" i="45"/>
  <c r="N68" i="45" s="1"/>
  <c r="D68" i="45"/>
  <c r="L68" i="45" s="1"/>
  <c r="B68" i="45"/>
  <c r="X67" i="45"/>
  <c r="Z67" i="45" s="1"/>
  <c r="N67" i="45"/>
  <c r="L67" i="45"/>
  <c r="F67" i="45"/>
  <c r="B67" i="45"/>
  <c r="T66" i="45"/>
  <c r="Z66" i="45" s="1"/>
  <c r="P66" i="45"/>
  <c r="X66" i="45" s="1"/>
  <c r="N66" i="45"/>
  <c r="H66" i="45"/>
  <c r="D66" i="45"/>
  <c r="L66" i="45" s="1"/>
  <c r="B66" i="45"/>
  <c r="X65" i="45"/>
  <c r="Z65" i="45" s="1"/>
  <c r="L65" i="45"/>
  <c r="N65" i="45" s="1"/>
  <c r="J65" i="45"/>
  <c r="B65" i="45"/>
  <c r="Z64" i="45"/>
  <c r="T64" i="45"/>
  <c r="P64" i="45"/>
  <c r="X64" i="45" s="1"/>
  <c r="N64" i="45"/>
  <c r="L64" i="45"/>
  <c r="J64" i="45"/>
  <c r="H64" i="45"/>
  <c r="D64" i="45"/>
  <c r="B64" i="45"/>
  <c r="Z63" i="45"/>
  <c r="X63" i="45"/>
  <c r="L63" i="45"/>
  <c r="N63" i="45" s="1"/>
  <c r="B63" i="45"/>
  <c r="Z62" i="45"/>
  <c r="X62" i="45"/>
  <c r="V62" i="45"/>
  <c r="T62" i="45"/>
  <c r="P62" i="45"/>
  <c r="L62" i="45"/>
  <c r="H62" i="45"/>
  <c r="N62" i="45" s="1"/>
  <c r="F62" i="45"/>
  <c r="D62" i="45"/>
  <c r="B62" i="45"/>
  <c r="X61" i="45"/>
  <c r="Z61" i="45" s="1"/>
  <c r="L61" i="45"/>
  <c r="N61" i="45" s="1"/>
  <c r="B61" i="45"/>
  <c r="X60" i="45"/>
  <c r="T60" i="45"/>
  <c r="Z60" i="45" s="1"/>
  <c r="R60" i="45"/>
  <c r="P60" i="45"/>
  <c r="H60" i="45"/>
  <c r="D60" i="45"/>
  <c r="L60" i="45" s="1"/>
  <c r="B60" i="45"/>
  <c r="X59" i="45"/>
  <c r="Z59" i="45" s="1"/>
  <c r="N59" i="45"/>
  <c r="L59" i="45"/>
  <c r="F59" i="45"/>
  <c r="B59" i="45"/>
  <c r="T58" i="45"/>
  <c r="P58" i="45"/>
  <c r="X58" i="45" s="1"/>
  <c r="N58" i="45"/>
  <c r="H58" i="45"/>
  <c r="D58" i="45"/>
  <c r="L58" i="45" s="1"/>
  <c r="B58" i="45"/>
  <c r="X57" i="45"/>
  <c r="Z57" i="45" s="1"/>
  <c r="L57" i="45"/>
  <c r="N57" i="45" s="1"/>
  <c r="J57" i="45"/>
  <c r="B57" i="45"/>
  <c r="Z56" i="45"/>
  <c r="T56" i="45"/>
  <c r="P56" i="45"/>
  <c r="X56" i="45" s="1"/>
  <c r="N56" i="45"/>
  <c r="L56" i="45"/>
  <c r="J56" i="45"/>
  <c r="H56" i="45"/>
  <c r="D56" i="45"/>
  <c r="B56" i="45"/>
  <c r="Z55" i="45"/>
  <c r="X55" i="45"/>
  <c r="N55" i="45"/>
  <c r="L55" i="45"/>
  <c r="B55" i="45"/>
  <c r="Z54" i="45"/>
  <c r="X54" i="45"/>
  <c r="T54" i="45"/>
  <c r="P54" i="45"/>
  <c r="L54" i="45"/>
  <c r="H54" i="45"/>
  <c r="N54" i="45" s="1"/>
  <c r="F54" i="45"/>
  <c r="D54" i="45"/>
  <c r="B54" i="45"/>
  <c r="X53" i="45"/>
  <c r="Z53" i="45" s="1"/>
  <c r="L53" i="45"/>
  <c r="N53" i="45" s="1"/>
  <c r="B53" i="45"/>
  <c r="X52" i="45"/>
  <c r="T52" i="45"/>
  <c r="Z52" i="45" s="1"/>
  <c r="P52" i="45"/>
  <c r="H52" i="45"/>
  <c r="N52" i="45" s="1"/>
  <c r="D52" i="45"/>
  <c r="L52" i="45" s="1"/>
  <c r="B52" i="45"/>
  <c r="Z51" i="45"/>
  <c r="X51" i="45"/>
  <c r="N51" i="45"/>
  <c r="L51" i="45"/>
  <c r="F51" i="45"/>
  <c r="B51" i="45"/>
  <c r="T50" i="45"/>
  <c r="P50" i="45"/>
  <c r="X50" i="45" s="1"/>
  <c r="H50" i="45"/>
  <c r="D50" i="45"/>
  <c r="L50" i="45" s="1"/>
  <c r="N50" i="45" s="1"/>
  <c r="B50" i="45"/>
  <c r="X49" i="45"/>
  <c r="Z49" i="45" s="1"/>
  <c r="N49" i="45"/>
  <c r="L49" i="45"/>
  <c r="J49" i="45"/>
  <c r="B49" i="45"/>
  <c r="Z48" i="45"/>
  <c r="T48" i="45"/>
  <c r="P48" i="45"/>
  <c r="X48" i="45" s="1"/>
  <c r="N48" i="45"/>
  <c r="L48" i="45"/>
  <c r="J48" i="45"/>
  <c r="H48" i="45"/>
  <c r="D48" i="45"/>
  <c r="B48" i="45"/>
  <c r="Z47" i="45"/>
  <c r="X47" i="45"/>
  <c r="R47" i="45"/>
  <c r="N47" i="45"/>
  <c r="L47" i="45"/>
  <c r="B47" i="45"/>
  <c r="Z46" i="45"/>
  <c r="X46" i="45"/>
  <c r="V46" i="45"/>
  <c r="N46" i="45"/>
  <c r="L46" i="45"/>
  <c r="B46" i="45"/>
  <c r="X45" i="45"/>
  <c r="Z45" i="45" s="1"/>
  <c r="N45" i="45"/>
  <c r="L45" i="45"/>
  <c r="J45" i="45"/>
  <c r="B45" i="45"/>
  <c r="Z44" i="45"/>
  <c r="X44" i="45"/>
  <c r="N44" i="45"/>
  <c r="L44" i="45"/>
  <c r="J44" i="45"/>
  <c r="B44" i="45"/>
  <c r="Z43" i="45"/>
  <c r="X43" i="45"/>
  <c r="N43" i="45"/>
  <c r="L43" i="45"/>
  <c r="J43" i="45"/>
  <c r="F43" i="45"/>
  <c r="B43" i="45"/>
  <c r="X42" i="45"/>
  <c r="Z42" i="45" s="1"/>
  <c r="N42" i="45"/>
  <c r="L42" i="45"/>
  <c r="J42" i="45"/>
  <c r="B42" i="45"/>
  <c r="Z41" i="45"/>
  <c r="X41" i="45"/>
  <c r="L41" i="45"/>
  <c r="N41" i="45" s="1"/>
  <c r="B41" i="45"/>
  <c r="Z40" i="45"/>
  <c r="X40" i="45"/>
  <c r="N40" i="45"/>
  <c r="L40" i="45"/>
  <c r="B40" i="45"/>
  <c r="Z39" i="45"/>
  <c r="X39" i="45"/>
  <c r="N39" i="45"/>
  <c r="L39" i="45"/>
  <c r="B39" i="45"/>
  <c r="Z38" i="45"/>
  <c r="X38" i="45"/>
  <c r="N38" i="45"/>
  <c r="L38" i="45"/>
  <c r="B38" i="45"/>
  <c r="X37" i="45"/>
  <c r="Z37" i="45" s="1"/>
  <c r="T37" i="45"/>
  <c r="P37" i="45"/>
  <c r="H37" i="45"/>
  <c r="D37" i="45"/>
  <c r="B37" i="45"/>
  <c r="X36" i="45"/>
  <c r="Z36" i="45" s="1"/>
  <c r="N36" i="45"/>
  <c r="L36" i="45"/>
  <c r="B36" i="45"/>
  <c r="Z35" i="45"/>
  <c r="X35" i="45"/>
  <c r="N35" i="45"/>
  <c r="L35" i="45"/>
  <c r="B35" i="45"/>
  <c r="Z34" i="45"/>
  <c r="X34" i="45"/>
  <c r="V34" i="45"/>
  <c r="L34" i="45"/>
  <c r="N34" i="45" s="1"/>
  <c r="B34" i="45"/>
  <c r="Z33" i="45"/>
  <c r="X33" i="45"/>
  <c r="N33" i="45"/>
  <c r="L33" i="45"/>
  <c r="J33" i="45"/>
  <c r="B33" i="45"/>
  <c r="Z32" i="45"/>
  <c r="X32" i="45"/>
  <c r="N32" i="45"/>
  <c r="L32" i="45"/>
  <c r="J32" i="45"/>
  <c r="B32" i="45"/>
  <c r="Z31" i="45"/>
  <c r="X31" i="45"/>
  <c r="N31" i="45"/>
  <c r="L31" i="45"/>
  <c r="J31" i="45"/>
  <c r="F31" i="45"/>
  <c r="B31" i="45"/>
  <c r="X30" i="45"/>
  <c r="Z30" i="45" s="1"/>
  <c r="N30" i="45"/>
  <c r="L30" i="45"/>
  <c r="J30" i="45"/>
  <c r="B30" i="45"/>
  <c r="Z29" i="45"/>
  <c r="X29" i="45"/>
  <c r="L29" i="45"/>
  <c r="N29" i="45" s="1"/>
  <c r="B29" i="45"/>
  <c r="X28" i="45"/>
  <c r="Z28" i="45" s="1"/>
  <c r="N28" i="45"/>
  <c r="L28" i="45"/>
  <c r="B28" i="45"/>
  <c r="Z27" i="45"/>
  <c r="X27" i="45"/>
  <c r="R27" i="45"/>
  <c r="N27" i="45"/>
  <c r="L27" i="45"/>
  <c r="B27" i="45"/>
  <c r="Z26" i="45"/>
  <c r="X26" i="45"/>
  <c r="T26" i="45"/>
  <c r="P26" i="45"/>
  <c r="L26" i="45"/>
  <c r="J26" i="45"/>
  <c r="H26" i="45"/>
  <c r="N26" i="45" s="1"/>
  <c r="F26" i="45"/>
  <c r="D26" i="45"/>
  <c r="B26" i="45"/>
  <c r="T25" i="45"/>
  <c r="P25" i="45"/>
  <c r="X25" i="45" s="1"/>
  <c r="H25" i="45"/>
  <c r="N25" i="45" s="1"/>
  <c r="D25" i="45"/>
  <c r="L25" i="45" s="1"/>
  <c r="H23" i="45"/>
  <c r="Z21" i="45"/>
  <c r="X21" i="45"/>
  <c r="N21" i="45"/>
  <c r="L21" i="45"/>
  <c r="B21" i="45"/>
  <c r="Z20" i="45"/>
  <c r="X20" i="45"/>
  <c r="N20" i="45"/>
  <c r="L20" i="45"/>
  <c r="B20" i="45"/>
  <c r="Z19" i="45"/>
  <c r="X19" i="45"/>
  <c r="R19" i="45"/>
  <c r="L19" i="45"/>
  <c r="N19" i="45" s="1"/>
  <c r="B19" i="45"/>
  <c r="Z18" i="45"/>
  <c r="X18" i="45"/>
  <c r="T18" i="45"/>
  <c r="P18" i="45"/>
  <c r="L18" i="45"/>
  <c r="J18" i="45"/>
  <c r="H18" i="45"/>
  <c r="N18" i="45" s="1"/>
  <c r="F18" i="45"/>
  <c r="D18" i="45"/>
  <c r="Z16" i="45"/>
  <c r="P16" i="45"/>
  <c r="P12" i="45" s="1"/>
  <c r="R87" i="45" s="1"/>
  <c r="N16" i="45"/>
  <c r="L16" i="45"/>
  <c r="D16" i="45"/>
  <c r="B16" i="45"/>
  <c r="Z15" i="45"/>
  <c r="X15" i="45"/>
  <c r="P15" i="45"/>
  <c r="N15" i="45"/>
  <c r="L15" i="45"/>
  <c r="D15" i="45"/>
  <c r="B15" i="45"/>
  <c r="Z14" i="45"/>
  <c r="P14" i="45"/>
  <c r="X14" i="45" s="1"/>
  <c r="D14" i="45"/>
  <c r="L14" i="45" s="1"/>
  <c r="N14" i="45" s="1"/>
  <c r="B14" i="45"/>
  <c r="Z13" i="45"/>
  <c r="X13" i="45"/>
  <c r="P13" i="45"/>
  <c r="N13" i="45"/>
  <c r="D13" i="45"/>
  <c r="L13" i="45" s="1"/>
  <c r="B13" i="45"/>
  <c r="T12" i="45"/>
  <c r="V26" i="45" s="1"/>
  <c r="H12" i="45"/>
  <c r="D12" i="45"/>
  <c r="F94" i="45" s="1"/>
  <c r="D4" i="45"/>
  <c r="B39" i="44"/>
  <c r="B38" i="44"/>
  <c r="T34" i="44"/>
  <c r="P34" i="44"/>
  <c r="H34" i="44"/>
  <c r="N34" i="44" s="1"/>
  <c r="D34" i="44"/>
  <c r="T33" i="44"/>
  <c r="Z33" i="44" s="1"/>
  <c r="P33" i="44"/>
  <c r="H33" i="44"/>
  <c r="N33" i="44" s="1"/>
  <c r="D33" i="44"/>
  <c r="T29" i="44"/>
  <c r="Z29" i="44" s="1"/>
  <c r="P29" i="44"/>
  <c r="H29" i="44"/>
  <c r="N29" i="44" s="1"/>
  <c r="D29" i="44"/>
  <c r="T25" i="44"/>
  <c r="Z25" i="44" s="1"/>
  <c r="P25" i="44"/>
  <c r="H25" i="44"/>
  <c r="N25" i="44" s="1"/>
  <c r="D25" i="44"/>
  <c r="B25" i="44"/>
  <c r="T24" i="44"/>
  <c r="Z24" i="44" s="1"/>
  <c r="P24" i="44"/>
  <c r="H24" i="44"/>
  <c r="N24" i="44" s="1"/>
  <c r="D24" i="44"/>
  <c r="T22" i="44"/>
  <c r="Z22" i="44" s="1"/>
  <c r="P22" i="44"/>
  <c r="H22" i="44"/>
  <c r="N22" i="44" s="1"/>
  <c r="D22" i="44"/>
  <c r="B22" i="44"/>
  <c r="T21" i="44"/>
  <c r="Z21" i="44" s="1"/>
  <c r="P21" i="44"/>
  <c r="H21" i="44"/>
  <c r="D21" i="44"/>
  <c r="B21" i="44"/>
  <c r="T20" i="44"/>
  <c r="Z20" i="44" s="1"/>
  <c r="P20" i="44"/>
  <c r="H20" i="44"/>
  <c r="N20" i="44" s="1"/>
  <c r="D20" i="44"/>
  <c r="T16" i="44"/>
  <c r="Z16" i="44" s="1"/>
  <c r="P16" i="44"/>
  <c r="H16" i="44"/>
  <c r="N16" i="44" s="1"/>
  <c r="D16" i="44"/>
  <c r="B16" i="44"/>
  <c r="T15" i="44"/>
  <c r="Z15" i="44" s="1"/>
  <c r="P15" i="44"/>
  <c r="H15" i="44"/>
  <c r="D15" i="44"/>
  <c r="T13" i="44"/>
  <c r="Z13" i="44" s="1"/>
  <c r="P13" i="44"/>
  <c r="H13" i="44"/>
  <c r="N13" i="44" s="1"/>
  <c r="D13" i="44"/>
  <c r="B13" i="44"/>
  <c r="T12" i="44"/>
  <c r="V24" i="44" s="1"/>
  <c r="P12" i="44"/>
  <c r="R34" i="44" s="1"/>
  <c r="H12" i="44"/>
  <c r="J36" i="44" s="1"/>
  <c r="D12" i="44"/>
  <c r="F21" i="44" s="1"/>
  <c r="D5" i="44"/>
  <c r="D4" i="44"/>
  <c r="B39" i="43"/>
  <c r="B38" i="43"/>
  <c r="T34" i="43"/>
  <c r="Z34" i="43" s="1"/>
  <c r="P34" i="43"/>
  <c r="H34" i="43"/>
  <c r="N34" i="43" s="1"/>
  <c r="D34" i="43"/>
  <c r="T33" i="43"/>
  <c r="Z33" i="43" s="1"/>
  <c r="P33" i="43"/>
  <c r="H33" i="43"/>
  <c r="N33" i="43" s="1"/>
  <c r="D33" i="43"/>
  <c r="T29" i="43"/>
  <c r="Z29" i="43" s="1"/>
  <c r="P29" i="43"/>
  <c r="H29" i="43"/>
  <c r="N29" i="43" s="1"/>
  <c r="D29" i="43"/>
  <c r="T25" i="43"/>
  <c r="Z25" i="43" s="1"/>
  <c r="P25" i="43"/>
  <c r="H25" i="43"/>
  <c r="N25" i="43" s="1"/>
  <c r="D25" i="43"/>
  <c r="B25" i="43"/>
  <c r="T24" i="43"/>
  <c r="Z24" i="43" s="1"/>
  <c r="P24" i="43"/>
  <c r="H24" i="43"/>
  <c r="D24" i="43"/>
  <c r="T22" i="43"/>
  <c r="Z22" i="43" s="1"/>
  <c r="P22" i="43"/>
  <c r="H22" i="43"/>
  <c r="N22" i="43" s="1"/>
  <c r="D22" i="43"/>
  <c r="B22" i="43"/>
  <c r="T21" i="43"/>
  <c r="Z21" i="43" s="1"/>
  <c r="P21" i="43"/>
  <c r="H21" i="43"/>
  <c r="N21" i="43" s="1"/>
  <c r="D21" i="43"/>
  <c r="B21" i="43"/>
  <c r="T20" i="43"/>
  <c r="P20" i="43"/>
  <c r="H20" i="43"/>
  <c r="N20" i="43" s="1"/>
  <c r="D20" i="43"/>
  <c r="T16" i="43"/>
  <c r="P16" i="43"/>
  <c r="H16" i="43"/>
  <c r="N16" i="43" s="1"/>
  <c r="D16" i="43"/>
  <c r="B16" i="43"/>
  <c r="T15" i="43"/>
  <c r="Z15" i="43" s="1"/>
  <c r="P15" i="43"/>
  <c r="H15" i="43"/>
  <c r="N15" i="43" s="1"/>
  <c r="D15" i="43"/>
  <c r="T13" i="43"/>
  <c r="P13" i="43"/>
  <c r="H13" i="43"/>
  <c r="N13" i="43" s="1"/>
  <c r="D13" i="43"/>
  <c r="B13" i="43"/>
  <c r="T12" i="43"/>
  <c r="V24" i="43" s="1"/>
  <c r="P12" i="43"/>
  <c r="H12" i="43"/>
  <c r="J18" i="43" s="1"/>
  <c r="D12" i="43"/>
  <c r="F24" i="43" s="1"/>
  <c r="D5" i="43"/>
  <c r="D4" i="43"/>
  <c r="X114" i="42"/>
  <c r="Z114" i="42" s="1"/>
  <c r="N114" i="42"/>
  <c r="L114" i="42"/>
  <c r="Z110" i="42"/>
  <c r="X110" i="42"/>
  <c r="P110" i="42"/>
  <c r="N110" i="42"/>
  <c r="D110" i="42"/>
  <c r="L110" i="42" s="1"/>
  <c r="B110" i="42"/>
  <c r="P109" i="42"/>
  <c r="X109" i="42" s="1"/>
  <c r="Z109" i="42" s="1"/>
  <c r="N109" i="42"/>
  <c r="L109" i="42"/>
  <c r="D109" i="42"/>
  <c r="B109" i="42"/>
  <c r="P108" i="42"/>
  <c r="X108" i="42" s="1"/>
  <c r="Z108" i="42" s="1"/>
  <c r="D108" i="42"/>
  <c r="L108" i="42" s="1"/>
  <c r="N108" i="42" s="1"/>
  <c r="B108" i="42"/>
  <c r="Z107" i="42"/>
  <c r="X107" i="42"/>
  <c r="V107" i="42"/>
  <c r="P107" i="42"/>
  <c r="N107" i="42"/>
  <c r="D107" i="42"/>
  <c r="L107" i="42" s="1"/>
  <c r="B107" i="42"/>
  <c r="T106" i="42"/>
  <c r="Z106" i="42" s="1"/>
  <c r="P106" i="42"/>
  <c r="X106" i="42" s="1"/>
  <c r="H106" i="42"/>
  <c r="Z104" i="42"/>
  <c r="X104" i="42"/>
  <c r="L104" i="42"/>
  <c r="N104" i="42" s="1"/>
  <c r="B104" i="42"/>
  <c r="Z103" i="42"/>
  <c r="X103" i="42"/>
  <c r="V103" i="42"/>
  <c r="T103" i="42"/>
  <c r="P103" i="42"/>
  <c r="L103" i="42"/>
  <c r="H103" i="42"/>
  <c r="N103" i="42" s="1"/>
  <c r="D103" i="42"/>
  <c r="B103" i="42"/>
  <c r="Z102" i="42"/>
  <c r="X102" i="42"/>
  <c r="N102" i="42"/>
  <c r="L102" i="42"/>
  <c r="B102" i="42"/>
  <c r="X101" i="42"/>
  <c r="T101" i="42"/>
  <c r="Z101" i="42" s="1"/>
  <c r="P101" i="42"/>
  <c r="H101" i="42"/>
  <c r="N101" i="42" s="1"/>
  <c r="D101" i="42"/>
  <c r="L101" i="42" s="1"/>
  <c r="B101" i="42"/>
  <c r="X100" i="42"/>
  <c r="Z100" i="42" s="1"/>
  <c r="N100" i="42"/>
  <c r="L100" i="42"/>
  <c r="B100" i="42"/>
  <c r="T99" i="42"/>
  <c r="Z99" i="42" s="1"/>
  <c r="P99" i="42"/>
  <c r="X99" i="42" s="1"/>
  <c r="H99" i="42"/>
  <c r="D99" i="42"/>
  <c r="L99" i="42" s="1"/>
  <c r="N99" i="42" s="1"/>
  <c r="B99" i="42"/>
  <c r="X98" i="42"/>
  <c r="Z98" i="42" s="1"/>
  <c r="L98" i="42"/>
  <c r="N98" i="42" s="1"/>
  <c r="B98" i="42"/>
  <c r="Z97" i="42"/>
  <c r="X97" i="42"/>
  <c r="L97" i="42"/>
  <c r="N97" i="42" s="1"/>
  <c r="B97" i="42"/>
  <c r="T96" i="42"/>
  <c r="P96" i="42"/>
  <c r="X96" i="42" s="1"/>
  <c r="Z96" i="42" s="1"/>
  <c r="L96" i="42"/>
  <c r="N96" i="42" s="1"/>
  <c r="H96" i="42"/>
  <c r="D96" i="42"/>
  <c r="B96" i="42"/>
  <c r="Z95" i="42"/>
  <c r="X95" i="42"/>
  <c r="V95" i="42"/>
  <c r="N95" i="42"/>
  <c r="L95" i="42"/>
  <c r="B95" i="42"/>
  <c r="X94" i="42"/>
  <c r="Z94" i="42" s="1"/>
  <c r="N94" i="42"/>
  <c r="L94" i="42"/>
  <c r="B94" i="42"/>
  <c r="Z93" i="42"/>
  <c r="X93" i="42"/>
  <c r="L93" i="42"/>
  <c r="N93" i="42" s="1"/>
  <c r="B93" i="42"/>
  <c r="X92" i="42"/>
  <c r="Z92" i="42" s="1"/>
  <c r="N92" i="42"/>
  <c r="L92" i="42"/>
  <c r="B92" i="42"/>
  <c r="Z91" i="42"/>
  <c r="X91" i="42"/>
  <c r="N91" i="42"/>
  <c r="L91" i="42"/>
  <c r="J91" i="42"/>
  <c r="B91" i="42"/>
  <c r="X90" i="42"/>
  <c r="Z90" i="42" s="1"/>
  <c r="V90" i="42"/>
  <c r="L90" i="42"/>
  <c r="N90" i="42" s="1"/>
  <c r="B90" i="42"/>
  <c r="X89" i="42"/>
  <c r="Z89" i="42" s="1"/>
  <c r="N89" i="42"/>
  <c r="L89" i="42"/>
  <c r="B89" i="42"/>
  <c r="Z88" i="42"/>
  <c r="X88" i="42"/>
  <c r="L88" i="42"/>
  <c r="N88" i="42" s="1"/>
  <c r="B88" i="42"/>
  <c r="Z87" i="42"/>
  <c r="X87" i="42"/>
  <c r="V87" i="42"/>
  <c r="N87" i="42"/>
  <c r="L87" i="42"/>
  <c r="B87" i="42"/>
  <c r="Z86" i="42"/>
  <c r="X86" i="42"/>
  <c r="N86" i="42"/>
  <c r="L86" i="42"/>
  <c r="B86" i="42"/>
  <c r="Z85" i="42"/>
  <c r="T85" i="42"/>
  <c r="P85" i="42"/>
  <c r="X85" i="42" s="1"/>
  <c r="N85" i="42"/>
  <c r="L85" i="42"/>
  <c r="J85" i="42"/>
  <c r="H85" i="42"/>
  <c r="D85" i="42"/>
  <c r="B85" i="42"/>
  <c r="Z84" i="42"/>
  <c r="X84" i="42"/>
  <c r="L84" i="42"/>
  <c r="N84" i="42" s="1"/>
  <c r="B84" i="42"/>
  <c r="Z83" i="42"/>
  <c r="X83" i="42"/>
  <c r="V83" i="42"/>
  <c r="T83" i="42"/>
  <c r="P83" i="42"/>
  <c r="L83" i="42"/>
  <c r="H83" i="42"/>
  <c r="N83" i="42" s="1"/>
  <c r="D83" i="42"/>
  <c r="B83" i="42"/>
  <c r="X82" i="42"/>
  <c r="Z82" i="42" s="1"/>
  <c r="V82" i="42"/>
  <c r="L82" i="42"/>
  <c r="N82" i="42" s="1"/>
  <c r="B82" i="42"/>
  <c r="X81" i="42"/>
  <c r="Z81" i="42" s="1"/>
  <c r="N81" i="42"/>
  <c r="L81" i="42"/>
  <c r="B81" i="42"/>
  <c r="Z80" i="42"/>
  <c r="X80" i="42"/>
  <c r="L80" i="42"/>
  <c r="N80" i="42" s="1"/>
  <c r="B80" i="42"/>
  <c r="Z79" i="42"/>
  <c r="X79" i="42"/>
  <c r="V79" i="42"/>
  <c r="N79" i="42"/>
  <c r="L79" i="42"/>
  <c r="B79" i="42"/>
  <c r="X78" i="42"/>
  <c r="Z78" i="42" s="1"/>
  <c r="L78" i="42"/>
  <c r="N78" i="42" s="1"/>
  <c r="B78" i="42"/>
  <c r="T77" i="42"/>
  <c r="P77" i="42"/>
  <c r="X77" i="42" s="1"/>
  <c r="Z77" i="42" s="1"/>
  <c r="N77" i="42"/>
  <c r="L77" i="42"/>
  <c r="J77" i="42"/>
  <c r="H77" i="42"/>
  <c r="D77" i="42"/>
  <c r="B77" i="42"/>
  <c r="Z76" i="42"/>
  <c r="X76" i="42"/>
  <c r="N76" i="42"/>
  <c r="L76" i="42"/>
  <c r="B76" i="42"/>
  <c r="Z75" i="42"/>
  <c r="X75" i="42"/>
  <c r="V75" i="42"/>
  <c r="T75" i="42"/>
  <c r="P75" i="42"/>
  <c r="L75" i="42"/>
  <c r="H75" i="42"/>
  <c r="N75" i="42" s="1"/>
  <c r="D75" i="42"/>
  <c r="B75" i="42"/>
  <c r="X74" i="42"/>
  <c r="Z74" i="42" s="1"/>
  <c r="V74" i="42"/>
  <c r="L74" i="42"/>
  <c r="N74" i="42" s="1"/>
  <c r="B74" i="42"/>
  <c r="X73" i="42"/>
  <c r="Z73" i="42" s="1"/>
  <c r="N73" i="42"/>
  <c r="L73" i="42"/>
  <c r="B73" i="42"/>
  <c r="Z72" i="42"/>
  <c r="X72" i="42"/>
  <c r="L72" i="42"/>
  <c r="N72" i="42" s="1"/>
  <c r="B72" i="42"/>
  <c r="Z71" i="42"/>
  <c r="X71" i="42"/>
  <c r="V71" i="42"/>
  <c r="N71" i="42"/>
  <c r="L71" i="42"/>
  <c r="B71" i="42"/>
  <c r="X70" i="42"/>
  <c r="Z70" i="42" s="1"/>
  <c r="T70" i="42"/>
  <c r="P70" i="42"/>
  <c r="H70" i="42"/>
  <c r="D70" i="42"/>
  <c r="B70" i="42"/>
  <c r="X69" i="42"/>
  <c r="Z69" i="42" s="1"/>
  <c r="N69" i="42"/>
  <c r="L69" i="42"/>
  <c r="B69" i="42"/>
  <c r="T68" i="42"/>
  <c r="P68" i="42"/>
  <c r="J68" i="42"/>
  <c r="H68" i="42"/>
  <c r="D68" i="42"/>
  <c r="L68" i="42" s="1"/>
  <c r="B68" i="42"/>
  <c r="X67" i="42"/>
  <c r="Z67" i="42" s="1"/>
  <c r="N67" i="42"/>
  <c r="L67" i="42"/>
  <c r="J67" i="42"/>
  <c r="B67" i="42"/>
  <c r="V66" i="42"/>
  <c r="T66" i="42"/>
  <c r="Z66" i="42" s="1"/>
  <c r="P66" i="42"/>
  <c r="X66" i="42" s="1"/>
  <c r="H66" i="42"/>
  <c r="D66" i="42"/>
  <c r="L66" i="42" s="1"/>
  <c r="B66" i="42"/>
  <c r="Z65" i="42"/>
  <c r="X65" i="42"/>
  <c r="L65" i="42"/>
  <c r="N65" i="42" s="1"/>
  <c r="B65" i="42"/>
  <c r="T64" i="42"/>
  <c r="Z64" i="42" s="1"/>
  <c r="P64" i="42"/>
  <c r="X64" i="42" s="1"/>
  <c r="L64" i="42"/>
  <c r="N64" i="42" s="1"/>
  <c r="H64" i="42"/>
  <c r="D64" i="42"/>
  <c r="B64" i="42"/>
  <c r="Z63" i="42"/>
  <c r="X63" i="42"/>
  <c r="V63" i="42"/>
  <c r="N63" i="42"/>
  <c r="L63" i="42"/>
  <c r="B63" i="42"/>
  <c r="X62" i="42"/>
  <c r="Z62" i="42" s="1"/>
  <c r="L62" i="42"/>
  <c r="N62" i="42" s="1"/>
  <c r="J62" i="42"/>
  <c r="B62" i="42"/>
  <c r="T61" i="42"/>
  <c r="P61" i="42"/>
  <c r="X61" i="42" s="1"/>
  <c r="Z61" i="42" s="1"/>
  <c r="N61" i="42"/>
  <c r="L61" i="42"/>
  <c r="J61" i="42"/>
  <c r="H61" i="42"/>
  <c r="D61" i="42"/>
  <c r="B61" i="42"/>
  <c r="Z60" i="42"/>
  <c r="X60" i="42"/>
  <c r="L60" i="42"/>
  <c r="N60" i="42" s="1"/>
  <c r="B60" i="42"/>
  <c r="Z59" i="42"/>
  <c r="X59" i="42"/>
  <c r="V59" i="42"/>
  <c r="T59" i="42"/>
  <c r="P59" i="42"/>
  <c r="L59" i="42"/>
  <c r="H59" i="42"/>
  <c r="N59" i="42" s="1"/>
  <c r="D59" i="42"/>
  <c r="B59" i="42"/>
  <c r="X58" i="42"/>
  <c r="Z58" i="42" s="1"/>
  <c r="V58" i="42"/>
  <c r="L58" i="42"/>
  <c r="N58" i="42" s="1"/>
  <c r="B58" i="42"/>
  <c r="X57" i="42"/>
  <c r="T57" i="42"/>
  <c r="Z57" i="42" s="1"/>
  <c r="P57" i="42"/>
  <c r="H57" i="42"/>
  <c r="N57" i="42" s="1"/>
  <c r="D57" i="42"/>
  <c r="L57" i="42" s="1"/>
  <c r="B57" i="42"/>
  <c r="X56" i="42"/>
  <c r="Z56" i="42" s="1"/>
  <c r="N56" i="42"/>
  <c r="L56" i="42"/>
  <c r="B56" i="42"/>
  <c r="Z55" i="42"/>
  <c r="X55" i="42"/>
  <c r="N55" i="42"/>
  <c r="L55" i="42"/>
  <c r="J55" i="42"/>
  <c r="B55" i="42"/>
  <c r="V54" i="42"/>
  <c r="T54" i="42"/>
  <c r="Z54" i="42" s="1"/>
  <c r="P54" i="42"/>
  <c r="X54" i="42" s="1"/>
  <c r="H54" i="42"/>
  <c r="D54" i="42"/>
  <c r="L54" i="42" s="1"/>
  <c r="B54" i="42"/>
  <c r="Z53" i="42"/>
  <c r="X53" i="42"/>
  <c r="L53" i="42"/>
  <c r="N53" i="42" s="1"/>
  <c r="B53" i="42"/>
  <c r="T52" i="42"/>
  <c r="Z52" i="42" s="1"/>
  <c r="P52" i="42"/>
  <c r="X52" i="42" s="1"/>
  <c r="L52" i="42"/>
  <c r="N52" i="42" s="1"/>
  <c r="H52" i="42"/>
  <c r="D52" i="42"/>
  <c r="B52" i="42"/>
  <c r="Z51" i="42"/>
  <c r="X51" i="42"/>
  <c r="V51" i="42"/>
  <c r="N51" i="42"/>
  <c r="L51" i="42"/>
  <c r="B51" i="42"/>
  <c r="X50" i="42"/>
  <c r="Z50" i="42" s="1"/>
  <c r="T50" i="42"/>
  <c r="P50" i="42"/>
  <c r="H50" i="42"/>
  <c r="D50" i="42"/>
  <c r="B50" i="42"/>
  <c r="Z49" i="42"/>
  <c r="X49" i="42"/>
  <c r="V49" i="42"/>
  <c r="N49" i="42"/>
  <c r="L49" i="42"/>
  <c r="B49" i="42"/>
  <c r="T48" i="42"/>
  <c r="P48" i="42"/>
  <c r="J48" i="42"/>
  <c r="H48" i="42"/>
  <c r="N48" i="42" s="1"/>
  <c r="D48" i="42"/>
  <c r="L48" i="42" s="1"/>
  <c r="B48" i="42"/>
  <c r="Z47" i="42"/>
  <c r="X47" i="42"/>
  <c r="N47" i="42"/>
  <c r="L47" i="42"/>
  <c r="J47" i="42"/>
  <c r="B47" i="42"/>
  <c r="Z46" i="42"/>
  <c r="X46" i="42"/>
  <c r="V46" i="42"/>
  <c r="N46" i="42"/>
  <c r="L46" i="42"/>
  <c r="B46" i="42"/>
  <c r="X45" i="42"/>
  <c r="Z45" i="42" s="1"/>
  <c r="V45" i="42"/>
  <c r="N45" i="42"/>
  <c r="L45" i="42"/>
  <c r="B45" i="42"/>
  <c r="Z44" i="42"/>
  <c r="X44" i="42"/>
  <c r="V44" i="42"/>
  <c r="L44" i="42"/>
  <c r="N44" i="42" s="1"/>
  <c r="B44" i="42"/>
  <c r="Z43" i="42"/>
  <c r="X43" i="42"/>
  <c r="V43" i="42"/>
  <c r="N43" i="42"/>
  <c r="L43" i="42"/>
  <c r="B43" i="42"/>
  <c r="X42" i="42"/>
  <c r="Z42" i="42" s="1"/>
  <c r="L42" i="42"/>
  <c r="N42" i="42" s="1"/>
  <c r="J42" i="42"/>
  <c r="B42" i="42"/>
  <c r="Z41" i="42"/>
  <c r="X41" i="42"/>
  <c r="L41" i="42"/>
  <c r="N41" i="42" s="1"/>
  <c r="B41" i="42"/>
  <c r="Z40" i="42"/>
  <c r="X40" i="42"/>
  <c r="N40" i="42"/>
  <c r="L40" i="42"/>
  <c r="B40" i="42"/>
  <c r="Z39" i="42"/>
  <c r="X39" i="42"/>
  <c r="N39" i="42"/>
  <c r="L39" i="42"/>
  <c r="J39" i="42"/>
  <c r="B39" i="42"/>
  <c r="X38" i="42"/>
  <c r="Z38" i="42" s="1"/>
  <c r="V38" i="42"/>
  <c r="L38" i="42"/>
  <c r="N38" i="42" s="1"/>
  <c r="B38" i="42"/>
  <c r="X37" i="42"/>
  <c r="V37" i="42"/>
  <c r="T37" i="42"/>
  <c r="Z37" i="42" s="1"/>
  <c r="P37" i="42"/>
  <c r="H37" i="42"/>
  <c r="N37" i="42" s="1"/>
  <c r="D37" i="42"/>
  <c r="L37" i="42" s="1"/>
  <c r="B37" i="42"/>
  <c r="X36" i="42"/>
  <c r="Z36" i="42" s="1"/>
  <c r="N36" i="42"/>
  <c r="L36" i="42"/>
  <c r="B36" i="42"/>
  <c r="Z35" i="42"/>
  <c r="X35" i="42"/>
  <c r="N35" i="42"/>
  <c r="L35" i="42"/>
  <c r="J35" i="42"/>
  <c r="B35" i="42"/>
  <c r="Z34" i="42"/>
  <c r="X34" i="42"/>
  <c r="V34" i="42"/>
  <c r="L34" i="42"/>
  <c r="N34" i="42" s="1"/>
  <c r="B34" i="42"/>
  <c r="Z33" i="42"/>
  <c r="X33" i="42"/>
  <c r="V33" i="42"/>
  <c r="N33" i="42"/>
  <c r="L33" i="42"/>
  <c r="B33" i="42"/>
  <c r="Z32" i="42"/>
  <c r="X32" i="42"/>
  <c r="V32" i="42"/>
  <c r="L32" i="42"/>
  <c r="N32" i="42" s="1"/>
  <c r="B32" i="42"/>
  <c r="Z31" i="42"/>
  <c r="X31" i="42"/>
  <c r="V31" i="42"/>
  <c r="N31" i="42"/>
  <c r="L31" i="42"/>
  <c r="B31" i="42"/>
  <c r="X30" i="42"/>
  <c r="Z30" i="42" s="1"/>
  <c r="N30" i="42"/>
  <c r="L30" i="42"/>
  <c r="J30" i="42"/>
  <c r="B30" i="42"/>
  <c r="Z29" i="42"/>
  <c r="X29" i="42"/>
  <c r="L29" i="42"/>
  <c r="N29" i="42" s="1"/>
  <c r="B29" i="42"/>
  <c r="X28" i="42"/>
  <c r="Z28" i="42" s="1"/>
  <c r="N28" i="42"/>
  <c r="L28" i="42"/>
  <c r="B28" i="42"/>
  <c r="T27" i="42"/>
  <c r="Z27" i="42" s="1"/>
  <c r="P27" i="42"/>
  <c r="X27" i="42" s="1"/>
  <c r="H27" i="42"/>
  <c r="D27" i="42"/>
  <c r="L27" i="42" s="1"/>
  <c r="N27" i="42" s="1"/>
  <c r="B27" i="42"/>
  <c r="X26" i="42"/>
  <c r="Z26" i="42" s="1"/>
  <c r="T26" i="42"/>
  <c r="P26" i="42"/>
  <c r="H26" i="42"/>
  <c r="D26" i="42"/>
  <c r="Z22" i="42"/>
  <c r="X22" i="42"/>
  <c r="N22" i="42"/>
  <c r="L22" i="42"/>
  <c r="J22" i="42"/>
  <c r="B22" i="42"/>
  <c r="Z21" i="42"/>
  <c r="X21" i="42"/>
  <c r="V21" i="42"/>
  <c r="N21" i="42"/>
  <c r="L21" i="42"/>
  <c r="J21" i="42"/>
  <c r="B21" i="42"/>
  <c r="X20" i="42"/>
  <c r="Z20" i="42" s="1"/>
  <c r="N20" i="42"/>
  <c r="L20" i="42"/>
  <c r="B20" i="42"/>
  <c r="T19" i="42"/>
  <c r="P19" i="42"/>
  <c r="X19" i="42" s="1"/>
  <c r="N19" i="42"/>
  <c r="H19" i="42"/>
  <c r="D19" i="42"/>
  <c r="L19" i="42" s="1"/>
  <c r="Z17" i="42"/>
  <c r="P17" i="42"/>
  <c r="X17" i="42" s="1"/>
  <c r="N17" i="42"/>
  <c r="L17" i="42"/>
  <c r="D17" i="42"/>
  <c r="B17" i="42"/>
  <c r="Z16" i="42"/>
  <c r="X16" i="42"/>
  <c r="P16" i="42"/>
  <c r="N16" i="42"/>
  <c r="D16" i="42"/>
  <c r="L16" i="42" s="1"/>
  <c r="B16" i="42"/>
  <c r="Z15" i="42"/>
  <c r="X15" i="42"/>
  <c r="P15" i="42"/>
  <c r="N15" i="42"/>
  <c r="L15" i="42"/>
  <c r="D15" i="42"/>
  <c r="B15" i="42"/>
  <c r="Z14" i="42"/>
  <c r="P14" i="42"/>
  <c r="X14" i="42" s="1"/>
  <c r="N14" i="42"/>
  <c r="D14" i="42"/>
  <c r="L14" i="42" s="1"/>
  <c r="B14" i="42"/>
  <c r="P13" i="42"/>
  <c r="X13" i="42" s="1"/>
  <c r="Z13" i="42" s="1"/>
  <c r="N13" i="42"/>
  <c r="L13" i="42"/>
  <c r="D13" i="42"/>
  <c r="B13" i="42"/>
  <c r="T12" i="42"/>
  <c r="V98" i="42" s="1"/>
  <c r="H12" i="42"/>
  <c r="D4" i="42"/>
  <c r="B39" i="41"/>
  <c r="B38" i="41"/>
  <c r="T34" i="41"/>
  <c r="Z34" i="41" s="1"/>
  <c r="P34" i="41"/>
  <c r="H34" i="41"/>
  <c r="N34" i="41" s="1"/>
  <c r="D34" i="41"/>
  <c r="L34" i="41" s="1"/>
  <c r="T33" i="41"/>
  <c r="P33" i="41"/>
  <c r="H33" i="41"/>
  <c r="N33" i="41" s="1"/>
  <c r="D33" i="41"/>
  <c r="T29" i="41"/>
  <c r="Z29" i="41" s="1"/>
  <c r="P29" i="41"/>
  <c r="H29" i="41"/>
  <c r="N29" i="41" s="1"/>
  <c r="D29" i="41"/>
  <c r="L29" i="41" s="1"/>
  <c r="T25" i="41"/>
  <c r="Z25" i="41" s="1"/>
  <c r="P25" i="41"/>
  <c r="H25" i="41"/>
  <c r="N25" i="41" s="1"/>
  <c r="D25" i="41"/>
  <c r="B25" i="41"/>
  <c r="T24" i="41"/>
  <c r="Z24" i="41" s="1"/>
  <c r="P24" i="41"/>
  <c r="H24" i="41"/>
  <c r="N24" i="41" s="1"/>
  <c r="D24" i="41"/>
  <c r="T22" i="41"/>
  <c r="P22" i="41"/>
  <c r="H22" i="41"/>
  <c r="N22" i="41" s="1"/>
  <c r="D22" i="41"/>
  <c r="B22" i="41"/>
  <c r="T21" i="41"/>
  <c r="Z21" i="41" s="1"/>
  <c r="P21" i="41"/>
  <c r="H21" i="41"/>
  <c r="N21" i="41" s="1"/>
  <c r="D21" i="41"/>
  <c r="B21" i="41"/>
  <c r="T20" i="41"/>
  <c r="P20" i="41"/>
  <c r="H20" i="41"/>
  <c r="D20" i="41"/>
  <c r="T16" i="41"/>
  <c r="Z16" i="41" s="1"/>
  <c r="P16" i="41"/>
  <c r="H16" i="41"/>
  <c r="D16" i="41"/>
  <c r="B16" i="41"/>
  <c r="T15" i="41"/>
  <c r="Z15" i="41" s="1"/>
  <c r="P15" i="41"/>
  <c r="H15" i="41"/>
  <c r="N15" i="41" s="1"/>
  <c r="D15" i="41"/>
  <c r="T13" i="41"/>
  <c r="Z13" i="41" s="1"/>
  <c r="P13" i="41"/>
  <c r="H13" i="41"/>
  <c r="N13" i="41" s="1"/>
  <c r="D13" i="41"/>
  <c r="B13" i="41"/>
  <c r="T12" i="41"/>
  <c r="V20" i="41" s="1"/>
  <c r="P12" i="41"/>
  <c r="R22" i="41" s="1"/>
  <c r="H12" i="41"/>
  <c r="J24" i="41" s="1"/>
  <c r="D12" i="41"/>
  <c r="F18" i="41" s="1"/>
  <c r="D5" i="41"/>
  <c r="D4" i="41"/>
  <c r="B39" i="40"/>
  <c r="B38" i="40"/>
  <c r="T34" i="40"/>
  <c r="Z34" i="40" s="1"/>
  <c r="P34" i="40"/>
  <c r="H34" i="40"/>
  <c r="N34" i="40" s="1"/>
  <c r="D34" i="40"/>
  <c r="T33" i="40"/>
  <c r="P33" i="40"/>
  <c r="H33" i="40"/>
  <c r="N33" i="40" s="1"/>
  <c r="D33" i="40"/>
  <c r="T29" i="40"/>
  <c r="Z29" i="40" s="1"/>
  <c r="P29" i="40"/>
  <c r="H29" i="40"/>
  <c r="N29" i="40" s="1"/>
  <c r="D29" i="40"/>
  <c r="T25" i="40"/>
  <c r="P25" i="40"/>
  <c r="H25" i="40"/>
  <c r="N25" i="40" s="1"/>
  <c r="D25" i="40"/>
  <c r="B25" i="40"/>
  <c r="T24" i="40"/>
  <c r="Z24" i="40" s="1"/>
  <c r="P24" i="40"/>
  <c r="X24" i="40" s="1"/>
  <c r="H24" i="40"/>
  <c r="N24" i="40" s="1"/>
  <c r="D24" i="40"/>
  <c r="T22" i="40"/>
  <c r="Z22" i="40" s="1"/>
  <c r="P22" i="40"/>
  <c r="H22" i="40"/>
  <c r="N22" i="40" s="1"/>
  <c r="D22" i="40"/>
  <c r="B22" i="40"/>
  <c r="T21" i="40"/>
  <c r="Z21" i="40" s="1"/>
  <c r="P21" i="40"/>
  <c r="H21" i="40"/>
  <c r="N21" i="40" s="1"/>
  <c r="D21" i="40"/>
  <c r="B21" i="40"/>
  <c r="T20" i="40"/>
  <c r="Z20" i="40" s="1"/>
  <c r="P20" i="40"/>
  <c r="H20" i="40"/>
  <c r="N20" i="40" s="1"/>
  <c r="D20" i="40"/>
  <c r="L20" i="40" s="1"/>
  <c r="T16" i="40"/>
  <c r="Z16" i="40" s="1"/>
  <c r="P16" i="40"/>
  <c r="H16" i="40"/>
  <c r="N16" i="40" s="1"/>
  <c r="D16" i="40"/>
  <c r="B16" i="40"/>
  <c r="T15" i="40"/>
  <c r="P15" i="40"/>
  <c r="H15" i="40"/>
  <c r="N15" i="40" s="1"/>
  <c r="D15" i="40"/>
  <c r="T13" i="40"/>
  <c r="Z13" i="40" s="1"/>
  <c r="P13" i="40"/>
  <c r="H13" i="40"/>
  <c r="N13" i="40" s="1"/>
  <c r="D13" i="40"/>
  <c r="B13" i="40"/>
  <c r="T12" i="40"/>
  <c r="P12" i="40"/>
  <c r="R18" i="40" s="1"/>
  <c r="H12" i="40"/>
  <c r="D12" i="40"/>
  <c r="F34" i="40" s="1"/>
  <c r="D5" i="40"/>
  <c r="D4" i="40"/>
  <c r="X117" i="39"/>
  <c r="Z117" i="39" s="1"/>
  <c r="N117" i="39"/>
  <c r="L117" i="39"/>
  <c r="Z113" i="39"/>
  <c r="P113" i="39"/>
  <c r="X113" i="39" s="1"/>
  <c r="N113" i="39"/>
  <c r="L113" i="39"/>
  <c r="D113" i="39"/>
  <c r="B113" i="39"/>
  <c r="P112" i="39"/>
  <c r="X112" i="39" s="1"/>
  <c r="Z112" i="39" s="1"/>
  <c r="N112" i="39"/>
  <c r="D112" i="39"/>
  <c r="L112" i="39" s="1"/>
  <c r="B112" i="39"/>
  <c r="X111" i="39"/>
  <c r="Z111" i="39" s="1"/>
  <c r="P111" i="39"/>
  <c r="D111" i="39"/>
  <c r="L111" i="39" s="1"/>
  <c r="N111" i="39" s="1"/>
  <c r="B111" i="39"/>
  <c r="P110" i="39"/>
  <c r="N110" i="39"/>
  <c r="L110" i="39"/>
  <c r="D110" i="39"/>
  <c r="B110" i="39"/>
  <c r="T109" i="39"/>
  <c r="H109" i="39"/>
  <c r="D109" i="39"/>
  <c r="L109" i="39" s="1"/>
  <c r="Z107" i="39"/>
  <c r="X107" i="39"/>
  <c r="L107" i="39"/>
  <c r="N107" i="39" s="1"/>
  <c r="B107" i="39"/>
  <c r="T106" i="39"/>
  <c r="Z106" i="39" s="1"/>
  <c r="P106" i="39"/>
  <c r="X106" i="39" s="1"/>
  <c r="L106" i="39"/>
  <c r="N106" i="39" s="1"/>
  <c r="H106" i="39"/>
  <c r="D106" i="39"/>
  <c r="B106" i="39"/>
  <c r="Z105" i="39"/>
  <c r="X105" i="39"/>
  <c r="N105" i="39"/>
  <c r="L105" i="39"/>
  <c r="B105" i="39"/>
  <c r="Z104" i="39"/>
  <c r="X104" i="39"/>
  <c r="T104" i="39"/>
  <c r="P104" i="39"/>
  <c r="H104" i="39"/>
  <c r="L104" i="39" s="1"/>
  <c r="D104" i="39"/>
  <c r="B104" i="39"/>
  <c r="X103" i="39"/>
  <c r="Z103" i="39" s="1"/>
  <c r="N103" i="39"/>
  <c r="L103" i="39"/>
  <c r="B103" i="39"/>
  <c r="T102" i="39"/>
  <c r="X102" i="39" s="1"/>
  <c r="P102" i="39"/>
  <c r="H102" i="39"/>
  <c r="D102" i="39"/>
  <c r="L102" i="39" s="1"/>
  <c r="B102" i="39"/>
  <c r="Z101" i="39"/>
  <c r="X101" i="39"/>
  <c r="N101" i="39"/>
  <c r="L101" i="39"/>
  <c r="B101" i="39"/>
  <c r="X100" i="39"/>
  <c r="Z100" i="39" s="1"/>
  <c r="L100" i="39"/>
  <c r="N100" i="39" s="1"/>
  <c r="B100" i="39"/>
  <c r="X99" i="39"/>
  <c r="T99" i="39"/>
  <c r="P99" i="39"/>
  <c r="H99" i="39"/>
  <c r="D99" i="39"/>
  <c r="B99" i="39"/>
  <c r="X98" i="39"/>
  <c r="Z98" i="39" s="1"/>
  <c r="N98" i="39"/>
  <c r="L98" i="39"/>
  <c r="B98" i="39"/>
  <c r="Z97" i="39"/>
  <c r="X97" i="39"/>
  <c r="N97" i="39"/>
  <c r="L97" i="39"/>
  <c r="B97" i="39"/>
  <c r="X96" i="39"/>
  <c r="Z96" i="39" s="1"/>
  <c r="L96" i="39"/>
  <c r="N96" i="39" s="1"/>
  <c r="B96" i="39"/>
  <c r="X95" i="39"/>
  <c r="Z95" i="39" s="1"/>
  <c r="N95" i="39"/>
  <c r="L95" i="39"/>
  <c r="B95" i="39"/>
  <c r="Z94" i="39"/>
  <c r="X94" i="39"/>
  <c r="L94" i="39"/>
  <c r="N94" i="39" s="1"/>
  <c r="B94" i="39"/>
  <c r="X93" i="39"/>
  <c r="Z93" i="39" s="1"/>
  <c r="N93" i="39"/>
  <c r="L93" i="39"/>
  <c r="B93" i="39"/>
  <c r="X92" i="39"/>
  <c r="Z92" i="39" s="1"/>
  <c r="L92" i="39"/>
  <c r="N92" i="39" s="1"/>
  <c r="B92" i="39"/>
  <c r="Z91" i="39"/>
  <c r="X91" i="39"/>
  <c r="L91" i="39"/>
  <c r="N91" i="39" s="1"/>
  <c r="B91" i="39"/>
  <c r="X90" i="39"/>
  <c r="Z90" i="39" s="1"/>
  <c r="L90" i="39"/>
  <c r="N90" i="39" s="1"/>
  <c r="B90" i="39"/>
  <c r="Z89" i="39"/>
  <c r="X89" i="39"/>
  <c r="L89" i="39"/>
  <c r="N89" i="39" s="1"/>
  <c r="B89" i="39"/>
  <c r="T88" i="39"/>
  <c r="P88" i="39"/>
  <c r="X88" i="39" s="1"/>
  <c r="H88" i="39"/>
  <c r="F88" i="39"/>
  <c r="D88" i="39"/>
  <c r="L88" i="39" s="1"/>
  <c r="B88" i="39"/>
  <c r="Z87" i="39"/>
  <c r="X87" i="39"/>
  <c r="L87" i="39"/>
  <c r="N87" i="39" s="1"/>
  <c r="B87" i="39"/>
  <c r="X86" i="39"/>
  <c r="T86" i="39"/>
  <c r="P86" i="39"/>
  <c r="N86" i="39"/>
  <c r="L86" i="39"/>
  <c r="H86" i="39"/>
  <c r="D86" i="39"/>
  <c r="B86" i="39"/>
  <c r="Z85" i="39"/>
  <c r="X85" i="39"/>
  <c r="N85" i="39"/>
  <c r="L85" i="39"/>
  <c r="F85" i="39"/>
  <c r="B85" i="39"/>
  <c r="Z84" i="39"/>
  <c r="X84" i="39"/>
  <c r="L84" i="39"/>
  <c r="N84" i="39" s="1"/>
  <c r="B84" i="39"/>
  <c r="Z83" i="39"/>
  <c r="X83" i="39"/>
  <c r="L83" i="39"/>
  <c r="N83" i="39" s="1"/>
  <c r="B83" i="39"/>
  <c r="X82" i="39"/>
  <c r="Z82" i="39" s="1"/>
  <c r="L82" i="39"/>
  <c r="N82" i="39" s="1"/>
  <c r="B82" i="39"/>
  <c r="Z81" i="39"/>
  <c r="X81" i="39"/>
  <c r="L81" i="39"/>
  <c r="N81" i="39" s="1"/>
  <c r="B81" i="39"/>
  <c r="X80" i="39"/>
  <c r="T80" i="39"/>
  <c r="P80" i="39"/>
  <c r="H80" i="39"/>
  <c r="D80" i="39"/>
  <c r="L80" i="39" s="1"/>
  <c r="B80" i="39"/>
  <c r="Z79" i="39"/>
  <c r="X79" i="39"/>
  <c r="N79" i="39"/>
  <c r="L79" i="39"/>
  <c r="B79" i="39"/>
  <c r="Z78" i="39"/>
  <c r="X78" i="39"/>
  <c r="N78" i="39"/>
  <c r="L78" i="39"/>
  <c r="B78" i="39"/>
  <c r="T77" i="39"/>
  <c r="Z77" i="39" s="1"/>
  <c r="P77" i="39"/>
  <c r="X77" i="39" s="1"/>
  <c r="N77" i="39"/>
  <c r="J77" i="39"/>
  <c r="H77" i="39"/>
  <c r="D77" i="39"/>
  <c r="L77" i="39" s="1"/>
  <c r="B77" i="39"/>
  <c r="Z76" i="39"/>
  <c r="X76" i="39"/>
  <c r="L76" i="39"/>
  <c r="N76" i="39" s="1"/>
  <c r="B76" i="39"/>
  <c r="Z75" i="39"/>
  <c r="X75" i="39"/>
  <c r="L75" i="39"/>
  <c r="N75" i="39" s="1"/>
  <c r="B75" i="39"/>
  <c r="X74" i="39"/>
  <c r="Z74" i="39" s="1"/>
  <c r="N74" i="39"/>
  <c r="L74" i="39"/>
  <c r="J74" i="39"/>
  <c r="B74" i="39"/>
  <c r="Z73" i="39"/>
  <c r="X73" i="39"/>
  <c r="N73" i="39"/>
  <c r="L73" i="39"/>
  <c r="B73" i="39"/>
  <c r="T72" i="39"/>
  <c r="P72" i="39"/>
  <c r="X72" i="39" s="1"/>
  <c r="H72" i="39"/>
  <c r="D72" i="39"/>
  <c r="L72" i="39" s="1"/>
  <c r="N72" i="39" s="1"/>
  <c r="B72" i="39"/>
  <c r="X71" i="39"/>
  <c r="Z71" i="39" s="1"/>
  <c r="L71" i="39"/>
  <c r="N71" i="39" s="1"/>
  <c r="B71" i="39"/>
  <c r="X70" i="39"/>
  <c r="Z70" i="39" s="1"/>
  <c r="T70" i="39"/>
  <c r="P70" i="39"/>
  <c r="H70" i="39"/>
  <c r="D70" i="39"/>
  <c r="B70" i="39"/>
  <c r="X69" i="39"/>
  <c r="Z69" i="39" s="1"/>
  <c r="N69" i="39"/>
  <c r="L69" i="39"/>
  <c r="B69" i="39"/>
  <c r="T68" i="39"/>
  <c r="P68" i="39"/>
  <c r="H68" i="39"/>
  <c r="N68" i="39" s="1"/>
  <c r="D68" i="39"/>
  <c r="L68" i="39" s="1"/>
  <c r="B68" i="39"/>
  <c r="X67" i="39"/>
  <c r="Z67" i="39" s="1"/>
  <c r="N67" i="39"/>
  <c r="L67" i="39"/>
  <c r="J67" i="39"/>
  <c r="B67" i="39"/>
  <c r="T66" i="39"/>
  <c r="Z66" i="39" s="1"/>
  <c r="P66" i="39"/>
  <c r="X66" i="39" s="1"/>
  <c r="H66" i="39"/>
  <c r="D66" i="39"/>
  <c r="L66" i="39" s="1"/>
  <c r="N66" i="39" s="1"/>
  <c r="B66" i="39"/>
  <c r="Z65" i="39"/>
  <c r="X65" i="39"/>
  <c r="N65" i="39"/>
  <c r="L65" i="39"/>
  <c r="B65" i="39"/>
  <c r="Z64" i="39"/>
  <c r="X64" i="39"/>
  <c r="N64" i="39"/>
  <c r="L64" i="39"/>
  <c r="F64" i="39"/>
  <c r="B64" i="39"/>
  <c r="T63" i="39"/>
  <c r="Z63" i="39" s="1"/>
  <c r="P63" i="39"/>
  <c r="X63" i="39" s="1"/>
  <c r="H63" i="39"/>
  <c r="D63" i="39"/>
  <c r="L63" i="39" s="1"/>
  <c r="N63" i="39" s="1"/>
  <c r="B63" i="39"/>
  <c r="X62" i="39"/>
  <c r="Z62" i="39" s="1"/>
  <c r="L62" i="39"/>
  <c r="N62" i="39" s="1"/>
  <c r="B62" i="39"/>
  <c r="Z61" i="39"/>
  <c r="T61" i="39"/>
  <c r="P61" i="39"/>
  <c r="X61" i="39" s="1"/>
  <c r="J61" i="39"/>
  <c r="H61" i="39"/>
  <c r="D61" i="39"/>
  <c r="B61" i="39"/>
  <c r="Z60" i="39"/>
  <c r="X60" i="39"/>
  <c r="N60" i="39"/>
  <c r="L60" i="39"/>
  <c r="B60" i="39"/>
  <c r="V59" i="39"/>
  <c r="T59" i="39"/>
  <c r="P59" i="39"/>
  <c r="L59" i="39"/>
  <c r="H59" i="39"/>
  <c r="N59" i="39" s="1"/>
  <c r="D59" i="39"/>
  <c r="B59" i="39"/>
  <c r="X58" i="39"/>
  <c r="Z58" i="39" s="1"/>
  <c r="L58" i="39"/>
  <c r="N58" i="39" s="1"/>
  <c r="B58" i="39"/>
  <c r="Z57" i="39"/>
  <c r="X57" i="39"/>
  <c r="N57" i="39"/>
  <c r="L57" i="39"/>
  <c r="B57" i="39"/>
  <c r="T56" i="39"/>
  <c r="P56" i="39"/>
  <c r="H56" i="39"/>
  <c r="N56" i="39" s="1"/>
  <c r="D56" i="39"/>
  <c r="L56" i="39" s="1"/>
  <c r="B56" i="39"/>
  <c r="X55" i="39"/>
  <c r="Z55" i="39" s="1"/>
  <c r="N55" i="39"/>
  <c r="L55" i="39"/>
  <c r="J55" i="39"/>
  <c r="B55" i="39"/>
  <c r="T54" i="39"/>
  <c r="Z54" i="39" s="1"/>
  <c r="P54" i="39"/>
  <c r="X54" i="39" s="1"/>
  <c r="H54" i="39"/>
  <c r="D54" i="39"/>
  <c r="L54" i="39" s="1"/>
  <c r="N54" i="39" s="1"/>
  <c r="B54" i="39"/>
  <c r="Z53" i="39"/>
  <c r="X53" i="39"/>
  <c r="N53" i="39"/>
  <c r="L53" i="39"/>
  <c r="B53" i="39"/>
  <c r="T52" i="39"/>
  <c r="P52" i="39"/>
  <c r="X52" i="39" s="1"/>
  <c r="Z52" i="39" s="1"/>
  <c r="N52" i="39"/>
  <c r="L52" i="39"/>
  <c r="H52" i="39"/>
  <c r="D52" i="39"/>
  <c r="B52" i="39"/>
  <c r="Z51" i="39"/>
  <c r="X51" i="39"/>
  <c r="V51" i="39"/>
  <c r="N51" i="39"/>
  <c r="L51" i="39"/>
  <c r="B51" i="39"/>
  <c r="Z50" i="39"/>
  <c r="X50" i="39"/>
  <c r="T50" i="39"/>
  <c r="P50" i="39"/>
  <c r="H50" i="39"/>
  <c r="D50" i="39"/>
  <c r="B50" i="39"/>
  <c r="Z49" i="39"/>
  <c r="X49" i="39"/>
  <c r="N49" i="39"/>
  <c r="L49" i="39"/>
  <c r="B49" i="39"/>
  <c r="Z48" i="39"/>
  <c r="X48" i="39"/>
  <c r="N48" i="39"/>
  <c r="L48" i="39"/>
  <c r="B48" i="39"/>
  <c r="Z47" i="39"/>
  <c r="X47" i="39"/>
  <c r="V47" i="39"/>
  <c r="N47" i="39"/>
  <c r="L47" i="39"/>
  <c r="B47" i="39"/>
  <c r="X46" i="39"/>
  <c r="Z46" i="39" s="1"/>
  <c r="L46" i="39"/>
  <c r="N46" i="39" s="1"/>
  <c r="J46" i="39"/>
  <c r="B46" i="39"/>
  <c r="Z45" i="39"/>
  <c r="X45" i="39"/>
  <c r="N45" i="39"/>
  <c r="L45" i="39"/>
  <c r="B45" i="39"/>
  <c r="Z44" i="39"/>
  <c r="X44" i="39"/>
  <c r="N44" i="39"/>
  <c r="L44" i="39"/>
  <c r="F44" i="39"/>
  <c r="B44" i="39"/>
  <c r="Z43" i="39"/>
  <c r="X43" i="39"/>
  <c r="N43" i="39"/>
  <c r="L43" i="39"/>
  <c r="J43" i="39"/>
  <c r="B43" i="39"/>
  <c r="Z42" i="39"/>
  <c r="X42" i="39"/>
  <c r="N42" i="39"/>
  <c r="L42" i="39"/>
  <c r="B42" i="39"/>
  <c r="X41" i="39"/>
  <c r="Z41" i="39" s="1"/>
  <c r="N41" i="39"/>
  <c r="L41" i="39"/>
  <c r="B41" i="39"/>
  <c r="Z40" i="39"/>
  <c r="X40" i="39"/>
  <c r="N40" i="39"/>
  <c r="L40" i="39"/>
  <c r="B40" i="39"/>
  <c r="V39" i="39"/>
  <c r="T39" i="39"/>
  <c r="P39" i="39"/>
  <c r="L39" i="39"/>
  <c r="H39" i="39"/>
  <c r="N39" i="39" s="1"/>
  <c r="F39" i="39"/>
  <c r="D39" i="39"/>
  <c r="B39" i="39"/>
  <c r="X38" i="39"/>
  <c r="Z38" i="39" s="1"/>
  <c r="L38" i="39"/>
  <c r="N38" i="39" s="1"/>
  <c r="B38" i="39"/>
  <c r="X37" i="39"/>
  <c r="Z37" i="39" s="1"/>
  <c r="N37" i="39"/>
  <c r="L37" i="39"/>
  <c r="B37" i="39"/>
  <c r="Z36" i="39"/>
  <c r="X36" i="39"/>
  <c r="N36" i="39"/>
  <c r="L36" i="39"/>
  <c r="B36" i="39"/>
  <c r="Z35" i="39"/>
  <c r="X35" i="39"/>
  <c r="V35" i="39"/>
  <c r="N35" i="39"/>
  <c r="L35" i="39"/>
  <c r="B35" i="39"/>
  <c r="Z34" i="39"/>
  <c r="X34" i="39"/>
  <c r="N34" i="39"/>
  <c r="L34" i="39"/>
  <c r="J34" i="39"/>
  <c r="B34" i="39"/>
  <c r="Z33" i="39"/>
  <c r="X33" i="39"/>
  <c r="L33" i="39"/>
  <c r="N33" i="39" s="1"/>
  <c r="B33" i="39"/>
  <c r="Z32" i="39"/>
  <c r="X32" i="39"/>
  <c r="N32" i="39"/>
  <c r="L32" i="39"/>
  <c r="F32" i="39"/>
  <c r="B32" i="39"/>
  <c r="X31" i="39"/>
  <c r="Z31" i="39" s="1"/>
  <c r="N31" i="39"/>
  <c r="L31" i="39"/>
  <c r="J31" i="39"/>
  <c r="B31" i="39"/>
  <c r="X30" i="39"/>
  <c r="Z30" i="39" s="1"/>
  <c r="L30" i="39"/>
  <c r="N30" i="39" s="1"/>
  <c r="B30" i="39"/>
  <c r="X29" i="39"/>
  <c r="Z29" i="39" s="1"/>
  <c r="N29" i="39"/>
  <c r="L29" i="39"/>
  <c r="B29" i="39"/>
  <c r="T28" i="39"/>
  <c r="P28" i="39"/>
  <c r="J28" i="39"/>
  <c r="H28" i="39"/>
  <c r="N28" i="39" s="1"/>
  <c r="D28" i="39"/>
  <c r="L28" i="39" s="1"/>
  <c r="B28" i="39"/>
  <c r="T27" i="39"/>
  <c r="Z27" i="39" s="1"/>
  <c r="P27" i="39"/>
  <c r="X27" i="39" s="1"/>
  <c r="H27" i="39"/>
  <c r="D27" i="39"/>
  <c r="L27" i="39" s="1"/>
  <c r="N27" i="39" s="1"/>
  <c r="Z23" i="39"/>
  <c r="X23" i="39"/>
  <c r="N23" i="39"/>
  <c r="L23" i="39"/>
  <c r="J23" i="39"/>
  <c r="B23" i="39"/>
  <c r="Z22" i="39"/>
  <c r="X22" i="39"/>
  <c r="N22" i="39"/>
  <c r="L22" i="39"/>
  <c r="B22" i="39"/>
  <c r="X21" i="39"/>
  <c r="Z21" i="39" s="1"/>
  <c r="N21" i="39"/>
  <c r="L21" i="39"/>
  <c r="B21" i="39"/>
  <c r="T20" i="39"/>
  <c r="P20" i="39"/>
  <c r="J20" i="39"/>
  <c r="H20" i="39"/>
  <c r="D20" i="39"/>
  <c r="L20" i="39" s="1"/>
  <c r="Z18" i="39"/>
  <c r="P18" i="39"/>
  <c r="X18" i="39" s="1"/>
  <c r="N18" i="39"/>
  <c r="L18" i="39"/>
  <c r="D18" i="39"/>
  <c r="B18" i="39"/>
  <c r="Z17" i="39"/>
  <c r="X17" i="39"/>
  <c r="P17" i="39"/>
  <c r="N17" i="39"/>
  <c r="D17" i="39"/>
  <c r="L17" i="39" s="1"/>
  <c r="B17" i="39"/>
  <c r="X16" i="39"/>
  <c r="Z16" i="39" s="1"/>
  <c r="P16" i="39"/>
  <c r="D16" i="39"/>
  <c r="L16" i="39" s="1"/>
  <c r="N16" i="39" s="1"/>
  <c r="B16" i="39"/>
  <c r="Z15" i="39"/>
  <c r="P15" i="39"/>
  <c r="X15" i="39" s="1"/>
  <c r="N15" i="39"/>
  <c r="D15" i="39"/>
  <c r="L15" i="39" s="1"/>
  <c r="B15" i="39"/>
  <c r="Z14" i="39"/>
  <c r="P14" i="39"/>
  <c r="X14" i="39" s="1"/>
  <c r="N14" i="39"/>
  <c r="L14" i="39"/>
  <c r="D14" i="39"/>
  <c r="B14" i="39"/>
  <c r="X13" i="39"/>
  <c r="Z13" i="39" s="1"/>
  <c r="P13" i="39"/>
  <c r="L13" i="39"/>
  <c r="N13" i="39" s="1"/>
  <c r="D13" i="39"/>
  <c r="D12" i="39" s="1"/>
  <c r="F79" i="39" s="1"/>
  <c r="B13" i="39"/>
  <c r="T12" i="39"/>
  <c r="V93" i="39" s="1"/>
  <c r="L12" i="39"/>
  <c r="N12" i="39" s="1"/>
  <c r="H12" i="39"/>
  <c r="J69" i="39" s="1"/>
  <c r="D4" i="39"/>
  <c r="B39" i="38"/>
  <c r="B38" i="38"/>
  <c r="T34" i="38"/>
  <c r="Z34" i="38" s="1"/>
  <c r="P34" i="38"/>
  <c r="H34" i="38"/>
  <c r="N34" i="38" s="1"/>
  <c r="D34" i="38"/>
  <c r="L34" i="38" s="1"/>
  <c r="T33" i="38"/>
  <c r="Z33" i="38" s="1"/>
  <c r="P33" i="38"/>
  <c r="H33" i="38"/>
  <c r="N33" i="38" s="1"/>
  <c r="D33" i="38"/>
  <c r="T29" i="38"/>
  <c r="Z29" i="38" s="1"/>
  <c r="P29" i="38"/>
  <c r="H29" i="38"/>
  <c r="N29" i="38" s="1"/>
  <c r="D29" i="38"/>
  <c r="L29" i="38" s="1"/>
  <c r="T25" i="38"/>
  <c r="Z25" i="38" s="1"/>
  <c r="P25" i="38"/>
  <c r="H25" i="38"/>
  <c r="D25" i="38"/>
  <c r="B25" i="38"/>
  <c r="T24" i="38"/>
  <c r="Z24" i="38" s="1"/>
  <c r="P24" i="38"/>
  <c r="H24" i="38"/>
  <c r="N24" i="38" s="1"/>
  <c r="D24" i="38"/>
  <c r="T22" i="38"/>
  <c r="Z22" i="38" s="1"/>
  <c r="P22" i="38"/>
  <c r="H22" i="38"/>
  <c r="D22" i="38"/>
  <c r="B22" i="38"/>
  <c r="T21" i="38"/>
  <c r="Z21" i="38" s="1"/>
  <c r="P21" i="38"/>
  <c r="H21" i="38"/>
  <c r="N21" i="38" s="1"/>
  <c r="D21" i="38"/>
  <c r="B21" i="38"/>
  <c r="T20" i="38"/>
  <c r="Z20" i="38" s="1"/>
  <c r="P20" i="38"/>
  <c r="H20" i="38"/>
  <c r="N20" i="38" s="1"/>
  <c r="D20" i="38"/>
  <c r="T16" i="38"/>
  <c r="Z16" i="38" s="1"/>
  <c r="P16" i="38"/>
  <c r="H16" i="38"/>
  <c r="N16" i="38" s="1"/>
  <c r="D16" i="38"/>
  <c r="B16" i="38"/>
  <c r="T15" i="38"/>
  <c r="Z15" i="38" s="1"/>
  <c r="P15" i="38"/>
  <c r="H15" i="38"/>
  <c r="N15" i="38" s="1"/>
  <c r="D15" i="38"/>
  <c r="L15" i="38" s="1"/>
  <c r="T13" i="38"/>
  <c r="Z13" i="38" s="1"/>
  <c r="P13" i="38"/>
  <c r="H13" i="38"/>
  <c r="D13" i="38"/>
  <c r="B13" i="38"/>
  <c r="T12" i="38"/>
  <c r="V22" i="38" s="1"/>
  <c r="P12" i="38"/>
  <c r="R16" i="38" s="1"/>
  <c r="H12" i="38"/>
  <c r="J20" i="38" s="1"/>
  <c r="D12" i="38"/>
  <c r="F22" i="38" s="1"/>
  <c r="D5" i="38"/>
  <c r="D4" i="38"/>
  <c r="B39" i="37"/>
  <c r="B38" i="37"/>
  <c r="T34" i="37"/>
  <c r="Z34" i="37" s="1"/>
  <c r="P34" i="37"/>
  <c r="H34" i="37"/>
  <c r="N34" i="37" s="1"/>
  <c r="D34" i="37"/>
  <c r="T33" i="37"/>
  <c r="Z33" i="37" s="1"/>
  <c r="P33" i="37"/>
  <c r="H33" i="37"/>
  <c r="D33" i="37"/>
  <c r="T29" i="37"/>
  <c r="Z29" i="37" s="1"/>
  <c r="P29" i="37"/>
  <c r="H29" i="37"/>
  <c r="D29" i="37"/>
  <c r="T25" i="37"/>
  <c r="Z25" i="37" s="1"/>
  <c r="P25" i="37"/>
  <c r="H25" i="37"/>
  <c r="D25" i="37"/>
  <c r="B25" i="37"/>
  <c r="T24" i="37"/>
  <c r="P24" i="37"/>
  <c r="H24" i="37"/>
  <c r="N24" i="37" s="1"/>
  <c r="D24" i="37"/>
  <c r="T22" i="37"/>
  <c r="Z22" i="37" s="1"/>
  <c r="P22" i="37"/>
  <c r="H22" i="37"/>
  <c r="N22" i="37" s="1"/>
  <c r="D22" i="37"/>
  <c r="B22" i="37"/>
  <c r="T21" i="37"/>
  <c r="P21" i="37"/>
  <c r="H21" i="37"/>
  <c r="N21" i="37" s="1"/>
  <c r="D21" i="37"/>
  <c r="B21" i="37"/>
  <c r="T20" i="37"/>
  <c r="Z20" i="37" s="1"/>
  <c r="P20" i="37"/>
  <c r="H20" i="37"/>
  <c r="N20" i="37" s="1"/>
  <c r="D20" i="37"/>
  <c r="T16" i="37"/>
  <c r="Z16" i="37" s="1"/>
  <c r="P16" i="37"/>
  <c r="H16" i="37"/>
  <c r="N16" i="37" s="1"/>
  <c r="D16" i="37"/>
  <c r="B16" i="37"/>
  <c r="T15" i="37"/>
  <c r="Z15" i="37" s="1"/>
  <c r="P15" i="37"/>
  <c r="H15" i="37"/>
  <c r="D15" i="37"/>
  <c r="T13" i="37"/>
  <c r="Z13" i="37" s="1"/>
  <c r="P13" i="37"/>
  <c r="H13" i="37"/>
  <c r="N13" i="37" s="1"/>
  <c r="D13" i="37"/>
  <c r="B13" i="37"/>
  <c r="T12" i="37"/>
  <c r="P12" i="37"/>
  <c r="H12" i="37"/>
  <c r="J20" i="37" s="1"/>
  <c r="D12" i="37"/>
  <c r="F36" i="37" s="1"/>
  <c r="D5" i="37"/>
  <c r="D4" i="37"/>
  <c r="X122" i="36"/>
  <c r="Z122" i="36" s="1"/>
  <c r="V122" i="36"/>
  <c r="L122" i="36"/>
  <c r="N122" i="36" s="1"/>
  <c r="Z118" i="36"/>
  <c r="X118" i="36"/>
  <c r="P118" i="36"/>
  <c r="N118" i="36"/>
  <c r="L118" i="36"/>
  <c r="D118" i="36"/>
  <c r="B118" i="36"/>
  <c r="P117" i="36"/>
  <c r="X117" i="36" s="1"/>
  <c r="Z117" i="36" s="1"/>
  <c r="L117" i="36"/>
  <c r="N117" i="36" s="1"/>
  <c r="D117" i="36"/>
  <c r="B117" i="36"/>
  <c r="P116" i="36"/>
  <c r="X116" i="36" s="1"/>
  <c r="Z116" i="36" s="1"/>
  <c r="D116" i="36"/>
  <c r="L116" i="36" s="1"/>
  <c r="N116" i="36" s="1"/>
  <c r="B116" i="36"/>
  <c r="P115" i="36"/>
  <c r="P114" i="36" s="1"/>
  <c r="X114" i="36" s="1"/>
  <c r="N115" i="36"/>
  <c r="D115" i="36"/>
  <c r="L115" i="36" s="1"/>
  <c r="B115" i="36"/>
  <c r="V114" i="36"/>
  <c r="T114" i="36"/>
  <c r="Z114" i="36" s="1"/>
  <c r="H114" i="36"/>
  <c r="X112" i="36"/>
  <c r="Z112" i="36" s="1"/>
  <c r="L112" i="36"/>
  <c r="N112" i="36" s="1"/>
  <c r="J112" i="36"/>
  <c r="B112" i="36"/>
  <c r="T111" i="36"/>
  <c r="P111" i="36"/>
  <c r="X111" i="36" s="1"/>
  <c r="Z111" i="36" s="1"/>
  <c r="L111" i="36"/>
  <c r="H111" i="36"/>
  <c r="N111" i="36" s="1"/>
  <c r="D111" i="36"/>
  <c r="B111" i="36"/>
  <c r="Z110" i="36"/>
  <c r="X110" i="36"/>
  <c r="N110" i="36"/>
  <c r="L110" i="36"/>
  <c r="B110" i="36"/>
  <c r="Z109" i="36"/>
  <c r="X109" i="36"/>
  <c r="N109" i="36"/>
  <c r="L109" i="36"/>
  <c r="B109" i="36"/>
  <c r="T108" i="36"/>
  <c r="Z108" i="36" s="1"/>
  <c r="P108" i="36"/>
  <c r="X108" i="36" s="1"/>
  <c r="N108" i="36"/>
  <c r="H108" i="36"/>
  <c r="D108" i="36"/>
  <c r="L108" i="36" s="1"/>
  <c r="B108" i="36"/>
  <c r="X107" i="36"/>
  <c r="Z107" i="36" s="1"/>
  <c r="N107" i="36"/>
  <c r="L107" i="36"/>
  <c r="B107" i="36"/>
  <c r="T106" i="36"/>
  <c r="P106" i="36"/>
  <c r="X106" i="36" s="1"/>
  <c r="Z106" i="36" s="1"/>
  <c r="L106" i="36"/>
  <c r="J106" i="36"/>
  <c r="H106" i="36"/>
  <c r="N106" i="36" s="1"/>
  <c r="D106" i="36"/>
  <c r="B106" i="36"/>
  <c r="Z105" i="36"/>
  <c r="X105" i="36"/>
  <c r="N105" i="36"/>
  <c r="L105" i="36"/>
  <c r="B105" i="36"/>
  <c r="X104" i="36"/>
  <c r="Z104" i="36" s="1"/>
  <c r="V104" i="36"/>
  <c r="L104" i="36"/>
  <c r="N104" i="36" s="1"/>
  <c r="B104" i="36"/>
  <c r="X103" i="36"/>
  <c r="Z103" i="36" s="1"/>
  <c r="T103" i="36"/>
  <c r="P103" i="36"/>
  <c r="H103" i="36"/>
  <c r="D103" i="36"/>
  <c r="B103" i="36"/>
  <c r="X102" i="36"/>
  <c r="Z102" i="36" s="1"/>
  <c r="N102" i="36"/>
  <c r="L102" i="36"/>
  <c r="B102" i="36"/>
  <c r="Z101" i="36"/>
  <c r="X101" i="36"/>
  <c r="N101" i="36"/>
  <c r="L101" i="36"/>
  <c r="B101" i="36"/>
  <c r="X100" i="36"/>
  <c r="Z100" i="36" s="1"/>
  <c r="V100" i="36"/>
  <c r="L100" i="36"/>
  <c r="N100" i="36" s="1"/>
  <c r="B100" i="36"/>
  <c r="X99" i="36"/>
  <c r="Z99" i="36" s="1"/>
  <c r="N99" i="36"/>
  <c r="L99" i="36"/>
  <c r="B99" i="36"/>
  <c r="Z98" i="36"/>
  <c r="X98" i="36"/>
  <c r="L98" i="36"/>
  <c r="N98" i="36" s="1"/>
  <c r="B98" i="36"/>
  <c r="X97" i="36"/>
  <c r="Z97" i="36" s="1"/>
  <c r="N97" i="36"/>
  <c r="L97" i="36"/>
  <c r="B97" i="36"/>
  <c r="X96" i="36"/>
  <c r="Z96" i="36" s="1"/>
  <c r="L96" i="36"/>
  <c r="N96" i="36" s="1"/>
  <c r="J96" i="36"/>
  <c r="B96" i="36"/>
  <c r="Z95" i="36"/>
  <c r="X95" i="36"/>
  <c r="L95" i="36"/>
  <c r="N95" i="36" s="1"/>
  <c r="B95" i="36"/>
  <c r="X94" i="36"/>
  <c r="Z94" i="36" s="1"/>
  <c r="N94" i="36"/>
  <c r="L94" i="36"/>
  <c r="B94" i="36"/>
  <c r="Z93" i="36"/>
  <c r="X93" i="36"/>
  <c r="L93" i="36"/>
  <c r="N93" i="36" s="1"/>
  <c r="B93" i="36"/>
  <c r="V92" i="36"/>
  <c r="T92" i="36"/>
  <c r="P92" i="36"/>
  <c r="X92" i="36" s="1"/>
  <c r="L92" i="36"/>
  <c r="H92" i="36"/>
  <c r="N92" i="36" s="1"/>
  <c r="D92" i="36"/>
  <c r="B92" i="36"/>
  <c r="Z91" i="36"/>
  <c r="X91" i="36"/>
  <c r="L91" i="36"/>
  <c r="N91" i="36" s="1"/>
  <c r="B91" i="36"/>
  <c r="X90" i="36"/>
  <c r="Z90" i="36" s="1"/>
  <c r="N90" i="36"/>
  <c r="L90" i="36"/>
  <c r="B90" i="36"/>
  <c r="T89" i="36"/>
  <c r="P89" i="36"/>
  <c r="X89" i="36" s="1"/>
  <c r="H89" i="36"/>
  <c r="D89" i="36"/>
  <c r="L89" i="36" s="1"/>
  <c r="N89" i="36" s="1"/>
  <c r="B89" i="36"/>
  <c r="X88" i="36"/>
  <c r="Z88" i="36" s="1"/>
  <c r="L88" i="36"/>
  <c r="N88" i="36" s="1"/>
  <c r="J88" i="36"/>
  <c r="B88" i="36"/>
  <c r="Z87" i="36"/>
  <c r="X87" i="36"/>
  <c r="L87" i="36"/>
  <c r="N87" i="36" s="1"/>
  <c r="B87" i="36"/>
  <c r="X86" i="36"/>
  <c r="Z86" i="36" s="1"/>
  <c r="N86" i="36"/>
  <c r="L86" i="36"/>
  <c r="B86" i="36"/>
  <c r="Z85" i="36"/>
  <c r="X85" i="36"/>
  <c r="L85" i="36"/>
  <c r="N85" i="36" s="1"/>
  <c r="B85" i="36"/>
  <c r="X84" i="36"/>
  <c r="Z84" i="36" s="1"/>
  <c r="V84" i="36"/>
  <c r="N84" i="36"/>
  <c r="L84" i="36"/>
  <c r="B84" i="36"/>
  <c r="X83" i="36"/>
  <c r="T83" i="36"/>
  <c r="Z83" i="36" s="1"/>
  <c r="P83" i="36"/>
  <c r="H83" i="36"/>
  <c r="D83" i="36"/>
  <c r="L83" i="36" s="1"/>
  <c r="B83" i="36"/>
  <c r="Z82" i="36"/>
  <c r="X82" i="36"/>
  <c r="N82" i="36"/>
  <c r="L82" i="36"/>
  <c r="B82" i="36"/>
  <c r="T81" i="36"/>
  <c r="Z81" i="36" s="1"/>
  <c r="P81" i="36"/>
  <c r="X81" i="36" s="1"/>
  <c r="N81" i="36"/>
  <c r="J81" i="36"/>
  <c r="H81" i="36"/>
  <c r="D81" i="36"/>
  <c r="L81" i="36" s="1"/>
  <c r="B81" i="36"/>
  <c r="Z80" i="36"/>
  <c r="X80" i="36"/>
  <c r="L80" i="36"/>
  <c r="N80" i="36" s="1"/>
  <c r="J80" i="36"/>
  <c r="B80" i="36"/>
  <c r="X79" i="36"/>
  <c r="Z79" i="36" s="1"/>
  <c r="L79" i="36"/>
  <c r="N79" i="36" s="1"/>
  <c r="B79" i="36"/>
  <c r="X78" i="36"/>
  <c r="Z78" i="36" s="1"/>
  <c r="N78" i="36"/>
  <c r="L78" i="36"/>
  <c r="B78" i="36"/>
  <c r="Z77" i="36"/>
  <c r="X77" i="36"/>
  <c r="L77" i="36"/>
  <c r="N77" i="36" s="1"/>
  <c r="B77" i="36"/>
  <c r="V76" i="36"/>
  <c r="T76" i="36"/>
  <c r="Z76" i="36" s="1"/>
  <c r="P76" i="36"/>
  <c r="X76" i="36" s="1"/>
  <c r="L76" i="36"/>
  <c r="N76" i="36" s="1"/>
  <c r="H76" i="36"/>
  <c r="D76" i="36"/>
  <c r="B76" i="36"/>
  <c r="X75" i="36"/>
  <c r="Z75" i="36" s="1"/>
  <c r="L75" i="36"/>
  <c r="N75" i="36" s="1"/>
  <c r="B75" i="36"/>
  <c r="X74" i="36"/>
  <c r="Z74" i="36" s="1"/>
  <c r="T74" i="36"/>
  <c r="P74" i="36"/>
  <c r="H74" i="36"/>
  <c r="D74" i="36"/>
  <c r="B74" i="36"/>
  <c r="X73" i="36"/>
  <c r="Z73" i="36" s="1"/>
  <c r="N73" i="36"/>
  <c r="L73" i="36"/>
  <c r="B73" i="36"/>
  <c r="T72" i="36"/>
  <c r="P72" i="36"/>
  <c r="N72" i="36"/>
  <c r="H72" i="36"/>
  <c r="D72" i="36"/>
  <c r="L72" i="36" s="1"/>
  <c r="B72" i="36"/>
  <c r="X71" i="36"/>
  <c r="Z71" i="36" s="1"/>
  <c r="N71" i="36"/>
  <c r="L71" i="36"/>
  <c r="J71" i="36"/>
  <c r="B71" i="36"/>
  <c r="T70" i="36"/>
  <c r="P70" i="36"/>
  <c r="X70" i="36" s="1"/>
  <c r="Z70" i="36" s="1"/>
  <c r="J70" i="36"/>
  <c r="H70" i="36"/>
  <c r="N70" i="36" s="1"/>
  <c r="D70" i="36"/>
  <c r="L70" i="36" s="1"/>
  <c r="B70" i="36"/>
  <c r="Z69" i="36"/>
  <c r="X69" i="36"/>
  <c r="L69" i="36"/>
  <c r="N69" i="36" s="1"/>
  <c r="B69" i="36"/>
  <c r="V68" i="36"/>
  <c r="T68" i="36"/>
  <c r="P68" i="36"/>
  <c r="X68" i="36" s="1"/>
  <c r="L68" i="36"/>
  <c r="N68" i="36" s="1"/>
  <c r="H68" i="36"/>
  <c r="D68" i="36"/>
  <c r="B68" i="36"/>
  <c r="Z67" i="36"/>
  <c r="X67" i="36"/>
  <c r="L67" i="36"/>
  <c r="N67" i="36" s="1"/>
  <c r="B67" i="36"/>
  <c r="X66" i="36"/>
  <c r="Z66" i="36" s="1"/>
  <c r="N66" i="36"/>
  <c r="L66" i="36"/>
  <c r="B66" i="36"/>
  <c r="T65" i="36"/>
  <c r="P65" i="36"/>
  <c r="J65" i="36"/>
  <c r="H65" i="36"/>
  <c r="D65" i="36"/>
  <c r="L65" i="36" s="1"/>
  <c r="N65" i="36" s="1"/>
  <c r="B65" i="36"/>
  <c r="X64" i="36"/>
  <c r="Z64" i="36" s="1"/>
  <c r="L64" i="36"/>
  <c r="N64" i="36" s="1"/>
  <c r="J64" i="36"/>
  <c r="B64" i="36"/>
  <c r="V63" i="36"/>
  <c r="T63" i="36"/>
  <c r="P63" i="36"/>
  <c r="X63" i="36" s="1"/>
  <c r="Z63" i="36" s="1"/>
  <c r="L63" i="36"/>
  <c r="N63" i="36" s="1"/>
  <c r="H63" i="36"/>
  <c r="D63" i="36"/>
  <c r="B63" i="36"/>
  <c r="Z62" i="36"/>
  <c r="X62" i="36"/>
  <c r="L62" i="36"/>
  <c r="N62" i="36" s="1"/>
  <c r="B62" i="36"/>
  <c r="X61" i="36"/>
  <c r="Z61" i="36" s="1"/>
  <c r="T61" i="36"/>
  <c r="P61" i="36"/>
  <c r="L61" i="36"/>
  <c r="H61" i="36"/>
  <c r="D61" i="36"/>
  <c r="B61" i="36"/>
  <c r="X60" i="36"/>
  <c r="Z60" i="36" s="1"/>
  <c r="V60" i="36"/>
  <c r="N60" i="36"/>
  <c r="L60" i="36"/>
  <c r="B60" i="36"/>
  <c r="X59" i="36"/>
  <c r="T59" i="36"/>
  <c r="Z59" i="36" s="1"/>
  <c r="P59" i="36"/>
  <c r="H59" i="36"/>
  <c r="D59" i="36"/>
  <c r="B59" i="36"/>
  <c r="X58" i="36"/>
  <c r="Z58" i="36" s="1"/>
  <c r="N58" i="36"/>
  <c r="L58" i="36"/>
  <c r="B58" i="36"/>
  <c r="Z57" i="36"/>
  <c r="X57" i="36"/>
  <c r="N57" i="36"/>
  <c r="L57" i="36"/>
  <c r="B57" i="36"/>
  <c r="V56" i="36"/>
  <c r="T56" i="36"/>
  <c r="P56" i="36"/>
  <c r="X56" i="36" s="1"/>
  <c r="L56" i="36"/>
  <c r="N56" i="36" s="1"/>
  <c r="H56" i="36"/>
  <c r="D56" i="36"/>
  <c r="B56" i="36"/>
  <c r="X55" i="36"/>
  <c r="Z55" i="36" s="1"/>
  <c r="V55" i="36"/>
  <c r="L55" i="36"/>
  <c r="N55" i="36" s="1"/>
  <c r="B55" i="36"/>
  <c r="X54" i="36"/>
  <c r="Z54" i="36" s="1"/>
  <c r="T54" i="36"/>
  <c r="P54" i="36"/>
  <c r="H54" i="36"/>
  <c r="D54" i="36"/>
  <c r="B54" i="36"/>
  <c r="X53" i="36"/>
  <c r="Z53" i="36" s="1"/>
  <c r="N53" i="36"/>
  <c r="L53" i="36"/>
  <c r="B53" i="36"/>
  <c r="T52" i="36"/>
  <c r="P52" i="36"/>
  <c r="N52" i="36"/>
  <c r="H52" i="36"/>
  <c r="D52" i="36"/>
  <c r="L52" i="36" s="1"/>
  <c r="B52" i="36"/>
  <c r="X51" i="36"/>
  <c r="Z51" i="36" s="1"/>
  <c r="N51" i="36"/>
  <c r="L51" i="36"/>
  <c r="J51" i="36"/>
  <c r="B51" i="36"/>
  <c r="T50" i="36"/>
  <c r="P50" i="36"/>
  <c r="X50" i="36" s="1"/>
  <c r="Z50" i="36" s="1"/>
  <c r="J50" i="36"/>
  <c r="H50" i="36"/>
  <c r="N50" i="36" s="1"/>
  <c r="D50" i="36"/>
  <c r="L50" i="36" s="1"/>
  <c r="B50" i="36"/>
  <c r="Z49" i="36"/>
  <c r="X49" i="36"/>
  <c r="N49" i="36"/>
  <c r="L49" i="36"/>
  <c r="B49" i="36"/>
  <c r="Z48" i="36"/>
  <c r="X48" i="36"/>
  <c r="V48" i="36"/>
  <c r="N48" i="36"/>
  <c r="L48" i="36"/>
  <c r="B48" i="36"/>
  <c r="X47" i="36"/>
  <c r="Z47" i="36" s="1"/>
  <c r="N47" i="36"/>
  <c r="L47" i="36"/>
  <c r="J47" i="36"/>
  <c r="B47" i="36"/>
  <c r="Z46" i="36"/>
  <c r="X46" i="36"/>
  <c r="L46" i="36"/>
  <c r="N46" i="36" s="1"/>
  <c r="B46" i="36"/>
  <c r="Z45" i="36"/>
  <c r="X45" i="36"/>
  <c r="N45" i="36"/>
  <c r="L45" i="36"/>
  <c r="B45" i="36"/>
  <c r="X44" i="36"/>
  <c r="Z44" i="36" s="1"/>
  <c r="L44" i="36"/>
  <c r="N44" i="36" s="1"/>
  <c r="J44" i="36"/>
  <c r="B44" i="36"/>
  <c r="Z43" i="36"/>
  <c r="X43" i="36"/>
  <c r="V43" i="36"/>
  <c r="L43" i="36"/>
  <c r="N43" i="36" s="1"/>
  <c r="B43" i="36"/>
  <c r="Z42" i="36"/>
  <c r="X42" i="36"/>
  <c r="N42" i="36"/>
  <c r="L42" i="36"/>
  <c r="B42" i="36"/>
  <c r="Z41" i="36"/>
  <c r="X41" i="36"/>
  <c r="N41" i="36"/>
  <c r="L41" i="36"/>
  <c r="B41" i="36"/>
  <c r="X40" i="36"/>
  <c r="Z40" i="36" s="1"/>
  <c r="V40" i="36"/>
  <c r="L40" i="36"/>
  <c r="N40" i="36" s="1"/>
  <c r="B40" i="36"/>
  <c r="X39" i="36"/>
  <c r="T39" i="36"/>
  <c r="P39" i="36"/>
  <c r="H39" i="36"/>
  <c r="D39" i="36"/>
  <c r="L39" i="36" s="1"/>
  <c r="B39" i="36"/>
  <c r="X38" i="36"/>
  <c r="Z38" i="36" s="1"/>
  <c r="N38" i="36"/>
  <c r="L38" i="36"/>
  <c r="B38" i="36"/>
  <c r="Z37" i="36"/>
  <c r="X37" i="36"/>
  <c r="L37" i="36"/>
  <c r="N37" i="36" s="1"/>
  <c r="B37" i="36"/>
  <c r="X36" i="36"/>
  <c r="Z36" i="36" s="1"/>
  <c r="V36" i="36"/>
  <c r="L36" i="36"/>
  <c r="N36" i="36" s="1"/>
  <c r="B36" i="36"/>
  <c r="Z35" i="36"/>
  <c r="X35" i="36"/>
  <c r="N35" i="36"/>
  <c r="L35" i="36"/>
  <c r="J35" i="36"/>
  <c r="B35" i="36"/>
  <c r="Z34" i="36"/>
  <c r="X34" i="36"/>
  <c r="N34" i="36"/>
  <c r="L34" i="36"/>
  <c r="B34" i="36"/>
  <c r="X33" i="36"/>
  <c r="Z33" i="36" s="1"/>
  <c r="N33" i="36"/>
  <c r="L33" i="36"/>
  <c r="B33" i="36"/>
  <c r="X32" i="36"/>
  <c r="Z32" i="36" s="1"/>
  <c r="L32" i="36"/>
  <c r="N32" i="36" s="1"/>
  <c r="J32" i="36"/>
  <c r="B32" i="36"/>
  <c r="Z31" i="36"/>
  <c r="X31" i="36"/>
  <c r="V31" i="36"/>
  <c r="L31" i="36"/>
  <c r="N31" i="36" s="1"/>
  <c r="B31" i="36"/>
  <c r="X30" i="36"/>
  <c r="Z30" i="36" s="1"/>
  <c r="N30" i="36"/>
  <c r="L30" i="36"/>
  <c r="B30" i="36"/>
  <c r="Z29" i="36"/>
  <c r="X29" i="36"/>
  <c r="L29" i="36"/>
  <c r="N29" i="36" s="1"/>
  <c r="B29" i="36"/>
  <c r="V28" i="36"/>
  <c r="T28" i="36"/>
  <c r="Z28" i="36" s="1"/>
  <c r="P28" i="36"/>
  <c r="X28" i="36" s="1"/>
  <c r="L28" i="36"/>
  <c r="N28" i="36" s="1"/>
  <c r="H28" i="36"/>
  <c r="D28" i="36"/>
  <c r="B28" i="36"/>
  <c r="V27" i="36"/>
  <c r="T27" i="36"/>
  <c r="P27" i="36"/>
  <c r="X27" i="36" s="1"/>
  <c r="H27" i="36"/>
  <c r="N27" i="36" s="1"/>
  <c r="D27" i="36"/>
  <c r="L27" i="36" s="1"/>
  <c r="H25" i="36"/>
  <c r="Z23" i="36"/>
  <c r="X23" i="36"/>
  <c r="V23" i="36"/>
  <c r="N23" i="36"/>
  <c r="L23" i="36"/>
  <c r="B23" i="36"/>
  <c r="Z22" i="36"/>
  <c r="X22" i="36"/>
  <c r="N22" i="36"/>
  <c r="L22" i="36"/>
  <c r="B22" i="36"/>
  <c r="Z21" i="36"/>
  <c r="X21" i="36"/>
  <c r="N21" i="36"/>
  <c r="L21" i="36"/>
  <c r="J21" i="36"/>
  <c r="B21" i="36"/>
  <c r="V20" i="36"/>
  <c r="T20" i="36"/>
  <c r="P20" i="36"/>
  <c r="X20" i="36" s="1"/>
  <c r="Z20" i="36" s="1"/>
  <c r="L20" i="36"/>
  <c r="N20" i="36" s="1"/>
  <c r="J20" i="36"/>
  <c r="H20" i="36"/>
  <c r="D20" i="36"/>
  <c r="Z18" i="36"/>
  <c r="P18" i="36"/>
  <c r="X18" i="36" s="1"/>
  <c r="N18" i="36"/>
  <c r="L18" i="36"/>
  <c r="D18" i="36"/>
  <c r="B18" i="36"/>
  <c r="Z17" i="36"/>
  <c r="P17" i="36"/>
  <c r="X17" i="36" s="1"/>
  <c r="N17" i="36"/>
  <c r="L17" i="36"/>
  <c r="D17" i="36"/>
  <c r="B17" i="36"/>
  <c r="Z16" i="36"/>
  <c r="X16" i="36"/>
  <c r="P16" i="36"/>
  <c r="D16" i="36"/>
  <c r="L16" i="36" s="1"/>
  <c r="N16" i="36" s="1"/>
  <c r="B16" i="36"/>
  <c r="Z15" i="36"/>
  <c r="X15" i="36"/>
  <c r="P15" i="36"/>
  <c r="N15" i="36"/>
  <c r="D15" i="36"/>
  <c r="L15" i="36" s="1"/>
  <c r="B15" i="36"/>
  <c r="Z14" i="36"/>
  <c r="P14" i="36"/>
  <c r="N14" i="36"/>
  <c r="D14" i="36"/>
  <c r="L14" i="36" s="1"/>
  <c r="B14" i="36"/>
  <c r="Z13" i="36"/>
  <c r="X13" i="36"/>
  <c r="P13" i="36"/>
  <c r="N13" i="36"/>
  <c r="L13" i="36"/>
  <c r="D13" i="36"/>
  <c r="B13" i="36"/>
  <c r="T12" i="36"/>
  <c r="V107" i="36" s="1"/>
  <c r="H12" i="36"/>
  <c r="J118" i="36" s="1"/>
  <c r="D4" i="36"/>
  <c r="B39" i="35"/>
  <c r="B38" i="35"/>
  <c r="T34" i="35"/>
  <c r="Z34" i="35" s="1"/>
  <c r="P34" i="35"/>
  <c r="H34" i="35"/>
  <c r="N34" i="35" s="1"/>
  <c r="D34" i="35"/>
  <c r="T33" i="35"/>
  <c r="Z33" i="35" s="1"/>
  <c r="P33" i="35"/>
  <c r="H33" i="35"/>
  <c r="D33" i="35"/>
  <c r="T29" i="35"/>
  <c r="Z29" i="35" s="1"/>
  <c r="P29" i="35"/>
  <c r="H29" i="35"/>
  <c r="D29" i="35"/>
  <c r="T25" i="35"/>
  <c r="Z25" i="35" s="1"/>
  <c r="P25" i="35"/>
  <c r="H25" i="35"/>
  <c r="D25" i="35"/>
  <c r="B25" i="35"/>
  <c r="T24" i="35"/>
  <c r="Z24" i="35" s="1"/>
  <c r="P24" i="35"/>
  <c r="H24" i="35"/>
  <c r="N24" i="35" s="1"/>
  <c r="D24" i="35"/>
  <c r="T22" i="35"/>
  <c r="Z22" i="35" s="1"/>
  <c r="P22" i="35"/>
  <c r="H22" i="35"/>
  <c r="N22" i="35" s="1"/>
  <c r="D22" i="35"/>
  <c r="B22" i="35"/>
  <c r="T21" i="35"/>
  <c r="P21" i="35"/>
  <c r="H21" i="35"/>
  <c r="N21" i="35" s="1"/>
  <c r="D21" i="35"/>
  <c r="B21" i="35"/>
  <c r="T20" i="35"/>
  <c r="Z20" i="35" s="1"/>
  <c r="P20" i="35"/>
  <c r="H20" i="35"/>
  <c r="N20" i="35" s="1"/>
  <c r="D20" i="35"/>
  <c r="T16" i="35"/>
  <c r="Z16" i="35" s="1"/>
  <c r="P16" i="35"/>
  <c r="H16" i="35"/>
  <c r="N16" i="35" s="1"/>
  <c r="D16" i="35"/>
  <c r="B16" i="35"/>
  <c r="T15" i="35"/>
  <c r="Z15" i="35" s="1"/>
  <c r="P15" i="35"/>
  <c r="H15" i="35"/>
  <c r="D15" i="35"/>
  <c r="T13" i="35"/>
  <c r="Z13" i="35" s="1"/>
  <c r="P13" i="35"/>
  <c r="H13" i="35"/>
  <c r="N13" i="35" s="1"/>
  <c r="D13" i="35"/>
  <c r="B13" i="35"/>
  <c r="T12" i="35"/>
  <c r="V36" i="35" s="1"/>
  <c r="P12" i="35"/>
  <c r="H12" i="35"/>
  <c r="N12" i="35" s="1"/>
  <c r="D12" i="35"/>
  <c r="F36" i="35" s="1"/>
  <c r="D5" i="35"/>
  <c r="D4" i="35"/>
  <c r="Z129" i="34"/>
  <c r="X129" i="34"/>
  <c r="V129" i="34"/>
  <c r="L129" i="34"/>
  <c r="N129" i="34" s="1"/>
  <c r="Z125" i="34"/>
  <c r="P125" i="34"/>
  <c r="X125" i="34" s="1"/>
  <c r="N125" i="34"/>
  <c r="L125" i="34"/>
  <c r="D125" i="34"/>
  <c r="B125" i="34"/>
  <c r="Z124" i="34"/>
  <c r="X124" i="34"/>
  <c r="P124" i="34"/>
  <c r="N124" i="34"/>
  <c r="D124" i="34"/>
  <c r="L124" i="34" s="1"/>
  <c r="B124" i="34"/>
  <c r="Z123" i="34"/>
  <c r="P123" i="34"/>
  <c r="X123" i="34" s="1"/>
  <c r="N123" i="34"/>
  <c r="L123" i="34"/>
  <c r="D123" i="34"/>
  <c r="B123" i="34"/>
  <c r="T122" i="34"/>
  <c r="P122" i="34"/>
  <c r="X122" i="34" s="1"/>
  <c r="H122" i="34"/>
  <c r="D122" i="34"/>
  <c r="L122" i="34" s="1"/>
  <c r="X120" i="34"/>
  <c r="Z120" i="34" s="1"/>
  <c r="L120" i="34"/>
  <c r="N120" i="34" s="1"/>
  <c r="B120" i="34"/>
  <c r="T119" i="34"/>
  <c r="P119" i="34"/>
  <c r="X119" i="34" s="1"/>
  <c r="Z119" i="34" s="1"/>
  <c r="J119" i="34"/>
  <c r="H119" i="34"/>
  <c r="D119" i="34"/>
  <c r="L119" i="34" s="1"/>
  <c r="N119" i="34" s="1"/>
  <c r="B119" i="34"/>
  <c r="Z118" i="34"/>
  <c r="X118" i="34"/>
  <c r="L118" i="34"/>
  <c r="N118" i="34" s="1"/>
  <c r="B118" i="34"/>
  <c r="Z117" i="34"/>
  <c r="X117" i="34"/>
  <c r="V117" i="34"/>
  <c r="L117" i="34"/>
  <c r="N117" i="34" s="1"/>
  <c r="B117" i="34"/>
  <c r="X116" i="34"/>
  <c r="T116" i="34"/>
  <c r="Z116" i="34" s="1"/>
  <c r="P116" i="34"/>
  <c r="H116" i="34"/>
  <c r="D116" i="34"/>
  <c r="B116" i="34"/>
  <c r="X115" i="34"/>
  <c r="Z115" i="34" s="1"/>
  <c r="N115" i="34"/>
  <c r="L115" i="34"/>
  <c r="B115" i="34"/>
  <c r="T114" i="34"/>
  <c r="P114" i="34"/>
  <c r="H114" i="34"/>
  <c r="D114" i="34"/>
  <c r="L114" i="34" s="1"/>
  <c r="B114" i="34"/>
  <c r="X113" i="34"/>
  <c r="Z113" i="34" s="1"/>
  <c r="N113" i="34"/>
  <c r="L113" i="34"/>
  <c r="J113" i="34"/>
  <c r="B113" i="34"/>
  <c r="Z112" i="34"/>
  <c r="X112" i="34"/>
  <c r="N112" i="34"/>
  <c r="L112" i="34"/>
  <c r="B112" i="34"/>
  <c r="X111" i="34"/>
  <c r="Z111" i="34" s="1"/>
  <c r="N111" i="34"/>
  <c r="L111" i="34"/>
  <c r="B111" i="34"/>
  <c r="Z110" i="34"/>
  <c r="X110" i="34"/>
  <c r="L110" i="34"/>
  <c r="N110" i="34" s="1"/>
  <c r="B110" i="34"/>
  <c r="Z109" i="34"/>
  <c r="X109" i="34"/>
  <c r="V109" i="34"/>
  <c r="L109" i="34"/>
  <c r="N109" i="34" s="1"/>
  <c r="B109" i="34"/>
  <c r="Z108" i="34"/>
  <c r="X108" i="34"/>
  <c r="N108" i="34"/>
  <c r="L108" i="34"/>
  <c r="B108" i="34"/>
  <c r="T107" i="34"/>
  <c r="P107" i="34"/>
  <c r="X107" i="34" s="1"/>
  <c r="Z107" i="34" s="1"/>
  <c r="J107" i="34"/>
  <c r="H107" i="34"/>
  <c r="D107" i="34"/>
  <c r="L107" i="34" s="1"/>
  <c r="N107" i="34" s="1"/>
  <c r="B107" i="34"/>
  <c r="Z106" i="34"/>
  <c r="X106" i="34"/>
  <c r="L106" i="34"/>
  <c r="N106" i="34" s="1"/>
  <c r="B106" i="34"/>
  <c r="Z105" i="34"/>
  <c r="X105" i="34"/>
  <c r="V105" i="34"/>
  <c r="N105" i="34"/>
  <c r="L105" i="34"/>
  <c r="B105" i="34"/>
  <c r="X104" i="34"/>
  <c r="T104" i="34"/>
  <c r="P104" i="34"/>
  <c r="H104" i="34"/>
  <c r="D104" i="34"/>
  <c r="B104" i="34"/>
  <c r="Z103" i="34"/>
  <c r="X103" i="34"/>
  <c r="N103" i="34"/>
  <c r="L103" i="34"/>
  <c r="B103" i="34"/>
  <c r="Z102" i="34"/>
  <c r="X102" i="34"/>
  <c r="L102" i="34"/>
  <c r="N102" i="34" s="1"/>
  <c r="B102" i="34"/>
  <c r="Z101" i="34"/>
  <c r="X101" i="34"/>
  <c r="V101" i="34"/>
  <c r="N101" i="34"/>
  <c r="L101" i="34"/>
  <c r="B101" i="34"/>
  <c r="X100" i="34"/>
  <c r="T100" i="34"/>
  <c r="Z100" i="34" s="1"/>
  <c r="P100" i="34"/>
  <c r="H100" i="34"/>
  <c r="D100" i="34"/>
  <c r="B100" i="34"/>
  <c r="X99" i="34"/>
  <c r="Z99" i="34" s="1"/>
  <c r="N99" i="34"/>
  <c r="L99" i="34"/>
  <c r="B99" i="34"/>
  <c r="Z98" i="34"/>
  <c r="X98" i="34"/>
  <c r="L98" i="34"/>
  <c r="N98" i="34" s="1"/>
  <c r="B98" i="34"/>
  <c r="Z97" i="34"/>
  <c r="X97" i="34"/>
  <c r="V97" i="34"/>
  <c r="L97" i="34"/>
  <c r="N97" i="34" s="1"/>
  <c r="B97" i="34"/>
  <c r="X96" i="34"/>
  <c r="T96" i="34"/>
  <c r="Z96" i="34" s="1"/>
  <c r="P96" i="34"/>
  <c r="H96" i="34"/>
  <c r="D96" i="34"/>
  <c r="B96" i="34"/>
  <c r="X95" i="34"/>
  <c r="Z95" i="34" s="1"/>
  <c r="N95" i="34"/>
  <c r="L95" i="34"/>
  <c r="B95" i="34"/>
  <c r="Z94" i="34"/>
  <c r="X94" i="34"/>
  <c r="L94" i="34"/>
  <c r="N94" i="34" s="1"/>
  <c r="B94" i="34"/>
  <c r="V93" i="34"/>
  <c r="T93" i="34"/>
  <c r="P93" i="34"/>
  <c r="X93" i="34" s="1"/>
  <c r="Z93" i="34" s="1"/>
  <c r="L93" i="34"/>
  <c r="N93" i="34" s="1"/>
  <c r="H93" i="34"/>
  <c r="D93" i="34"/>
  <c r="B93" i="34"/>
  <c r="X92" i="34"/>
  <c r="Z92" i="34" s="1"/>
  <c r="L92" i="34"/>
  <c r="N92" i="34" s="1"/>
  <c r="B92" i="34"/>
  <c r="X91" i="34"/>
  <c r="Z91" i="34" s="1"/>
  <c r="T91" i="34"/>
  <c r="P91" i="34"/>
  <c r="H91" i="34"/>
  <c r="D91" i="34"/>
  <c r="B91" i="34"/>
  <c r="X90" i="34"/>
  <c r="Z90" i="34" s="1"/>
  <c r="N90" i="34"/>
  <c r="L90" i="34"/>
  <c r="B90" i="34"/>
  <c r="T89" i="34"/>
  <c r="P89" i="34"/>
  <c r="N89" i="34"/>
  <c r="H89" i="34"/>
  <c r="D89" i="34"/>
  <c r="L89" i="34" s="1"/>
  <c r="B89" i="34"/>
  <c r="X88" i="34"/>
  <c r="Z88" i="34" s="1"/>
  <c r="L88" i="34"/>
  <c r="N88" i="34" s="1"/>
  <c r="B88" i="34"/>
  <c r="T87" i="34"/>
  <c r="P87" i="34"/>
  <c r="X87" i="34" s="1"/>
  <c r="Z87" i="34" s="1"/>
  <c r="J87" i="34"/>
  <c r="H87" i="34"/>
  <c r="D87" i="34"/>
  <c r="L87" i="34" s="1"/>
  <c r="N87" i="34" s="1"/>
  <c r="B87" i="34"/>
  <c r="Z86" i="34"/>
  <c r="X86" i="34"/>
  <c r="N86" i="34"/>
  <c r="L86" i="34"/>
  <c r="B86" i="34"/>
  <c r="V85" i="34"/>
  <c r="T85" i="34"/>
  <c r="P85" i="34"/>
  <c r="X85" i="34" s="1"/>
  <c r="Z85" i="34" s="1"/>
  <c r="L85" i="34"/>
  <c r="N85" i="34" s="1"/>
  <c r="H85" i="34"/>
  <c r="D85" i="34"/>
  <c r="B85" i="34"/>
  <c r="Z84" i="34"/>
  <c r="X84" i="34"/>
  <c r="N84" i="34"/>
  <c r="L84" i="34"/>
  <c r="B84" i="34"/>
  <c r="X83" i="34"/>
  <c r="Z83" i="34" s="1"/>
  <c r="N83" i="34"/>
  <c r="L83" i="34"/>
  <c r="B83" i="34"/>
  <c r="T82" i="34"/>
  <c r="P82" i="34"/>
  <c r="H82" i="34"/>
  <c r="N82" i="34" s="1"/>
  <c r="D82" i="34"/>
  <c r="L82" i="34" s="1"/>
  <c r="B82" i="34"/>
  <c r="Z81" i="34"/>
  <c r="X81" i="34"/>
  <c r="N81" i="34"/>
  <c r="L81" i="34"/>
  <c r="J81" i="34"/>
  <c r="B81" i="34"/>
  <c r="X80" i="34"/>
  <c r="Z80" i="34" s="1"/>
  <c r="L80" i="34"/>
  <c r="N80" i="34" s="1"/>
  <c r="B80" i="34"/>
  <c r="X79" i="34"/>
  <c r="Z79" i="34" s="1"/>
  <c r="T79" i="34"/>
  <c r="P79" i="34"/>
  <c r="H79" i="34"/>
  <c r="D79" i="34"/>
  <c r="B79" i="34"/>
  <c r="Z78" i="34"/>
  <c r="X78" i="34"/>
  <c r="N78" i="34"/>
  <c r="L78" i="34"/>
  <c r="B78" i="34"/>
  <c r="T77" i="34"/>
  <c r="Z77" i="34" s="1"/>
  <c r="P77" i="34"/>
  <c r="N77" i="34"/>
  <c r="H77" i="34"/>
  <c r="D77" i="34"/>
  <c r="L77" i="34" s="1"/>
  <c r="B77" i="34"/>
  <c r="X76" i="34"/>
  <c r="Z76" i="34" s="1"/>
  <c r="L76" i="34"/>
  <c r="N76" i="34" s="1"/>
  <c r="B76" i="34"/>
  <c r="Z75" i="34"/>
  <c r="T75" i="34"/>
  <c r="P75" i="34"/>
  <c r="X75" i="34" s="1"/>
  <c r="J75" i="34"/>
  <c r="H75" i="34"/>
  <c r="D75" i="34"/>
  <c r="L75" i="34" s="1"/>
  <c r="N75" i="34" s="1"/>
  <c r="B75" i="34"/>
  <c r="Z74" i="34"/>
  <c r="X74" i="34"/>
  <c r="N74" i="34"/>
  <c r="L74" i="34"/>
  <c r="B74" i="34"/>
  <c r="Z73" i="34"/>
  <c r="X73" i="34"/>
  <c r="V73" i="34"/>
  <c r="N73" i="34"/>
  <c r="L73" i="34"/>
  <c r="B73" i="34"/>
  <c r="X72" i="34"/>
  <c r="T72" i="34"/>
  <c r="Z72" i="34" s="1"/>
  <c r="P72" i="34"/>
  <c r="H72" i="34"/>
  <c r="D72" i="34"/>
  <c r="B72" i="34"/>
  <c r="X71" i="34"/>
  <c r="Z71" i="34" s="1"/>
  <c r="N71" i="34"/>
  <c r="L71" i="34"/>
  <c r="B71" i="34"/>
  <c r="T70" i="34"/>
  <c r="P70" i="34"/>
  <c r="H70" i="34"/>
  <c r="D70" i="34"/>
  <c r="L70" i="34" s="1"/>
  <c r="B70" i="34"/>
  <c r="X69" i="34"/>
  <c r="Z69" i="34" s="1"/>
  <c r="N69" i="34"/>
  <c r="L69" i="34"/>
  <c r="J69" i="34"/>
  <c r="B69" i="34"/>
  <c r="V68" i="34"/>
  <c r="T68" i="34"/>
  <c r="Z68" i="34" s="1"/>
  <c r="P68" i="34"/>
  <c r="X68" i="34" s="1"/>
  <c r="H68" i="34"/>
  <c r="N68" i="34" s="1"/>
  <c r="D68" i="34"/>
  <c r="L68" i="34" s="1"/>
  <c r="B68" i="34"/>
  <c r="Z67" i="34"/>
  <c r="X67" i="34"/>
  <c r="L67" i="34"/>
  <c r="N67" i="34" s="1"/>
  <c r="B67" i="34"/>
  <c r="T66" i="34"/>
  <c r="P66" i="34"/>
  <c r="X66" i="34" s="1"/>
  <c r="L66" i="34"/>
  <c r="H66" i="34"/>
  <c r="N66" i="34" s="1"/>
  <c r="D66" i="34"/>
  <c r="B66" i="34"/>
  <c r="Z65" i="34"/>
  <c r="X65" i="34"/>
  <c r="V65" i="34"/>
  <c r="N65" i="34"/>
  <c r="L65" i="34"/>
  <c r="B65" i="34"/>
  <c r="Z64" i="34"/>
  <c r="X64" i="34"/>
  <c r="N64" i="34"/>
  <c r="L64" i="34"/>
  <c r="B64" i="34"/>
  <c r="Z63" i="34"/>
  <c r="X63" i="34"/>
  <c r="L63" i="34"/>
  <c r="N63" i="34" s="1"/>
  <c r="B63" i="34"/>
  <c r="X62" i="34"/>
  <c r="Z62" i="34" s="1"/>
  <c r="N62" i="34"/>
  <c r="L62" i="34"/>
  <c r="B62" i="34"/>
  <c r="Z61" i="34"/>
  <c r="X61" i="34"/>
  <c r="N61" i="34"/>
  <c r="L61" i="34"/>
  <c r="J61" i="34"/>
  <c r="B61" i="34"/>
  <c r="Z60" i="34"/>
  <c r="X60" i="34"/>
  <c r="V60" i="34"/>
  <c r="N60" i="34"/>
  <c r="L60" i="34"/>
  <c r="B60" i="34"/>
  <c r="X59" i="34"/>
  <c r="Z59" i="34" s="1"/>
  <c r="N59" i="34"/>
  <c r="L59" i="34"/>
  <c r="B59" i="34"/>
  <c r="Z58" i="34"/>
  <c r="X58" i="34"/>
  <c r="N58" i="34"/>
  <c r="L58" i="34"/>
  <c r="B58" i="34"/>
  <c r="Z57" i="34"/>
  <c r="X57" i="34"/>
  <c r="V57" i="34"/>
  <c r="L57" i="34"/>
  <c r="N57" i="34" s="1"/>
  <c r="B57" i="34"/>
  <c r="Z56" i="34"/>
  <c r="X56" i="34"/>
  <c r="N56" i="34"/>
  <c r="L56" i="34"/>
  <c r="B56" i="34"/>
  <c r="T55" i="34"/>
  <c r="P55" i="34"/>
  <c r="X55" i="34" s="1"/>
  <c r="Z55" i="34" s="1"/>
  <c r="J55" i="34"/>
  <c r="H55" i="34"/>
  <c r="D55" i="34"/>
  <c r="L55" i="34" s="1"/>
  <c r="N55" i="34" s="1"/>
  <c r="B55" i="34"/>
  <c r="Z54" i="34"/>
  <c r="X54" i="34"/>
  <c r="N54" i="34"/>
  <c r="L54" i="34"/>
  <c r="B54" i="34"/>
  <c r="Z53" i="34"/>
  <c r="X53" i="34"/>
  <c r="V53" i="34"/>
  <c r="L53" i="34"/>
  <c r="N53" i="34" s="1"/>
  <c r="B53" i="34"/>
  <c r="X52" i="34"/>
  <c r="Z52" i="34" s="1"/>
  <c r="L52" i="34"/>
  <c r="N52" i="34" s="1"/>
  <c r="B52" i="34"/>
  <c r="Z51" i="34"/>
  <c r="X51" i="34"/>
  <c r="N51" i="34"/>
  <c r="L51" i="34"/>
  <c r="B51" i="34"/>
  <c r="Z50" i="34"/>
  <c r="X50" i="34"/>
  <c r="N50" i="34"/>
  <c r="L50" i="34"/>
  <c r="B50" i="34"/>
  <c r="X49" i="34"/>
  <c r="Z49" i="34" s="1"/>
  <c r="N49" i="34"/>
  <c r="L49" i="34"/>
  <c r="J49" i="34"/>
  <c r="B49" i="34"/>
  <c r="X48" i="34"/>
  <c r="Z48" i="34" s="1"/>
  <c r="V48" i="34"/>
  <c r="L48" i="34"/>
  <c r="N48" i="34" s="1"/>
  <c r="B48" i="34"/>
  <c r="X47" i="34"/>
  <c r="Z47" i="34" s="1"/>
  <c r="N47" i="34"/>
  <c r="L47" i="34"/>
  <c r="B47" i="34"/>
  <c r="Z46" i="34"/>
  <c r="X46" i="34"/>
  <c r="N46" i="34"/>
  <c r="L46" i="34"/>
  <c r="B46" i="34"/>
  <c r="V45" i="34"/>
  <c r="T45" i="34"/>
  <c r="P45" i="34"/>
  <c r="X45" i="34" s="1"/>
  <c r="Z45" i="34" s="1"/>
  <c r="L45" i="34"/>
  <c r="N45" i="34" s="1"/>
  <c r="H45" i="34"/>
  <c r="D45" i="34"/>
  <c r="B45" i="34"/>
  <c r="V44" i="34"/>
  <c r="T44" i="34"/>
  <c r="P44" i="34"/>
  <c r="X44" i="34" s="1"/>
  <c r="H44" i="34"/>
  <c r="D44" i="34"/>
  <c r="L44" i="34" s="1"/>
  <c r="H42" i="34"/>
  <c r="Z40" i="34"/>
  <c r="X40" i="34"/>
  <c r="V40" i="34"/>
  <c r="N40" i="34"/>
  <c r="L40" i="34"/>
  <c r="B40" i="34"/>
  <c r="Z39" i="34"/>
  <c r="X39" i="34"/>
  <c r="V39" i="34"/>
  <c r="N39" i="34"/>
  <c r="L39" i="34"/>
  <c r="B39" i="34"/>
  <c r="Z38" i="34"/>
  <c r="X38" i="34"/>
  <c r="N38" i="34"/>
  <c r="L38" i="34"/>
  <c r="B38" i="34"/>
  <c r="Z37" i="34"/>
  <c r="X37" i="34"/>
  <c r="V37" i="34"/>
  <c r="N37" i="34"/>
  <c r="L37" i="34"/>
  <c r="B37" i="34"/>
  <c r="Z36" i="34"/>
  <c r="X36" i="34"/>
  <c r="N36" i="34"/>
  <c r="L36" i="34"/>
  <c r="B36" i="34"/>
  <c r="Z35" i="34"/>
  <c r="X35" i="34"/>
  <c r="N35" i="34"/>
  <c r="L35" i="34"/>
  <c r="B35" i="34"/>
  <c r="Z34" i="34"/>
  <c r="X34" i="34"/>
  <c r="N34" i="34"/>
  <c r="L34" i="34"/>
  <c r="B34" i="34"/>
  <c r="Z33" i="34"/>
  <c r="X33" i="34"/>
  <c r="V33" i="34"/>
  <c r="N33" i="34"/>
  <c r="L33" i="34"/>
  <c r="J33" i="34"/>
  <c r="B33" i="34"/>
  <c r="Z32" i="34"/>
  <c r="X32" i="34"/>
  <c r="V32" i="34"/>
  <c r="N32" i="34"/>
  <c r="L32" i="34"/>
  <c r="B32" i="34"/>
  <c r="Z31" i="34"/>
  <c r="X31" i="34"/>
  <c r="V31" i="34"/>
  <c r="N31" i="34"/>
  <c r="L31" i="34"/>
  <c r="B31" i="34"/>
  <c r="Z30" i="34"/>
  <c r="X30" i="34"/>
  <c r="N30" i="34"/>
  <c r="L30" i="34"/>
  <c r="B30" i="34"/>
  <c r="Z29" i="34"/>
  <c r="X29" i="34"/>
  <c r="V29" i="34"/>
  <c r="N29" i="34"/>
  <c r="L29" i="34"/>
  <c r="B29" i="34"/>
  <c r="Z28" i="34"/>
  <c r="X28" i="34"/>
  <c r="N28" i="34"/>
  <c r="L28" i="34"/>
  <c r="B28" i="34"/>
  <c r="Z27" i="34"/>
  <c r="X27" i="34"/>
  <c r="N27" i="34"/>
  <c r="L27" i="34"/>
  <c r="B27" i="34"/>
  <c r="Z26" i="34"/>
  <c r="X26" i="34"/>
  <c r="N26" i="34"/>
  <c r="L26" i="34"/>
  <c r="B26" i="34"/>
  <c r="Z25" i="34"/>
  <c r="X25" i="34"/>
  <c r="V25" i="34"/>
  <c r="N25" i="34"/>
  <c r="L25" i="34"/>
  <c r="J25" i="34"/>
  <c r="B25" i="34"/>
  <c r="Z24" i="34"/>
  <c r="X24" i="34"/>
  <c r="V24" i="34"/>
  <c r="N24" i="34"/>
  <c r="L24" i="34"/>
  <c r="B24" i="34"/>
  <c r="Z23" i="34"/>
  <c r="X23" i="34"/>
  <c r="V23" i="34"/>
  <c r="N23" i="34"/>
  <c r="L23" i="34"/>
  <c r="B23" i="34"/>
  <c r="Z22" i="34"/>
  <c r="X22" i="34"/>
  <c r="N22" i="34"/>
  <c r="L22" i="34"/>
  <c r="B22" i="34"/>
  <c r="Z21" i="34"/>
  <c r="X21" i="34"/>
  <c r="V21" i="34"/>
  <c r="N21" i="34"/>
  <c r="L21" i="34"/>
  <c r="B21" i="34"/>
  <c r="X20" i="34"/>
  <c r="Z20" i="34" s="1"/>
  <c r="L20" i="34"/>
  <c r="N20" i="34" s="1"/>
  <c r="B20" i="34"/>
  <c r="T19" i="34"/>
  <c r="P19" i="34"/>
  <c r="X19" i="34" s="1"/>
  <c r="Z19" i="34" s="1"/>
  <c r="J19" i="34"/>
  <c r="H19" i="34"/>
  <c r="D19" i="34"/>
  <c r="L19" i="34" s="1"/>
  <c r="N19" i="34" s="1"/>
  <c r="Z17" i="34"/>
  <c r="X17" i="34"/>
  <c r="P17" i="34"/>
  <c r="N17" i="34"/>
  <c r="L17" i="34"/>
  <c r="D17" i="34"/>
  <c r="B17" i="34"/>
  <c r="Z16" i="34"/>
  <c r="P16" i="34"/>
  <c r="X16" i="34" s="1"/>
  <c r="N16" i="34"/>
  <c r="D16" i="34"/>
  <c r="L16" i="34" s="1"/>
  <c r="B16" i="34"/>
  <c r="Z15" i="34"/>
  <c r="P15" i="34"/>
  <c r="X15" i="34" s="1"/>
  <c r="N15" i="34"/>
  <c r="L15" i="34"/>
  <c r="D15" i="34"/>
  <c r="B15" i="34"/>
  <c r="P14" i="34"/>
  <c r="X14" i="34" s="1"/>
  <c r="Z14" i="34" s="1"/>
  <c r="L14" i="34"/>
  <c r="N14" i="34" s="1"/>
  <c r="D14" i="34"/>
  <c r="B14" i="34"/>
  <c r="Z13" i="34"/>
  <c r="X13" i="34"/>
  <c r="P13" i="34"/>
  <c r="D13" i="34"/>
  <c r="L13" i="34" s="1"/>
  <c r="N13" i="34" s="1"/>
  <c r="B13" i="34"/>
  <c r="T12" i="34"/>
  <c r="V120" i="34" s="1"/>
  <c r="H12" i="34"/>
  <c r="J125" i="34" s="1"/>
  <c r="D4" i="34"/>
  <c r="B39" i="33"/>
  <c r="B38" i="33"/>
  <c r="T34" i="33"/>
  <c r="Z34" i="33" s="1"/>
  <c r="P34" i="33"/>
  <c r="X34" i="33" s="1"/>
  <c r="H34" i="33"/>
  <c r="N34" i="33" s="1"/>
  <c r="D34" i="33"/>
  <c r="T33" i="33"/>
  <c r="Z33" i="33" s="1"/>
  <c r="P33" i="33"/>
  <c r="H33" i="33"/>
  <c r="N33" i="33" s="1"/>
  <c r="D33" i="33"/>
  <c r="T29" i="33"/>
  <c r="Z29" i="33" s="1"/>
  <c r="P29" i="33"/>
  <c r="H29" i="33"/>
  <c r="N29" i="33" s="1"/>
  <c r="D29" i="33"/>
  <c r="T25" i="33"/>
  <c r="Z25" i="33" s="1"/>
  <c r="P25" i="33"/>
  <c r="H25" i="33"/>
  <c r="N25" i="33" s="1"/>
  <c r="D25" i="33"/>
  <c r="B25" i="33"/>
  <c r="T24" i="33"/>
  <c r="Z24" i="33" s="1"/>
  <c r="P24" i="33"/>
  <c r="H24" i="33"/>
  <c r="D24" i="33"/>
  <c r="T22" i="33"/>
  <c r="Z22" i="33" s="1"/>
  <c r="P22" i="33"/>
  <c r="H22" i="33"/>
  <c r="N22" i="33" s="1"/>
  <c r="D22" i="33"/>
  <c r="B22" i="33"/>
  <c r="T21" i="33"/>
  <c r="Z21" i="33" s="1"/>
  <c r="P21" i="33"/>
  <c r="H21" i="33"/>
  <c r="N21" i="33" s="1"/>
  <c r="D21" i="33"/>
  <c r="B21" i="33"/>
  <c r="T20" i="33"/>
  <c r="Z20" i="33" s="1"/>
  <c r="P20" i="33"/>
  <c r="H20" i="33"/>
  <c r="N20" i="33" s="1"/>
  <c r="D20" i="33"/>
  <c r="T16" i="33"/>
  <c r="P16" i="33"/>
  <c r="H16" i="33"/>
  <c r="N16" i="33" s="1"/>
  <c r="D16" i="33"/>
  <c r="B16" i="33"/>
  <c r="T15" i="33"/>
  <c r="P15" i="33"/>
  <c r="H15" i="33"/>
  <c r="N15" i="33" s="1"/>
  <c r="D15" i="33"/>
  <c r="T13" i="33"/>
  <c r="P13" i="33"/>
  <c r="H13" i="33"/>
  <c r="N13" i="33" s="1"/>
  <c r="D13" i="33"/>
  <c r="B13" i="33"/>
  <c r="T12" i="33"/>
  <c r="P12" i="33"/>
  <c r="H12" i="33"/>
  <c r="D12" i="33"/>
  <c r="D5" i="33"/>
  <c r="D4" i="33"/>
  <c r="B39" i="32"/>
  <c r="B38" i="32"/>
  <c r="T34" i="32"/>
  <c r="Z34" i="32" s="1"/>
  <c r="P34" i="32"/>
  <c r="H34" i="32"/>
  <c r="D34" i="32"/>
  <c r="T33" i="32"/>
  <c r="Z33" i="32" s="1"/>
  <c r="P33" i="32"/>
  <c r="H33" i="32"/>
  <c r="N33" i="32" s="1"/>
  <c r="D33" i="32"/>
  <c r="T29" i="32"/>
  <c r="Z29" i="32" s="1"/>
  <c r="P29" i="32"/>
  <c r="H29" i="32"/>
  <c r="N29" i="32" s="1"/>
  <c r="D29" i="32"/>
  <c r="T25" i="32"/>
  <c r="Z25" i="32" s="1"/>
  <c r="P25" i="32"/>
  <c r="H25" i="32"/>
  <c r="N25" i="32" s="1"/>
  <c r="D25" i="32"/>
  <c r="B25" i="32"/>
  <c r="T24" i="32"/>
  <c r="Z24" i="32" s="1"/>
  <c r="P24" i="32"/>
  <c r="H24" i="32"/>
  <c r="N24" i="32" s="1"/>
  <c r="D24" i="32"/>
  <c r="T22" i="32"/>
  <c r="Z22" i="32" s="1"/>
  <c r="P22" i="32"/>
  <c r="H22" i="32"/>
  <c r="N22" i="32" s="1"/>
  <c r="D22" i="32"/>
  <c r="B22" i="32"/>
  <c r="T21" i="32"/>
  <c r="Z21" i="32" s="1"/>
  <c r="P21" i="32"/>
  <c r="H21" i="32"/>
  <c r="N21" i="32" s="1"/>
  <c r="D21" i="32"/>
  <c r="B21" i="32"/>
  <c r="T20" i="32"/>
  <c r="Z20" i="32" s="1"/>
  <c r="P20" i="32"/>
  <c r="H20" i="32"/>
  <c r="N20" i="32" s="1"/>
  <c r="D20" i="32"/>
  <c r="T16" i="32"/>
  <c r="Z16" i="32" s="1"/>
  <c r="P16" i="32"/>
  <c r="H16" i="32"/>
  <c r="D16" i="32"/>
  <c r="B16" i="32"/>
  <c r="T15" i="32"/>
  <c r="Z15" i="32" s="1"/>
  <c r="P15" i="32"/>
  <c r="H15" i="32"/>
  <c r="N15" i="32" s="1"/>
  <c r="D15" i="32"/>
  <c r="T13" i="32"/>
  <c r="Z13" i="32" s="1"/>
  <c r="P13" i="32"/>
  <c r="H13" i="32"/>
  <c r="N13" i="32" s="1"/>
  <c r="D13" i="32"/>
  <c r="B13" i="32"/>
  <c r="T12" i="32"/>
  <c r="P12" i="32"/>
  <c r="R20" i="32" s="1"/>
  <c r="H12" i="32"/>
  <c r="D12" i="32"/>
  <c r="F34" i="32" s="1"/>
  <c r="D5" i="32"/>
  <c r="D4" i="32"/>
  <c r="X77" i="31"/>
  <c r="Z77" i="31" s="1"/>
  <c r="N77" i="31"/>
  <c r="L77" i="31"/>
  <c r="Z73" i="31"/>
  <c r="X73" i="31"/>
  <c r="P73" i="31"/>
  <c r="N73" i="31"/>
  <c r="D73" i="31"/>
  <c r="L73" i="31" s="1"/>
  <c r="B73" i="31"/>
  <c r="T72" i="31"/>
  <c r="P72" i="31"/>
  <c r="X72" i="31" s="1"/>
  <c r="N72" i="31"/>
  <c r="L72" i="31"/>
  <c r="H72" i="31"/>
  <c r="D72" i="31"/>
  <c r="Z70" i="31"/>
  <c r="X70" i="31"/>
  <c r="N70" i="31"/>
  <c r="L70" i="31"/>
  <c r="B70" i="31"/>
  <c r="Z69" i="31"/>
  <c r="X69" i="31"/>
  <c r="T69" i="31"/>
  <c r="P69" i="31"/>
  <c r="L69" i="31"/>
  <c r="H69" i="31"/>
  <c r="D69" i="31"/>
  <c r="B69" i="31"/>
  <c r="X68" i="31"/>
  <c r="Z68" i="31" s="1"/>
  <c r="L68" i="31"/>
  <c r="N68" i="31" s="1"/>
  <c r="B68" i="31"/>
  <c r="X67" i="31"/>
  <c r="Z67" i="31" s="1"/>
  <c r="N67" i="31"/>
  <c r="L67" i="31"/>
  <c r="B67" i="31"/>
  <c r="Z66" i="31"/>
  <c r="X66" i="31"/>
  <c r="N66" i="31"/>
  <c r="L66" i="31"/>
  <c r="B66" i="31"/>
  <c r="Z65" i="31"/>
  <c r="X65" i="31"/>
  <c r="V65" i="31"/>
  <c r="N65" i="31"/>
  <c r="L65" i="31"/>
  <c r="B65" i="31"/>
  <c r="X64" i="31"/>
  <c r="Z64" i="31" s="1"/>
  <c r="T64" i="31"/>
  <c r="P64" i="31"/>
  <c r="H64" i="31"/>
  <c r="L64" i="31" s="1"/>
  <c r="N64" i="31" s="1"/>
  <c r="D64" i="31"/>
  <c r="B64" i="31"/>
  <c r="X63" i="31"/>
  <c r="Z63" i="31" s="1"/>
  <c r="N63" i="31"/>
  <c r="L63" i="31"/>
  <c r="B63" i="31"/>
  <c r="T62" i="31"/>
  <c r="X62" i="31" s="1"/>
  <c r="Z62" i="31" s="1"/>
  <c r="P62" i="31"/>
  <c r="H62" i="31"/>
  <c r="D62" i="31"/>
  <c r="L62" i="31" s="1"/>
  <c r="B62" i="31"/>
  <c r="Z61" i="31"/>
  <c r="X61" i="31"/>
  <c r="N61" i="31"/>
  <c r="L61" i="31"/>
  <c r="B61" i="31"/>
  <c r="X60" i="31"/>
  <c r="Z60" i="31" s="1"/>
  <c r="L60" i="31"/>
  <c r="N60" i="31" s="1"/>
  <c r="B60" i="31"/>
  <c r="X59" i="31"/>
  <c r="Z59" i="31" s="1"/>
  <c r="V59" i="31"/>
  <c r="N59" i="31"/>
  <c r="L59" i="31"/>
  <c r="B59" i="31"/>
  <c r="X58" i="31"/>
  <c r="T58" i="31"/>
  <c r="Z58" i="31" s="1"/>
  <c r="P58" i="31"/>
  <c r="H58" i="31"/>
  <c r="D58" i="31"/>
  <c r="L58" i="31" s="1"/>
  <c r="B58" i="31"/>
  <c r="Z57" i="31"/>
  <c r="X57" i="31"/>
  <c r="N57" i="31"/>
  <c r="L57" i="31"/>
  <c r="B57" i="31"/>
  <c r="T56" i="31"/>
  <c r="Z56" i="31" s="1"/>
  <c r="P56" i="31"/>
  <c r="X56" i="31" s="1"/>
  <c r="H56" i="31"/>
  <c r="D56" i="31"/>
  <c r="B56" i="31"/>
  <c r="X55" i="31"/>
  <c r="Z55" i="31" s="1"/>
  <c r="L55" i="31"/>
  <c r="N55" i="31" s="1"/>
  <c r="B55" i="31"/>
  <c r="X54" i="31"/>
  <c r="Z54" i="31" s="1"/>
  <c r="N54" i="31"/>
  <c r="L54" i="31"/>
  <c r="B54" i="31"/>
  <c r="T53" i="31"/>
  <c r="P53" i="31"/>
  <c r="H53" i="31"/>
  <c r="D53" i="31"/>
  <c r="L53" i="31" s="1"/>
  <c r="B53" i="31"/>
  <c r="Z52" i="31"/>
  <c r="X52" i="31"/>
  <c r="L52" i="31"/>
  <c r="N52" i="31" s="1"/>
  <c r="B52" i="31"/>
  <c r="T51" i="31"/>
  <c r="P51" i="31"/>
  <c r="X51" i="31" s="1"/>
  <c r="H51" i="31"/>
  <c r="N51" i="31" s="1"/>
  <c r="D51" i="31"/>
  <c r="L51" i="31" s="1"/>
  <c r="B51" i="31"/>
  <c r="Z50" i="31"/>
  <c r="X50" i="31"/>
  <c r="L50" i="31"/>
  <c r="N50" i="31" s="1"/>
  <c r="B50" i="31"/>
  <c r="T49" i="31"/>
  <c r="P49" i="31"/>
  <c r="X49" i="31" s="1"/>
  <c r="L49" i="31"/>
  <c r="N49" i="31" s="1"/>
  <c r="H49" i="31"/>
  <c r="D49" i="31"/>
  <c r="B49" i="31"/>
  <c r="X48" i="31"/>
  <c r="Z48" i="31" s="1"/>
  <c r="V48" i="31"/>
  <c r="N48" i="31"/>
  <c r="L48" i="31"/>
  <c r="B48" i="31"/>
  <c r="X47" i="31"/>
  <c r="Z47" i="31" s="1"/>
  <c r="T47" i="31"/>
  <c r="P47" i="31"/>
  <c r="H47" i="31"/>
  <c r="D47" i="31"/>
  <c r="B47" i="31"/>
  <c r="Z46" i="31"/>
  <c r="X46" i="31"/>
  <c r="N46" i="31"/>
  <c r="L46" i="31"/>
  <c r="B46" i="31"/>
  <c r="Z45" i="31"/>
  <c r="X45" i="31"/>
  <c r="N45" i="31"/>
  <c r="L45" i="31"/>
  <c r="B45" i="31"/>
  <c r="Z44" i="31"/>
  <c r="X44" i="31"/>
  <c r="V44" i="31"/>
  <c r="N44" i="31"/>
  <c r="L44" i="31"/>
  <c r="B44" i="31"/>
  <c r="X43" i="31"/>
  <c r="Z43" i="31" s="1"/>
  <c r="L43" i="31"/>
  <c r="N43" i="31" s="1"/>
  <c r="B43" i="31"/>
  <c r="Z42" i="31"/>
  <c r="X42" i="31"/>
  <c r="N42" i="31"/>
  <c r="L42" i="31"/>
  <c r="B42" i="31"/>
  <c r="Z41" i="31"/>
  <c r="X41" i="31"/>
  <c r="N41" i="31"/>
  <c r="L41" i="31"/>
  <c r="B41" i="31"/>
  <c r="Z40" i="31"/>
  <c r="X40" i="31"/>
  <c r="N40" i="31"/>
  <c r="L40" i="31"/>
  <c r="J40" i="31"/>
  <c r="B40" i="31"/>
  <c r="Z39" i="31"/>
  <c r="X39" i="31"/>
  <c r="V39" i="31"/>
  <c r="N39" i="31"/>
  <c r="L39" i="31"/>
  <c r="B39" i="31"/>
  <c r="X38" i="31"/>
  <c r="Z38" i="31" s="1"/>
  <c r="N38" i="31"/>
  <c r="L38" i="31"/>
  <c r="B38" i="31"/>
  <c r="Z37" i="31"/>
  <c r="X37" i="31"/>
  <c r="N37" i="31"/>
  <c r="L37" i="31"/>
  <c r="B37" i="31"/>
  <c r="Z36" i="31"/>
  <c r="X36" i="31"/>
  <c r="V36" i="31"/>
  <c r="T36" i="31"/>
  <c r="P36" i="31"/>
  <c r="L36" i="31"/>
  <c r="H36" i="31"/>
  <c r="N36" i="31" s="1"/>
  <c r="D36" i="31"/>
  <c r="B36" i="31"/>
  <c r="X35" i="31"/>
  <c r="Z35" i="31" s="1"/>
  <c r="V35" i="31"/>
  <c r="L35" i="31"/>
  <c r="N35" i="31" s="1"/>
  <c r="B35" i="31"/>
  <c r="X34" i="31"/>
  <c r="Z34" i="31" s="1"/>
  <c r="N34" i="31"/>
  <c r="L34" i="31"/>
  <c r="B34" i="31"/>
  <c r="Z33" i="31"/>
  <c r="X33" i="31"/>
  <c r="L33" i="31"/>
  <c r="N33" i="31" s="1"/>
  <c r="B33" i="31"/>
  <c r="Z32" i="31"/>
  <c r="X32" i="31"/>
  <c r="V32" i="31"/>
  <c r="N32" i="31"/>
  <c r="L32" i="31"/>
  <c r="B32" i="31"/>
  <c r="X31" i="31"/>
  <c r="Z31" i="31" s="1"/>
  <c r="L31" i="31"/>
  <c r="N31" i="31" s="1"/>
  <c r="B31" i="31"/>
  <c r="Z30" i="31"/>
  <c r="X30" i="31"/>
  <c r="L30" i="31"/>
  <c r="N30" i="31" s="1"/>
  <c r="B30" i="31"/>
  <c r="X29" i="31"/>
  <c r="Z29" i="31" s="1"/>
  <c r="N29" i="31"/>
  <c r="L29" i="31"/>
  <c r="B29" i="31"/>
  <c r="Z28" i="31"/>
  <c r="X28" i="31"/>
  <c r="L28" i="31"/>
  <c r="N28" i="31" s="1"/>
  <c r="B28" i="31"/>
  <c r="X27" i="31"/>
  <c r="Z27" i="31" s="1"/>
  <c r="V27" i="31"/>
  <c r="L27" i="31"/>
  <c r="N27" i="31" s="1"/>
  <c r="B27" i="31"/>
  <c r="X26" i="31"/>
  <c r="T26" i="31"/>
  <c r="Z26" i="31" s="1"/>
  <c r="P26" i="31"/>
  <c r="H26" i="31"/>
  <c r="N26" i="31" s="1"/>
  <c r="D26" i="31"/>
  <c r="L26" i="31" s="1"/>
  <c r="B26" i="31"/>
  <c r="T25" i="31"/>
  <c r="P25" i="31"/>
  <c r="X25" i="31" s="1"/>
  <c r="L25" i="31"/>
  <c r="N25" i="31" s="1"/>
  <c r="H25" i="31"/>
  <c r="D25" i="31"/>
  <c r="T23" i="31"/>
  <c r="Z21" i="31"/>
  <c r="X21" i="31"/>
  <c r="N21" i="31"/>
  <c r="L21" i="31"/>
  <c r="B21" i="31"/>
  <c r="Z20" i="31"/>
  <c r="X20" i="31"/>
  <c r="N20" i="31"/>
  <c r="L20" i="31"/>
  <c r="B20" i="31"/>
  <c r="V19" i="31"/>
  <c r="T19" i="31"/>
  <c r="Z19" i="31" s="1"/>
  <c r="P19" i="31"/>
  <c r="X19" i="31" s="1"/>
  <c r="H19" i="31"/>
  <c r="N19" i="31" s="1"/>
  <c r="D19" i="31"/>
  <c r="L19" i="31" s="1"/>
  <c r="Z17" i="31"/>
  <c r="X17" i="31"/>
  <c r="P17" i="31"/>
  <c r="N17" i="31"/>
  <c r="D17" i="31"/>
  <c r="L17" i="31" s="1"/>
  <c r="B17" i="31"/>
  <c r="Z16" i="31"/>
  <c r="P16" i="31"/>
  <c r="N16" i="31"/>
  <c r="L16" i="31"/>
  <c r="D16" i="31"/>
  <c r="B16" i="31"/>
  <c r="Z15" i="31"/>
  <c r="X15" i="31"/>
  <c r="P15" i="31"/>
  <c r="N15" i="31"/>
  <c r="D15" i="31"/>
  <c r="L15" i="31" s="1"/>
  <c r="B15" i="31"/>
  <c r="X14" i="31"/>
  <c r="Z14" i="31" s="1"/>
  <c r="P14" i="31"/>
  <c r="L14" i="31"/>
  <c r="N14" i="31" s="1"/>
  <c r="D14" i="31"/>
  <c r="B14" i="31"/>
  <c r="P13" i="31"/>
  <c r="X13" i="31" s="1"/>
  <c r="Z13" i="31" s="1"/>
  <c r="D13" i="31"/>
  <c r="B13" i="31"/>
  <c r="T12" i="31"/>
  <c r="V69" i="31" s="1"/>
  <c r="H12" i="31"/>
  <c r="J77" i="31" s="1"/>
  <c r="D4" i="31"/>
  <c r="B39" i="30"/>
  <c r="B38" i="30"/>
  <c r="T34" i="30"/>
  <c r="Z34" i="30" s="1"/>
  <c r="P34" i="30"/>
  <c r="H34" i="30"/>
  <c r="N34" i="30" s="1"/>
  <c r="D34" i="30"/>
  <c r="L34" i="30" s="1"/>
  <c r="T33" i="30"/>
  <c r="Z33" i="30" s="1"/>
  <c r="P33" i="30"/>
  <c r="H33" i="30"/>
  <c r="N33" i="30" s="1"/>
  <c r="D33" i="30"/>
  <c r="T29" i="30"/>
  <c r="Z29" i="30" s="1"/>
  <c r="P29" i="30"/>
  <c r="H29" i="30"/>
  <c r="N29" i="30" s="1"/>
  <c r="D29" i="30"/>
  <c r="T25" i="30"/>
  <c r="P25" i="30"/>
  <c r="H25" i="30"/>
  <c r="N25" i="30" s="1"/>
  <c r="D25" i="30"/>
  <c r="B25" i="30"/>
  <c r="T24" i="30"/>
  <c r="Z24" i="30" s="1"/>
  <c r="P24" i="30"/>
  <c r="H24" i="30"/>
  <c r="N24" i="30" s="1"/>
  <c r="D24" i="30"/>
  <c r="T22" i="30"/>
  <c r="Z22" i="30" s="1"/>
  <c r="P22" i="30"/>
  <c r="H22" i="30"/>
  <c r="N22" i="30" s="1"/>
  <c r="D22" i="30"/>
  <c r="B22" i="30"/>
  <c r="T21" i="30"/>
  <c r="Z21" i="30" s="1"/>
  <c r="P21" i="30"/>
  <c r="H21" i="30"/>
  <c r="N21" i="30" s="1"/>
  <c r="D21" i="30"/>
  <c r="B21" i="30"/>
  <c r="T20" i="30"/>
  <c r="Z20" i="30" s="1"/>
  <c r="P20" i="30"/>
  <c r="H20" i="30"/>
  <c r="N20" i="30" s="1"/>
  <c r="D20" i="30"/>
  <c r="T16" i="30"/>
  <c r="Z16" i="30" s="1"/>
  <c r="P16" i="30"/>
  <c r="H16" i="30"/>
  <c r="N16" i="30" s="1"/>
  <c r="D16" i="30"/>
  <c r="B16" i="30"/>
  <c r="T15" i="30"/>
  <c r="P15" i="30"/>
  <c r="H15" i="30"/>
  <c r="N15" i="30" s="1"/>
  <c r="D15" i="30"/>
  <c r="T13" i="30"/>
  <c r="Z13" i="30" s="1"/>
  <c r="P13" i="30"/>
  <c r="H13" i="30"/>
  <c r="N13" i="30" s="1"/>
  <c r="D13" i="30"/>
  <c r="B13" i="30"/>
  <c r="T12" i="30"/>
  <c r="V20" i="30" s="1"/>
  <c r="P12" i="30"/>
  <c r="R36" i="30" s="1"/>
  <c r="H12" i="30"/>
  <c r="J20" i="30" s="1"/>
  <c r="D12" i="30"/>
  <c r="F34" i="30" s="1"/>
  <c r="D5" i="30"/>
  <c r="D4" i="30"/>
  <c r="B39" i="29"/>
  <c r="B38" i="29"/>
  <c r="T34" i="29"/>
  <c r="Z34" i="29" s="1"/>
  <c r="P34" i="29"/>
  <c r="H34" i="29"/>
  <c r="N34" i="29" s="1"/>
  <c r="D34" i="29"/>
  <c r="T33" i="29"/>
  <c r="Z33" i="29" s="1"/>
  <c r="P33" i="29"/>
  <c r="H33" i="29"/>
  <c r="N33" i="29" s="1"/>
  <c r="D33" i="29"/>
  <c r="T29" i="29"/>
  <c r="P29" i="29"/>
  <c r="H29" i="29"/>
  <c r="N29" i="29" s="1"/>
  <c r="D29" i="29"/>
  <c r="T25" i="29"/>
  <c r="Z25" i="29" s="1"/>
  <c r="P25" i="29"/>
  <c r="H25" i="29"/>
  <c r="N25" i="29" s="1"/>
  <c r="D25" i="29"/>
  <c r="B25" i="29"/>
  <c r="T24" i="29"/>
  <c r="Z24" i="29" s="1"/>
  <c r="P24" i="29"/>
  <c r="H24" i="29"/>
  <c r="N24" i="29" s="1"/>
  <c r="D24" i="29"/>
  <c r="T22" i="29"/>
  <c r="P22" i="29"/>
  <c r="H22" i="29"/>
  <c r="D22" i="29"/>
  <c r="B22" i="29"/>
  <c r="T21" i="29"/>
  <c r="Z21" i="29" s="1"/>
  <c r="P21" i="29"/>
  <c r="H21" i="29"/>
  <c r="N21" i="29" s="1"/>
  <c r="D21" i="29"/>
  <c r="B21" i="29"/>
  <c r="T20" i="29"/>
  <c r="Z20" i="29" s="1"/>
  <c r="P20" i="29"/>
  <c r="H20" i="29"/>
  <c r="N20" i="29" s="1"/>
  <c r="D20" i="29"/>
  <c r="T16" i="29"/>
  <c r="Z16" i="29" s="1"/>
  <c r="P16" i="29"/>
  <c r="H16" i="29"/>
  <c r="N16" i="29" s="1"/>
  <c r="D16" i="29"/>
  <c r="B16" i="29"/>
  <c r="T15" i="29"/>
  <c r="Z15" i="29" s="1"/>
  <c r="P15" i="29"/>
  <c r="H15" i="29"/>
  <c r="N15" i="29" s="1"/>
  <c r="D15" i="29"/>
  <c r="T13" i="29"/>
  <c r="Z13" i="29" s="1"/>
  <c r="P13" i="29"/>
  <c r="H13" i="29"/>
  <c r="D13" i="29"/>
  <c r="B13" i="29"/>
  <c r="T12" i="29"/>
  <c r="V22" i="29" s="1"/>
  <c r="P12" i="29"/>
  <c r="R18" i="29" s="1"/>
  <c r="H12" i="29"/>
  <c r="J20" i="29" s="1"/>
  <c r="D12" i="29"/>
  <c r="F22" i="29" s="1"/>
  <c r="D5" i="29"/>
  <c r="D4" i="29"/>
  <c r="Z124" i="28"/>
  <c r="X124" i="28"/>
  <c r="L124" i="28"/>
  <c r="N124" i="28" s="1"/>
  <c r="Z120" i="28"/>
  <c r="P120" i="28"/>
  <c r="X120" i="28" s="1"/>
  <c r="N120" i="28"/>
  <c r="J120" i="28"/>
  <c r="D120" i="28"/>
  <c r="L120" i="28" s="1"/>
  <c r="B120" i="28"/>
  <c r="P119" i="28"/>
  <c r="N119" i="28"/>
  <c r="D119" i="28"/>
  <c r="L119" i="28" s="1"/>
  <c r="B119" i="28"/>
  <c r="X118" i="28"/>
  <c r="Z118" i="28" s="1"/>
  <c r="P118" i="28"/>
  <c r="D118" i="28"/>
  <c r="B118" i="28"/>
  <c r="T117" i="28"/>
  <c r="H117" i="28"/>
  <c r="Z115" i="28"/>
  <c r="X115" i="28"/>
  <c r="V115" i="28"/>
  <c r="N115" i="28"/>
  <c r="L115" i="28"/>
  <c r="B115" i="28"/>
  <c r="X114" i="28"/>
  <c r="T114" i="28"/>
  <c r="P114" i="28"/>
  <c r="H114" i="28"/>
  <c r="D114" i="28"/>
  <c r="B114" i="28"/>
  <c r="X113" i="28"/>
  <c r="Z113" i="28" s="1"/>
  <c r="N113" i="28"/>
  <c r="L113" i="28"/>
  <c r="B113" i="28"/>
  <c r="Z112" i="28"/>
  <c r="X112" i="28"/>
  <c r="L112" i="28"/>
  <c r="N112" i="28" s="1"/>
  <c r="B112" i="28"/>
  <c r="Z111" i="28"/>
  <c r="X111" i="28"/>
  <c r="V111" i="28"/>
  <c r="T111" i="28"/>
  <c r="P111" i="28"/>
  <c r="L111" i="28"/>
  <c r="N111" i="28" s="1"/>
  <c r="H111" i="28"/>
  <c r="F111" i="28"/>
  <c r="D111" i="28"/>
  <c r="B111" i="28"/>
  <c r="X110" i="28"/>
  <c r="Z110" i="28" s="1"/>
  <c r="L110" i="28"/>
  <c r="N110" i="28" s="1"/>
  <c r="B110" i="28"/>
  <c r="X109" i="28"/>
  <c r="Z109" i="28" s="1"/>
  <c r="T109" i="28"/>
  <c r="P109" i="28"/>
  <c r="H109" i="28"/>
  <c r="N109" i="28" s="1"/>
  <c r="D109" i="28"/>
  <c r="L109" i="28" s="1"/>
  <c r="B109" i="28"/>
  <c r="X108" i="28"/>
  <c r="Z108" i="28" s="1"/>
  <c r="N108" i="28"/>
  <c r="L108" i="28"/>
  <c r="F108" i="28"/>
  <c r="B108" i="28"/>
  <c r="Z107" i="28"/>
  <c r="X107" i="28"/>
  <c r="N107" i="28"/>
  <c r="L107" i="28"/>
  <c r="J107" i="28"/>
  <c r="B107" i="28"/>
  <c r="X106" i="28"/>
  <c r="Z106" i="28" s="1"/>
  <c r="L106" i="28"/>
  <c r="N106" i="28" s="1"/>
  <c r="B106" i="28"/>
  <c r="X105" i="28"/>
  <c r="Z105" i="28" s="1"/>
  <c r="N105" i="28"/>
  <c r="L105" i="28"/>
  <c r="B105" i="28"/>
  <c r="Z104" i="28"/>
  <c r="X104" i="28"/>
  <c r="N104" i="28"/>
  <c r="L104" i="28"/>
  <c r="B104" i="28"/>
  <c r="Z103" i="28"/>
  <c r="X103" i="28"/>
  <c r="V103" i="28"/>
  <c r="T103" i="28"/>
  <c r="P103" i="28"/>
  <c r="L103" i="28"/>
  <c r="N103" i="28" s="1"/>
  <c r="H103" i="28"/>
  <c r="D103" i="28"/>
  <c r="B103" i="28"/>
  <c r="X102" i="28"/>
  <c r="Z102" i="28" s="1"/>
  <c r="L102" i="28"/>
  <c r="N102" i="28" s="1"/>
  <c r="B102" i="28"/>
  <c r="X101" i="28"/>
  <c r="Z101" i="28" s="1"/>
  <c r="N101" i="28"/>
  <c r="L101" i="28"/>
  <c r="B101" i="28"/>
  <c r="T100" i="28"/>
  <c r="P100" i="28"/>
  <c r="X100" i="28" s="1"/>
  <c r="H100" i="28"/>
  <c r="N100" i="28" s="1"/>
  <c r="D100" i="28"/>
  <c r="L100" i="28" s="1"/>
  <c r="B100" i="28"/>
  <c r="Z99" i="28"/>
  <c r="X99" i="28"/>
  <c r="N99" i="28"/>
  <c r="L99" i="28"/>
  <c r="J99" i="28"/>
  <c r="B99" i="28"/>
  <c r="X98" i="28"/>
  <c r="Z98" i="28" s="1"/>
  <c r="L98" i="28"/>
  <c r="N98" i="28" s="1"/>
  <c r="B98" i="28"/>
  <c r="X97" i="28"/>
  <c r="Z97" i="28" s="1"/>
  <c r="T97" i="28"/>
  <c r="P97" i="28"/>
  <c r="H97" i="28"/>
  <c r="N97" i="28" s="1"/>
  <c r="D97" i="28"/>
  <c r="L97" i="28" s="1"/>
  <c r="B97" i="28"/>
  <c r="X96" i="28"/>
  <c r="Z96" i="28" s="1"/>
  <c r="N96" i="28"/>
  <c r="L96" i="28"/>
  <c r="B96" i="28"/>
  <c r="Z95" i="28"/>
  <c r="X95" i="28"/>
  <c r="N95" i="28"/>
  <c r="L95" i="28"/>
  <c r="J95" i="28"/>
  <c r="B95" i="28"/>
  <c r="X94" i="28"/>
  <c r="Z94" i="28" s="1"/>
  <c r="L94" i="28"/>
  <c r="N94" i="28" s="1"/>
  <c r="B94" i="28"/>
  <c r="X93" i="28"/>
  <c r="Z93" i="28" s="1"/>
  <c r="T93" i="28"/>
  <c r="P93" i="28"/>
  <c r="H93" i="28"/>
  <c r="D93" i="28"/>
  <c r="L93" i="28" s="1"/>
  <c r="B93" i="28"/>
  <c r="X92" i="28"/>
  <c r="Z92" i="28" s="1"/>
  <c r="N92" i="28"/>
  <c r="L92" i="28"/>
  <c r="F92" i="28"/>
  <c r="B92" i="28"/>
  <c r="Z91" i="28"/>
  <c r="X91" i="28"/>
  <c r="L91" i="28"/>
  <c r="N91" i="28" s="1"/>
  <c r="J91" i="28"/>
  <c r="B91" i="28"/>
  <c r="T90" i="28"/>
  <c r="Z90" i="28" s="1"/>
  <c r="P90" i="28"/>
  <c r="X90" i="28" s="1"/>
  <c r="L90" i="28"/>
  <c r="H90" i="28"/>
  <c r="N90" i="28" s="1"/>
  <c r="D90" i="28"/>
  <c r="B90" i="28"/>
  <c r="Z89" i="28"/>
  <c r="X89" i="28"/>
  <c r="L89" i="28"/>
  <c r="N89" i="28" s="1"/>
  <c r="B89" i="28"/>
  <c r="X88" i="28"/>
  <c r="T88" i="28"/>
  <c r="Z88" i="28" s="1"/>
  <c r="P88" i="28"/>
  <c r="L88" i="28"/>
  <c r="H88" i="28"/>
  <c r="D88" i="28"/>
  <c r="B88" i="28"/>
  <c r="Z87" i="28"/>
  <c r="X87" i="28"/>
  <c r="V87" i="28"/>
  <c r="N87" i="28"/>
  <c r="L87" i="28"/>
  <c r="B87" i="28"/>
  <c r="X86" i="28"/>
  <c r="T86" i="28"/>
  <c r="Z86" i="28" s="1"/>
  <c r="P86" i="28"/>
  <c r="H86" i="28"/>
  <c r="D86" i="28"/>
  <c r="B86" i="28"/>
  <c r="X85" i="28"/>
  <c r="Z85" i="28" s="1"/>
  <c r="N85" i="28"/>
  <c r="L85" i="28"/>
  <c r="B85" i="28"/>
  <c r="T84" i="28"/>
  <c r="P84" i="28"/>
  <c r="H84" i="28"/>
  <c r="D84" i="28"/>
  <c r="L84" i="28" s="1"/>
  <c r="B84" i="28"/>
  <c r="Z83" i="28"/>
  <c r="X83" i="28"/>
  <c r="N83" i="28"/>
  <c r="L83" i="28"/>
  <c r="J83" i="28"/>
  <c r="B83" i="28"/>
  <c r="T82" i="28"/>
  <c r="P82" i="28"/>
  <c r="X82" i="28" s="1"/>
  <c r="L82" i="28"/>
  <c r="H82" i="28"/>
  <c r="N82" i="28" s="1"/>
  <c r="D82" i="28"/>
  <c r="B82" i="28"/>
  <c r="Z81" i="28"/>
  <c r="X81" i="28"/>
  <c r="N81" i="28"/>
  <c r="L81" i="28"/>
  <c r="B81" i="28"/>
  <c r="X80" i="28"/>
  <c r="Z80" i="28" s="1"/>
  <c r="N80" i="28"/>
  <c r="L80" i="28"/>
  <c r="B80" i="28"/>
  <c r="T79" i="28"/>
  <c r="P79" i="28"/>
  <c r="X79" i="28" s="1"/>
  <c r="N79" i="28"/>
  <c r="H79" i="28"/>
  <c r="D79" i="28"/>
  <c r="L79" i="28" s="1"/>
  <c r="B79" i="28"/>
  <c r="Z78" i="28"/>
  <c r="X78" i="28"/>
  <c r="N78" i="28"/>
  <c r="L78" i="28"/>
  <c r="B78" i="28"/>
  <c r="Z77" i="28"/>
  <c r="X77" i="28"/>
  <c r="L77" i="28"/>
  <c r="N77" i="28" s="1"/>
  <c r="B77" i="28"/>
  <c r="X76" i="28"/>
  <c r="T76" i="28"/>
  <c r="Z76" i="28" s="1"/>
  <c r="P76" i="28"/>
  <c r="L76" i="28"/>
  <c r="H76" i="28"/>
  <c r="D76" i="28"/>
  <c r="B76" i="28"/>
  <c r="Z75" i="28"/>
  <c r="X75" i="28"/>
  <c r="V75" i="28"/>
  <c r="N75" i="28"/>
  <c r="L75" i="28"/>
  <c r="B75" i="28"/>
  <c r="X74" i="28"/>
  <c r="T74" i="28"/>
  <c r="Z74" i="28" s="1"/>
  <c r="P74" i="28"/>
  <c r="H74" i="28"/>
  <c r="N74" i="28" s="1"/>
  <c r="D74" i="28"/>
  <c r="L74" i="28" s="1"/>
  <c r="B74" i="28"/>
  <c r="X73" i="28"/>
  <c r="Z73" i="28" s="1"/>
  <c r="N73" i="28"/>
  <c r="L73" i="28"/>
  <c r="B73" i="28"/>
  <c r="T72" i="28"/>
  <c r="P72" i="28"/>
  <c r="H72" i="28"/>
  <c r="D72" i="28"/>
  <c r="L72" i="28" s="1"/>
  <c r="B72" i="28"/>
  <c r="Z71" i="28"/>
  <c r="X71" i="28"/>
  <c r="N71" i="28"/>
  <c r="L71" i="28"/>
  <c r="J71" i="28"/>
  <c r="B71" i="28"/>
  <c r="V70" i="28"/>
  <c r="T70" i="28"/>
  <c r="Z70" i="28" s="1"/>
  <c r="P70" i="28"/>
  <c r="X70" i="28" s="1"/>
  <c r="L70" i="28"/>
  <c r="H70" i="28"/>
  <c r="N70" i="28" s="1"/>
  <c r="D70" i="28"/>
  <c r="B70" i="28"/>
  <c r="Z69" i="28"/>
  <c r="X69" i="28"/>
  <c r="L69" i="28"/>
  <c r="N69" i="28" s="1"/>
  <c r="B69" i="28"/>
  <c r="X68" i="28"/>
  <c r="T68" i="28"/>
  <c r="Z68" i="28" s="1"/>
  <c r="P68" i="28"/>
  <c r="L68" i="28"/>
  <c r="H68" i="28"/>
  <c r="N68" i="28" s="1"/>
  <c r="D68" i="28"/>
  <c r="B68" i="28"/>
  <c r="Z67" i="28"/>
  <c r="X67" i="28"/>
  <c r="V67" i="28"/>
  <c r="N67" i="28"/>
  <c r="L67" i="28"/>
  <c r="B67" i="28"/>
  <c r="X66" i="28"/>
  <c r="T66" i="28"/>
  <c r="P66" i="28"/>
  <c r="H66" i="28"/>
  <c r="D66" i="28"/>
  <c r="B66" i="28"/>
  <c r="X65" i="28"/>
  <c r="Z65" i="28" s="1"/>
  <c r="N65" i="28"/>
  <c r="L65" i="28"/>
  <c r="B65" i="28"/>
  <c r="T64" i="28"/>
  <c r="P64" i="28"/>
  <c r="X64" i="28" s="1"/>
  <c r="H64" i="28"/>
  <c r="N64" i="28" s="1"/>
  <c r="D64" i="28"/>
  <c r="L64" i="28" s="1"/>
  <c r="B64" i="28"/>
  <c r="Z63" i="28"/>
  <c r="X63" i="28"/>
  <c r="N63" i="28"/>
  <c r="L63" i="28"/>
  <c r="J63" i="28"/>
  <c r="B63" i="28"/>
  <c r="Z62" i="28"/>
  <c r="X62" i="28"/>
  <c r="V62" i="28"/>
  <c r="N62" i="28"/>
  <c r="L62" i="28"/>
  <c r="B62" i="28"/>
  <c r="X61" i="28"/>
  <c r="Z61" i="28" s="1"/>
  <c r="N61" i="28"/>
  <c r="L61" i="28"/>
  <c r="B61" i="28"/>
  <c r="Z60" i="28"/>
  <c r="X60" i="28"/>
  <c r="L60" i="28"/>
  <c r="N60" i="28" s="1"/>
  <c r="B60" i="28"/>
  <c r="Z59" i="28"/>
  <c r="X59" i="28"/>
  <c r="V59" i="28"/>
  <c r="N59" i="28"/>
  <c r="L59" i="28"/>
  <c r="B59" i="28"/>
  <c r="Z58" i="28"/>
  <c r="X58" i="28"/>
  <c r="N58" i="28"/>
  <c r="L58" i="28"/>
  <c r="B58" i="28"/>
  <c r="Z57" i="28"/>
  <c r="X57" i="28"/>
  <c r="L57" i="28"/>
  <c r="N57" i="28" s="1"/>
  <c r="B57" i="28"/>
  <c r="Z56" i="28"/>
  <c r="X56" i="28"/>
  <c r="N56" i="28"/>
  <c r="L56" i="28"/>
  <c r="F56" i="28"/>
  <c r="B56" i="28"/>
  <c r="Z55" i="28"/>
  <c r="X55" i="28"/>
  <c r="N55" i="28"/>
  <c r="L55" i="28"/>
  <c r="J55" i="28"/>
  <c r="B55" i="28"/>
  <c r="Z54" i="28"/>
  <c r="X54" i="28"/>
  <c r="V54" i="28"/>
  <c r="N54" i="28"/>
  <c r="L54" i="28"/>
  <c r="B54" i="28"/>
  <c r="X53" i="28"/>
  <c r="Z53" i="28" s="1"/>
  <c r="T53" i="28"/>
  <c r="P53" i="28"/>
  <c r="H53" i="28"/>
  <c r="N53" i="28" s="1"/>
  <c r="D53" i="28"/>
  <c r="L53" i="28" s="1"/>
  <c r="B53" i="28"/>
  <c r="X52" i="28"/>
  <c r="Z52" i="28" s="1"/>
  <c r="N52" i="28"/>
  <c r="L52" i="28"/>
  <c r="F52" i="28"/>
  <c r="B52" i="28"/>
  <c r="Z51" i="28"/>
  <c r="X51" i="28"/>
  <c r="N51" i="28"/>
  <c r="L51" i="28"/>
  <c r="J51" i="28"/>
  <c r="B51" i="28"/>
  <c r="X50" i="28"/>
  <c r="Z50" i="28" s="1"/>
  <c r="V50" i="28"/>
  <c r="L50" i="28"/>
  <c r="N50" i="28" s="1"/>
  <c r="B50" i="28"/>
  <c r="Z49" i="28"/>
  <c r="X49" i="28"/>
  <c r="N49" i="28"/>
  <c r="L49" i="28"/>
  <c r="B49" i="28"/>
  <c r="Z48" i="28"/>
  <c r="X48" i="28"/>
  <c r="L48" i="28"/>
  <c r="N48" i="28" s="1"/>
  <c r="B48" i="28"/>
  <c r="Z47" i="28"/>
  <c r="X47" i="28"/>
  <c r="V47" i="28"/>
  <c r="N47" i="28"/>
  <c r="L47" i="28"/>
  <c r="B47" i="28"/>
  <c r="X46" i="28"/>
  <c r="Z46" i="28" s="1"/>
  <c r="L46" i="28"/>
  <c r="N46" i="28" s="1"/>
  <c r="B46" i="28"/>
  <c r="Z45" i="28"/>
  <c r="X45" i="28"/>
  <c r="V45" i="28"/>
  <c r="L45" i="28"/>
  <c r="N45" i="28" s="1"/>
  <c r="B45" i="28"/>
  <c r="X44" i="28"/>
  <c r="Z44" i="28" s="1"/>
  <c r="N44" i="28"/>
  <c r="L44" i="28"/>
  <c r="B44" i="28"/>
  <c r="T43" i="28"/>
  <c r="Z43" i="28" s="1"/>
  <c r="P43" i="28"/>
  <c r="X43" i="28" s="1"/>
  <c r="H43" i="28"/>
  <c r="D43" i="28"/>
  <c r="L43" i="28" s="1"/>
  <c r="N43" i="28" s="1"/>
  <c r="B43" i="28"/>
  <c r="X42" i="28"/>
  <c r="T42" i="28"/>
  <c r="Z42" i="28" s="1"/>
  <c r="P42" i="28"/>
  <c r="H42" i="28"/>
  <c r="D42" i="28"/>
  <c r="Z38" i="28"/>
  <c r="X38" i="28"/>
  <c r="N38" i="28"/>
  <c r="L38" i="28"/>
  <c r="B38" i="28"/>
  <c r="Z37" i="28"/>
  <c r="X37" i="28"/>
  <c r="V37" i="28"/>
  <c r="N37" i="28"/>
  <c r="L37" i="28"/>
  <c r="B37" i="28"/>
  <c r="Z36" i="28"/>
  <c r="X36" i="28"/>
  <c r="N36" i="28"/>
  <c r="L36" i="28"/>
  <c r="F36" i="28"/>
  <c r="B36" i="28"/>
  <c r="Z35" i="28"/>
  <c r="X35" i="28"/>
  <c r="V35" i="28"/>
  <c r="N35" i="28"/>
  <c r="L35" i="28"/>
  <c r="J35" i="28"/>
  <c r="B35" i="28"/>
  <c r="Z34" i="28"/>
  <c r="X34" i="28"/>
  <c r="V34" i="28"/>
  <c r="N34" i="28"/>
  <c r="L34" i="28"/>
  <c r="B34" i="28"/>
  <c r="Z33" i="28"/>
  <c r="X33" i="28"/>
  <c r="V33" i="28"/>
  <c r="N33" i="28"/>
  <c r="L33" i="28"/>
  <c r="J33" i="28"/>
  <c r="B33" i="28"/>
  <c r="Z32" i="28"/>
  <c r="X32" i="28"/>
  <c r="V32" i="28"/>
  <c r="N32" i="28"/>
  <c r="L32" i="28"/>
  <c r="B32" i="28"/>
  <c r="Z31" i="28"/>
  <c r="X31" i="28"/>
  <c r="V31" i="28"/>
  <c r="N31" i="28"/>
  <c r="L31" i="28"/>
  <c r="B31" i="28"/>
  <c r="Z30" i="28"/>
  <c r="X30" i="28"/>
  <c r="N30" i="28"/>
  <c r="L30" i="28"/>
  <c r="J30" i="28"/>
  <c r="B30" i="28"/>
  <c r="Z29" i="28"/>
  <c r="X29" i="28"/>
  <c r="V29" i="28"/>
  <c r="N29" i="28"/>
  <c r="L29" i="28"/>
  <c r="B29" i="28"/>
  <c r="Z28" i="28"/>
  <c r="X28" i="28"/>
  <c r="N28" i="28"/>
  <c r="L28" i="28"/>
  <c r="B28" i="28"/>
  <c r="Z27" i="28"/>
  <c r="X27" i="28"/>
  <c r="V27" i="28"/>
  <c r="N27" i="28"/>
  <c r="L27" i="28"/>
  <c r="J27" i="28"/>
  <c r="B27" i="28"/>
  <c r="Z26" i="28"/>
  <c r="X26" i="28"/>
  <c r="V26" i="28"/>
  <c r="N26" i="28"/>
  <c r="L26" i="28"/>
  <c r="B26" i="28"/>
  <c r="Z25" i="28"/>
  <c r="X25" i="28"/>
  <c r="V25" i="28"/>
  <c r="N25" i="28"/>
  <c r="L25" i="28"/>
  <c r="J25" i="28"/>
  <c r="B25" i="28"/>
  <c r="Z24" i="28"/>
  <c r="X24" i="28"/>
  <c r="V24" i="28"/>
  <c r="N24" i="28"/>
  <c r="L24" i="28"/>
  <c r="B24" i="28"/>
  <c r="Z23" i="28"/>
  <c r="X23" i="28"/>
  <c r="V23" i="28"/>
  <c r="N23" i="28"/>
  <c r="L23" i="28"/>
  <c r="B23" i="28"/>
  <c r="Z22" i="28"/>
  <c r="X22" i="28"/>
  <c r="N22" i="28"/>
  <c r="L22" i="28"/>
  <c r="J22" i="28"/>
  <c r="B22" i="28"/>
  <c r="Z21" i="28"/>
  <c r="X21" i="28"/>
  <c r="V21" i="28"/>
  <c r="N21" i="28"/>
  <c r="L21" i="28"/>
  <c r="B21" i="28"/>
  <c r="X20" i="28"/>
  <c r="Z20" i="28" s="1"/>
  <c r="N20" i="28"/>
  <c r="L20" i="28"/>
  <c r="F20" i="28"/>
  <c r="B20" i="28"/>
  <c r="T19" i="28"/>
  <c r="P19" i="28"/>
  <c r="X19" i="28" s="1"/>
  <c r="N19" i="28"/>
  <c r="J19" i="28"/>
  <c r="H19" i="28"/>
  <c r="D19" i="28"/>
  <c r="L19" i="28" s="1"/>
  <c r="Z17" i="28"/>
  <c r="P17" i="28"/>
  <c r="X17" i="28" s="1"/>
  <c r="N17" i="28"/>
  <c r="L17" i="28"/>
  <c r="D17" i="28"/>
  <c r="B17" i="28"/>
  <c r="Z16" i="28"/>
  <c r="X16" i="28"/>
  <c r="P16" i="28"/>
  <c r="N16" i="28"/>
  <c r="D16" i="28"/>
  <c r="L16" i="28" s="1"/>
  <c r="B16" i="28"/>
  <c r="Z15" i="28"/>
  <c r="X15" i="28"/>
  <c r="P15" i="28"/>
  <c r="N15" i="28"/>
  <c r="L15" i="28"/>
  <c r="D15" i="28"/>
  <c r="B15" i="28"/>
  <c r="Z14" i="28"/>
  <c r="P14" i="28"/>
  <c r="X14" i="28" s="1"/>
  <c r="N14" i="28"/>
  <c r="D14" i="28"/>
  <c r="L14" i="28" s="1"/>
  <c r="B14" i="28"/>
  <c r="P13" i="28"/>
  <c r="X13" i="28" s="1"/>
  <c r="Z13" i="28" s="1"/>
  <c r="D13" i="28"/>
  <c r="L13" i="28" s="1"/>
  <c r="N13" i="28" s="1"/>
  <c r="B13" i="28"/>
  <c r="T12" i="28"/>
  <c r="V118" i="28" s="1"/>
  <c r="H12" i="28"/>
  <c r="D12" i="28"/>
  <c r="F44" i="28" s="1"/>
  <c r="D4" i="28"/>
  <c r="B39" i="27"/>
  <c r="B38" i="27"/>
  <c r="T34" i="27"/>
  <c r="Z34" i="27" s="1"/>
  <c r="P34" i="27"/>
  <c r="H34" i="27"/>
  <c r="N34" i="27" s="1"/>
  <c r="D34" i="27"/>
  <c r="T33" i="27"/>
  <c r="Z33" i="27" s="1"/>
  <c r="P33" i="27"/>
  <c r="X33" i="27" s="1"/>
  <c r="H33" i="27"/>
  <c r="N33" i="27" s="1"/>
  <c r="D33" i="27"/>
  <c r="T29" i="27"/>
  <c r="Z29" i="27" s="1"/>
  <c r="P29" i="27"/>
  <c r="H29" i="27"/>
  <c r="N29" i="27" s="1"/>
  <c r="D29" i="27"/>
  <c r="T25" i="27"/>
  <c r="Z25" i="27" s="1"/>
  <c r="P25" i="27"/>
  <c r="X25" i="27" s="1"/>
  <c r="H25" i="27"/>
  <c r="N25" i="27" s="1"/>
  <c r="D25" i="27"/>
  <c r="B25" i="27"/>
  <c r="T24" i="27"/>
  <c r="Z24" i="27" s="1"/>
  <c r="P24" i="27"/>
  <c r="H24" i="27"/>
  <c r="N24" i="27" s="1"/>
  <c r="D24" i="27"/>
  <c r="T22" i="27"/>
  <c r="Z22" i="27" s="1"/>
  <c r="P22" i="27"/>
  <c r="H22" i="27"/>
  <c r="N22" i="27" s="1"/>
  <c r="D22" i="27"/>
  <c r="B22" i="27"/>
  <c r="T21" i="27"/>
  <c r="Z21" i="27" s="1"/>
  <c r="P21" i="27"/>
  <c r="H21" i="27"/>
  <c r="N21" i="27" s="1"/>
  <c r="D21" i="27"/>
  <c r="B21" i="27"/>
  <c r="T20" i="27"/>
  <c r="Z20" i="27" s="1"/>
  <c r="P20" i="27"/>
  <c r="H20" i="27"/>
  <c r="N20" i="27" s="1"/>
  <c r="D20" i="27"/>
  <c r="T16" i="27"/>
  <c r="Z16" i="27" s="1"/>
  <c r="P16" i="27"/>
  <c r="H16" i="27"/>
  <c r="N16" i="27" s="1"/>
  <c r="D16" i="27"/>
  <c r="B16" i="27"/>
  <c r="T15" i="27"/>
  <c r="Z15" i="27" s="1"/>
  <c r="P15" i="27"/>
  <c r="H15" i="27"/>
  <c r="N15" i="27" s="1"/>
  <c r="D15" i="27"/>
  <c r="T13" i="27"/>
  <c r="Z13" i="27" s="1"/>
  <c r="P13" i="27"/>
  <c r="X13" i="27" s="1"/>
  <c r="H13" i="27"/>
  <c r="N13" i="27" s="1"/>
  <c r="D13" i="27"/>
  <c r="L13" i="27" s="1"/>
  <c r="B13" i="27"/>
  <c r="T12" i="27"/>
  <c r="V20" i="27" s="1"/>
  <c r="P12" i="27"/>
  <c r="R22" i="27" s="1"/>
  <c r="H12" i="27"/>
  <c r="D12" i="27"/>
  <c r="D5" i="27"/>
  <c r="D4" i="27"/>
  <c r="B39" i="26"/>
  <c r="B38" i="26"/>
  <c r="T34" i="26"/>
  <c r="Z34" i="26" s="1"/>
  <c r="P34" i="26"/>
  <c r="H34" i="26"/>
  <c r="D34" i="26"/>
  <c r="T33" i="26"/>
  <c r="Z33" i="26" s="1"/>
  <c r="P33" i="26"/>
  <c r="H33" i="26"/>
  <c r="N33" i="26" s="1"/>
  <c r="D33" i="26"/>
  <c r="T29" i="26"/>
  <c r="Z29" i="26" s="1"/>
  <c r="P29" i="26"/>
  <c r="H29" i="26"/>
  <c r="N29" i="26" s="1"/>
  <c r="D29" i="26"/>
  <c r="T25" i="26"/>
  <c r="Z25" i="26" s="1"/>
  <c r="P25" i="26"/>
  <c r="H25" i="26"/>
  <c r="N25" i="26" s="1"/>
  <c r="D25" i="26"/>
  <c r="B25" i="26"/>
  <c r="T24" i="26"/>
  <c r="Z24" i="26" s="1"/>
  <c r="P24" i="26"/>
  <c r="H24" i="26"/>
  <c r="N24" i="26" s="1"/>
  <c r="D24" i="26"/>
  <c r="T22" i="26"/>
  <c r="Z22" i="26" s="1"/>
  <c r="P22" i="26"/>
  <c r="H22" i="26"/>
  <c r="N22" i="26" s="1"/>
  <c r="D22" i="26"/>
  <c r="B22" i="26"/>
  <c r="T21" i="26"/>
  <c r="Z21" i="26" s="1"/>
  <c r="P21" i="26"/>
  <c r="H21" i="26"/>
  <c r="N21" i="26" s="1"/>
  <c r="D21" i="26"/>
  <c r="B21" i="26"/>
  <c r="T20" i="26"/>
  <c r="Z20" i="26" s="1"/>
  <c r="P20" i="26"/>
  <c r="H20" i="26"/>
  <c r="D20" i="26"/>
  <c r="T16" i="26"/>
  <c r="Z16" i="26" s="1"/>
  <c r="P16" i="26"/>
  <c r="H16" i="26"/>
  <c r="N16" i="26" s="1"/>
  <c r="D16" i="26"/>
  <c r="B16" i="26"/>
  <c r="T15" i="26"/>
  <c r="Z15" i="26" s="1"/>
  <c r="P15" i="26"/>
  <c r="H15" i="26"/>
  <c r="N15" i="26" s="1"/>
  <c r="D15" i="26"/>
  <c r="T13" i="26"/>
  <c r="Z13" i="26" s="1"/>
  <c r="P13" i="26"/>
  <c r="H13" i="26"/>
  <c r="N13" i="26" s="1"/>
  <c r="D13" i="26"/>
  <c r="B13" i="26"/>
  <c r="T12" i="26"/>
  <c r="V34" i="26" s="1"/>
  <c r="P12" i="26"/>
  <c r="R36" i="26" s="1"/>
  <c r="H12" i="26"/>
  <c r="J16" i="26" s="1"/>
  <c r="D12" i="26"/>
  <c r="F34" i="26" s="1"/>
  <c r="D5" i="26"/>
  <c r="D4" i="26"/>
  <c r="X95" i="25"/>
  <c r="Z95" i="25" s="1"/>
  <c r="N95" i="25"/>
  <c r="L95" i="25"/>
  <c r="Z91" i="25"/>
  <c r="P91" i="25"/>
  <c r="X91" i="25" s="1"/>
  <c r="N91" i="25"/>
  <c r="L91" i="25"/>
  <c r="D91" i="25"/>
  <c r="B91" i="25"/>
  <c r="Z90" i="25"/>
  <c r="X90" i="25"/>
  <c r="P90" i="25"/>
  <c r="N90" i="25"/>
  <c r="D90" i="25"/>
  <c r="L90" i="25" s="1"/>
  <c r="B90" i="25"/>
  <c r="V89" i="25"/>
  <c r="P89" i="25"/>
  <c r="X89" i="25" s="1"/>
  <c r="Z89" i="25" s="1"/>
  <c r="L89" i="25"/>
  <c r="N89" i="25" s="1"/>
  <c r="D89" i="25"/>
  <c r="B89" i="25"/>
  <c r="X88" i="25"/>
  <c r="Z88" i="25" s="1"/>
  <c r="P88" i="25"/>
  <c r="P87" i="25" s="1"/>
  <c r="X87" i="25" s="1"/>
  <c r="Z87" i="25" s="1"/>
  <c r="J88" i="25"/>
  <c r="D88" i="25"/>
  <c r="L88" i="25" s="1"/>
  <c r="N88" i="25" s="1"/>
  <c r="B88" i="25"/>
  <c r="T87" i="25"/>
  <c r="H87" i="25"/>
  <c r="Z85" i="25"/>
  <c r="X85" i="25"/>
  <c r="N85" i="25"/>
  <c r="L85" i="25"/>
  <c r="B85" i="25"/>
  <c r="X84" i="25"/>
  <c r="T84" i="25"/>
  <c r="Z84" i="25" s="1"/>
  <c r="P84" i="25"/>
  <c r="L84" i="25"/>
  <c r="H84" i="25"/>
  <c r="N84" i="25" s="1"/>
  <c r="D84" i="25"/>
  <c r="B84" i="25"/>
  <c r="X83" i="25"/>
  <c r="Z83" i="25" s="1"/>
  <c r="V83" i="25"/>
  <c r="N83" i="25"/>
  <c r="L83" i="25"/>
  <c r="B83" i="25"/>
  <c r="Z82" i="25"/>
  <c r="X82" i="25"/>
  <c r="N82" i="25"/>
  <c r="L82" i="25"/>
  <c r="B82" i="25"/>
  <c r="T81" i="25"/>
  <c r="P81" i="25"/>
  <c r="X81" i="25" s="1"/>
  <c r="Z81" i="25" s="1"/>
  <c r="L81" i="25"/>
  <c r="N81" i="25" s="1"/>
  <c r="J81" i="25"/>
  <c r="H81" i="25"/>
  <c r="D81" i="25"/>
  <c r="B81" i="25"/>
  <c r="Z80" i="25"/>
  <c r="X80" i="25"/>
  <c r="L80" i="25"/>
  <c r="N80" i="25" s="1"/>
  <c r="B80" i="25"/>
  <c r="X79" i="25"/>
  <c r="Z79" i="25" s="1"/>
  <c r="V79" i="25"/>
  <c r="N79" i="25"/>
  <c r="L79" i="25"/>
  <c r="B79" i="25"/>
  <c r="X78" i="25"/>
  <c r="T78" i="25"/>
  <c r="P78" i="25"/>
  <c r="H78" i="25"/>
  <c r="D78" i="25"/>
  <c r="B78" i="25"/>
  <c r="X77" i="25"/>
  <c r="Z77" i="25" s="1"/>
  <c r="N77" i="25"/>
  <c r="L77" i="25"/>
  <c r="B77" i="25"/>
  <c r="Z76" i="25"/>
  <c r="X76" i="25"/>
  <c r="L76" i="25"/>
  <c r="N76" i="25" s="1"/>
  <c r="B76" i="25"/>
  <c r="X75" i="25"/>
  <c r="Z75" i="25" s="1"/>
  <c r="V75" i="25"/>
  <c r="T75" i="25"/>
  <c r="P75" i="25"/>
  <c r="L75" i="25"/>
  <c r="N75" i="25" s="1"/>
  <c r="H75" i="25"/>
  <c r="D75" i="25"/>
  <c r="B75" i="25"/>
  <c r="X74" i="25"/>
  <c r="Z74" i="25" s="1"/>
  <c r="L74" i="25"/>
  <c r="N74" i="25" s="1"/>
  <c r="B74" i="25"/>
  <c r="X73" i="25"/>
  <c r="Z73" i="25" s="1"/>
  <c r="N73" i="25"/>
  <c r="L73" i="25"/>
  <c r="B73" i="25"/>
  <c r="Z72" i="25"/>
  <c r="X72" i="25"/>
  <c r="N72" i="25"/>
  <c r="L72" i="25"/>
  <c r="B72" i="25"/>
  <c r="X71" i="25"/>
  <c r="Z71" i="25" s="1"/>
  <c r="V71" i="25"/>
  <c r="T71" i="25"/>
  <c r="P71" i="25"/>
  <c r="L71" i="25"/>
  <c r="N71" i="25" s="1"/>
  <c r="H71" i="25"/>
  <c r="D71" i="25"/>
  <c r="B71" i="25"/>
  <c r="X70" i="25"/>
  <c r="Z70" i="25" s="1"/>
  <c r="L70" i="25"/>
  <c r="N70" i="25" s="1"/>
  <c r="B70" i="25"/>
  <c r="X69" i="25"/>
  <c r="Z69" i="25" s="1"/>
  <c r="T69" i="25"/>
  <c r="P69" i="25"/>
  <c r="H69" i="25"/>
  <c r="D69" i="25"/>
  <c r="L69" i="25" s="1"/>
  <c r="B69" i="25"/>
  <c r="X68" i="25"/>
  <c r="Z68" i="25" s="1"/>
  <c r="N68" i="25"/>
  <c r="L68" i="25"/>
  <c r="B68" i="25"/>
  <c r="T67" i="25"/>
  <c r="P67" i="25"/>
  <c r="X67" i="25" s="1"/>
  <c r="N67" i="25"/>
  <c r="H67" i="25"/>
  <c r="D67" i="25"/>
  <c r="L67" i="25" s="1"/>
  <c r="B67" i="25"/>
  <c r="Z66" i="25"/>
  <c r="X66" i="25"/>
  <c r="N66" i="25"/>
  <c r="L66" i="25"/>
  <c r="J66" i="25"/>
  <c r="B66" i="25"/>
  <c r="Z65" i="25"/>
  <c r="X65" i="25"/>
  <c r="L65" i="25"/>
  <c r="N65" i="25" s="1"/>
  <c r="B65" i="25"/>
  <c r="X64" i="25"/>
  <c r="T64" i="25"/>
  <c r="Z64" i="25" s="1"/>
  <c r="P64" i="25"/>
  <c r="L64" i="25"/>
  <c r="H64" i="25"/>
  <c r="D64" i="25"/>
  <c r="B64" i="25"/>
  <c r="X63" i="25"/>
  <c r="Z63" i="25" s="1"/>
  <c r="V63" i="25"/>
  <c r="N63" i="25"/>
  <c r="L63" i="25"/>
  <c r="B63" i="25"/>
  <c r="X62" i="25"/>
  <c r="T62" i="25"/>
  <c r="Z62" i="25" s="1"/>
  <c r="P62" i="25"/>
  <c r="H62" i="25"/>
  <c r="D62" i="25"/>
  <c r="B62" i="25"/>
  <c r="X61" i="25"/>
  <c r="Z61" i="25" s="1"/>
  <c r="N61" i="25"/>
  <c r="L61" i="25"/>
  <c r="J61" i="25"/>
  <c r="B61" i="25"/>
  <c r="T60" i="25"/>
  <c r="P60" i="25"/>
  <c r="J60" i="25"/>
  <c r="H60" i="25"/>
  <c r="D60" i="25"/>
  <c r="L60" i="25" s="1"/>
  <c r="B60" i="25"/>
  <c r="Z59" i="25"/>
  <c r="X59" i="25"/>
  <c r="N59" i="25"/>
  <c r="L59" i="25"/>
  <c r="J59" i="25"/>
  <c r="B59" i="25"/>
  <c r="T58" i="25"/>
  <c r="Z58" i="25" s="1"/>
  <c r="P58" i="25"/>
  <c r="X58" i="25" s="1"/>
  <c r="L58" i="25"/>
  <c r="H58" i="25"/>
  <c r="N58" i="25" s="1"/>
  <c r="D58" i="25"/>
  <c r="B58" i="25"/>
  <c r="Z57" i="25"/>
  <c r="X57" i="25"/>
  <c r="L57" i="25"/>
  <c r="N57" i="25" s="1"/>
  <c r="B57" i="25"/>
  <c r="X56" i="25"/>
  <c r="T56" i="25"/>
  <c r="Z56" i="25" s="1"/>
  <c r="P56" i="25"/>
  <c r="L56" i="25"/>
  <c r="H56" i="25"/>
  <c r="N56" i="25" s="1"/>
  <c r="D56" i="25"/>
  <c r="B56" i="25"/>
  <c r="Z55" i="25"/>
  <c r="X55" i="25"/>
  <c r="V55" i="25"/>
  <c r="N55" i="25"/>
  <c r="L55" i="25"/>
  <c r="B55" i="25"/>
  <c r="Z54" i="25"/>
  <c r="X54" i="25"/>
  <c r="N54" i="25"/>
  <c r="L54" i="25"/>
  <c r="J54" i="25"/>
  <c r="B54" i="25"/>
  <c r="Z53" i="25"/>
  <c r="X53" i="25"/>
  <c r="L53" i="25"/>
  <c r="N53" i="25" s="1"/>
  <c r="B53" i="25"/>
  <c r="X52" i="25"/>
  <c r="Z52" i="25" s="1"/>
  <c r="N52" i="25"/>
  <c r="L52" i="25"/>
  <c r="B52" i="25"/>
  <c r="Z51" i="25"/>
  <c r="X51" i="25"/>
  <c r="N51" i="25"/>
  <c r="L51" i="25"/>
  <c r="J51" i="25"/>
  <c r="B51" i="25"/>
  <c r="X50" i="25"/>
  <c r="Z50" i="25" s="1"/>
  <c r="L50" i="25"/>
  <c r="N50" i="25" s="1"/>
  <c r="B50" i="25"/>
  <c r="X49" i="25"/>
  <c r="Z49" i="25" s="1"/>
  <c r="N49" i="25"/>
  <c r="L49" i="25"/>
  <c r="J49" i="25"/>
  <c r="B49" i="25"/>
  <c r="Z48" i="25"/>
  <c r="X48" i="25"/>
  <c r="N48" i="25"/>
  <c r="L48" i="25"/>
  <c r="B48" i="25"/>
  <c r="X47" i="25"/>
  <c r="Z47" i="25" s="1"/>
  <c r="V47" i="25"/>
  <c r="N47" i="25"/>
  <c r="L47" i="25"/>
  <c r="B47" i="25"/>
  <c r="Z46" i="25"/>
  <c r="X46" i="25"/>
  <c r="N46" i="25"/>
  <c r="L46" i="25"/>
  <c r="J46" i="25"/>
  <c r="B46" i="25"/>
  <c r="T45" i="25"/>
  <c r="P45" i="25"/>
  <c r="X45" i="25" s="1"/>
  <c r="Z45" i="25" s="1"/>
  <c r="L45" i="25"/>
  <c r="N45" i="25" s="1"/>
  <c r="J45" i="25"/>
  <c r="H45" i="25"/>
  <c r="D45" i="25"/>
  <c r="B45" i="25"/>
  <c r="Z44" i="25"/>
  <c r="X44" i="25"/>
  <c r="L44" i="25"/>
  <c r="N44" i="25" s="1"/>
  <c r="B44" i="25"/>
  <c r="X43" i="25"/>
  <c r="Z43" i="25" s="1"/>
  <c r="V43" i="25"/>
  <c r="N43" i="25"/>
  <c r="L43" i="25"/>
  <c r="J43" i="25"/>
  <c r="B43" i="25"/>
  <c r="X42" i="25"/>
  <c r="Z42" i="25" s="1"/>
  <c r="L42" i="25"/>
  <c r="N42" i="25" s="1"/>
  <c r="J42" i="25"/>
  <c r="B42" i="25"/>
  <c r="Z41" i="25"/>
  <c r="X41" i="25"/>
  <c r="N41" i="25"/>
  <c r="L41" i="25"/>
  <c r="B41" i="25"/>
  <c r="Z40" i="25"/>
  <c r="X40" i="25"/>
  <c r="N40" i="25"/>
  <c r="L40" i="25"/>
  <c r="B40" i="25"/>
  <c r="Z39" i="25"/>
  <c r="X39" i="25"/>
  <c r="L39" i="25"/>
  <c r="N39" i="25" s="1"/>
  <c r="J39" i="25"/>
  <c r="B39" i="25"/>
  <c r="X38" i="25"/>
  <c r="Z38" i="25" s="1"/>
  <c r="V38" i="25"/>
  <c r="L38" i="25"/>
  <c r="N38" i="25" s="1"/>
  <c r="B38" i="25"/>
  <c r="X37" i="25"/>
  <c r="Z37" i="25" s="1"/>
  <c r="N37" i="25"/>
  <c r="L37" i="25"/>
  <c r="J37" i="25"/>
  <c r="B37" i="25"/>
  <c r="Z36" i="25"/>
  <c r="X36" i="25"/>
  <c r="L36" i="25"/>
  <c r="N36" i="25" s="1"/>
  <c r="B36" i="25"/>
  <c r="X35" i="25"/>
  <c r="Z35" i="25" s="1"/>
  <c r="V35" i="25"/>
  <c r="N35" i="25"/>
  <c r="L35" i="25"/>
  <c r="J35" i="25"/>
  <c r="B35" i="25"/>
  <c r="X34" i="25"/>
  <c r="T34" i="25"/>
  <c r="P34" i="25"/>
  <c r="H34" i="25"/>
  <c r="D34" i="25"/>
  <c r="B34" i="25"/>
  <c r="X33" i="25"/>
  <c r="T33" i="25"/>
  <c r="Z33" i="25" s="1"/>
  <c r="P33" i="25"/>
  <c r="H33" i="25"/>
  <c r="N33" i="25" s="1"/>
  <c r="D33" i="25"/>
  <c r="L33" i="25" s="1"/>
  <c r="Z29" i="25"/>
  <c r="X29" i="25"/>
  <c r="N29" i="25"/>
  <c r="L29" i="25"/>
  <c r="J29" i="25"/>
  <c r="B29" i="25"/>
  <c r="Z28" i="25"/>
  <c r="X28" i="25"/>
  <c r="N28" i="25"/>
  <c r="L28" i="25"/>
  <c r="B28" i="25"/>
  <c r="Z27" i="25"/>
  <c r="X27" i="25"/>
  <c r="V27" i="25"/>
  <c r="N27" i="25"/>
  <c r="L27" i="25"/>
  <c r="J27" i="25"/>
  <c r="B27" i="25"/>
  <c r="Z26" i="25"/>
  <c r="X26" i="25"/>
  <c r="N26" i="25"/>
  <c r="L26" i="25"/>
  <c r="J26" i="25"/>
  <c r="B26" i="25"/>
  <c r="Z25" i="25"/>
  <c r="X25" i="25"/>
  <c r="N25" i="25"/>
  <c r="L25" i="25"/>
  <c r="J25" i="25"/>
  <c r="B25" i="25"/>
  <c r="Z24" i="25"/>
  <c r="X24" i="25"/>
  <c r="N24" i="25"/>
  <c r="L24" i="25"/>
  <c r="J24" i="25"/>
  <c r="B24" i="25"/>
  <c r="Z23" i="25"/>
  <c r="X23" i="25"/>
  <c r="N23" i="25"/>
  <c r="L23" i="25"/>
  <c r="J23" i="25"/>
  <c r="B23" i="25"/>
  <c r="Z22" i="25"/>
  <c r="X22" i="25"/>
  <c r="V22" i="25"/>
  <c r="N22" i="25"/>
  <c r="L22" i="25"/>
  <c r="B22" i="25"/>
  <c r="Z21" i="25"/>
  <c r="X21" i="25"/>
  <c r="N21" i="25"/>
  <c r="L21" i="25"/>
  <c r="J21" i="25"/>
  <c r="B21" i="25"/>
  <c r="Z20" i="25"/>
  <c r="X20" i="25"/>
  <c r="L20" i="25"/>
  <c r="N20" i="25" s="1"/>
  <c r="B20" i="25"/>
  <c r="X19" i="25"/>
  <c r="Z19" i="25" s="1"/>
  <c r="V19" i="25"/>
  <c r="T19" i="25"/>
  <c r="P19" i="25"/>
  <c r="L19" i="25"/>
  <c r="H19" i="25"/>
  <c r="N19" i="25" s="1"/>
  <c r="D19" i="25"/>
  <c r="Z17" i="25"/>
  <c r="P17" i="25"/>
  <c r="X17" i="25" s="1"/>
  <c r="N17" i="25"/>
  <c r="D17" i="25"/>
  <c r="L17" i="25" s="1"/>
  <c r="B17" i="25"/>
  <c r="Z16" i="25"/>
  <c r="X16" i="25"/>
  <c r="P16" i="25"/>
  <c r="N16" i="25"/>
  <c r="L16" i="25"/>
  <c r="D16" i="25"/>
  <c r="B16" i="25"/>
  <c r="Z15" i="25"/>
  <c r="P15" i="25"/>
  <c r="X15" i="25" s="1"/>
  <c r="N15" i="25"/>
  <c r="D15" i="25"/>
  <c r="L15" i="25" s="1"/>
  <c r="B15" i="25"/>
  <c r="Z14" i="25"/>
  <c r="X14" i="25"/>
  <c r="P14" i="25"/>
  <c r="N14" i="25"/>
  <c r="D14" i="25"/>
  <c r="L14" i="25" s="1"/>
  <c r="B14" i="25"/>
  <c r="P13" i="25"/>
  <c r="L13" i="25"/>
  <c r="N13" i="25" s="1"/>
  <c r="D13" i="25"/>
  <c r="B13" i="25"/>
  <c r="T12" i="25"/>
  <c r="V82" i="25" s="1"/>
  <c r="H12" i="25"/>
  <c r="J84" i="25" s="1"/>
  <c r="D4" i="25"/>
  <c r="B39" i="24"/>
  <c r="B38" i="24"/>
  <c r="T34" i="24"/>
  <c r="Z34" i="24" s="1"/>
  <c r="P34" i="24"/>
  <c r="H34" i="24"/>
  <c r="N34" i="24" s="1"/>
  <c r="D34" i="24"/>
  <c r="T33" i="24"/>
  <c r="Z33" i="24" s="1"/>
  <c r="P33" i="24"/>
  <c r="H33" i="24"/>
  <c r="N33" i="24" s="1"/>
  <c r="D33" i="24"/>
  <c r="T29" i="24"/>
  <c r="Z29" i="24" s="1"/>
  <c r="P29" i="24"/>
  <c r="H29" i="24"/>
  <c r="N29" i="24" s="1"/>
  <c r="D29" i="24"/>
  <c r="T25" i="24"/>
  <c r="Z25" i="24" s="1"/>
  <c r="P25" i="24"/>
  <c r="H25" i="24"/>
  <c r="N25" i="24" s="1"/>
  <c r="D25" i="24"/>
  <c r="B25" i="24"/>
  <c r="T24" i="24"/>
  <c r="Z24" i="24" s="1"/>
  <c r="P24" i="24"/>
  <c r="H24" i="24"/>
  <c r="N24" i="24" s="1"/>
  <c r="D24" i="24"/>
  <c r="T22" i="24"/>
  <c r="Z22" i="24" s="1"/>
  <c r="P22" i="24"/>
  <c r="H22" i="24"/>
  <c r="N22" i="24" s="1"/>
  <c r="D22" i="24"/>
  <c r="B22" i="24"/>
  <c r="T21" i="24"/>
  <c r="Z21" i="24" s="1"/>
  <c r="P21" i="24"/>
  <c r="H21" i="24"/>
  <c r="N21" i="24" s="1"/>
  <c r="D21" i="24"/>
  <c r="B21" i="24"/>
  <c r="T20" i="24"/>
  <c r="Z20" i="24" s="1"/>
  <c r="P20" i="24"/>
  <c r="H20" i="24"/>
  <c r="N20" i="24" s="1"/>
  <c r="D20" i="24"/>
  <c r="T16" i="24"/>
  <c r="Z16" i="24" s="1"/>
  <c r="P16" i="24"/>
  <c r="H16" i="24"/>
  <c r="N16" i="24" s="1"/>
  <c r="D16" i="24"/>
  <c r="L16" i="24" s="1"/>
  <c r="B16" i="24"/>
  <c r="T15" i="24"/>
  <c r="Z15" i="24" s="1"/>
  <c r="P15" i="24"/>
  <c r="H15" i="24"/>
  <c r="N15" i="24" s="1"/>
  <c r="D15" i="24"/>
  <c r="T13" i="24"/>
  <c r="Z13" i="24" s="1"/>
  <c r="P13" i="24"/>
  <c r="H13" i="24"/>
  <c r="N13" i="24" s="1"/>
  <c r="D13" i="24"/>
  <c r="B13" i="24"/>
  <c r="T12" i="24"/>
  <c r="V18" i="24" s="1"/>
  <c r="P12" i="24"/>
  <c r="R34" i="24" s="1"/>
  <c r="H12" i="24"/>
  <c r="J22" i="24" s="1"/>
  <c r="D12" i="24"/>
  <c r="D5" i="24"/>
  <c r="D4" i="24"/>
  <c r="B39" i="23"/>
  <c r="B38" i="23"/>
  <c r="T34" i="23"/>
  <c r="Z34" i="23" s="1"/>
  <c r="P34" i="23"/>
  <c r="H34" i="23"/>
  <c r="N34" i="23" s="1"/>
  <c r="D34" i="23"/>
  <c r="T33" i="23"/>
  <c r="Z33" i="23" s="1"/>
  <c r="P33" i="23"/>
  <c r="H33" i="23"/>
  <c r="N33" i="23" s="1"/>
  <c r="D33" i="23"/>
  <c r="T29" i="23"/>
  <c r="Z29" i="23" s="1"/>
  <c r="P29" i="23"/>
  <c r="H29" i="23"/>
  <c r="N29" i="23" s="1"/>
  <c r="D29" i="23"/>
  <c r="T25" i="23"/>
  <c r="Z25" i="23" s="1"/>
  <c r="P25" i="23"/>
  <c r="X25" i="23" s="1"/>
  <c r="H25" i="23"/>
  <c r="N25" i="23" s="1"/>
  <c r="D25" i="23"/>
  <c r="B25" i="23"/>
  <c r="T24" i="23"/>
  <c r="Z24" i="23" s="1"/>
  <c r="P24" i="23"/>
  <c r="H24" i="23"/>
  <c r="N24" i="23" s="1"/>
  <c r="D24" i="23"/>
  <c r="T22" i="23"/>
  <c r="Z22" i="23" s="1"/>
  <c r="P22" i="23"/>
  <c r="H22" i="23"/>
  <c r="N22" i="23" s="1"/>
  <c r="D22" i="23"/>
  <c r="B22" i="23"/>
  <c r="T21" i="23"/>
  <c r="Z21" i="23" s="1"/>
  <c r="P21" i="23"/>
  <c r="H21" i="23"/>
  <c r="N21" i="23" s="1"/>
  <c r="D21" i="23"/>
  <c r="B21" i="23"/>
  <c r="T20" i="23"/>
  <c r="Z20" i="23" s="1"/>
  <c r="P20" i="23"/>
  <c r="H20" i="23"/>
  <c r="N20" i="23" s="1"/>
  <c r="D20" i="23"/>
  <c r="T16" i="23"/>
  <c r="Z16" i="23" s="1"/>
  <c r="P16" i="23"/>
  <c r="H16" i="23"/>
  <c r="N16" i="23" s="1"/>
  <c r="D16" i="23"/>
  <c r="B16" i="23"/>
  <c r="T15" i="23"/>
  <c r="Z15" i="23" s="1"/>
  <c r="P15" i="23"/>
  <c r="H15" i="23"/>
  <c r="N15" i="23" s="1"/>
  <c r="D15" i="23"/>
  <c r="T13" i="23"/>
  <c r="Z13" i="23" s="1"/>
  <c r="P13" i="23"/>
  <c r="X13" i="23" s="1"/>
  <c r="H13" i="23"/>
  <c r="N13" i="23" s="1"/>
  <c r="D13" i="23"/>
  <c r="B13" i="23"/>
  <c r="T12" i="23"/>
  <c r="V24" i="23" s="1"/>
  <c r="P12" i="23"/>
  <c r="R34" i="23" s="1"/>
  <c r="H12" i="23"/>
  <c r="J36" i="23" s="1"/>
  <c r="D12" i="23"/>
  <c r="D5" i="23"/>
  <c r="D4" i="23"/>
  <c r="B39" i="22"/>
  <c r="B38" i="22"/>
  <c r="T34" i="22"/>
  <c r="Z34" i="22" s="1"/>
  <c r="P34" i="22"/>
  <c r="H34" i="22"/>
  <c r="N34" i="22" s="1"/>
  <c r="D34" i="22"/>
  <c r="T33" i="22"/>
  <c r="Z33" i="22" s="1"/>
  <c r="P33" i="22"/>
  <c r="H33" i="22"/>
  <c r="N33" i="22" s="1"/>
  <c r="D33" i="22"/>
  <c r="T29" i="22"/>
  <c r="Z29" i="22" s="1"/>
  <c r="P29" i="22"/>
  <c r="H29" i="22"/>
  <c r="N29" i="22" s="1"/>
  <c r="D29" i="22"/>
  <c r="T25" i="22"/>
  <c r="Z25" i="22" s="1"/>
  <c r="P25" i="22"/>
  <c r="H25" i="22"/>
  <c r="N25" i="22" s="1"/>
  <c r="D25" i="22"/>
  <c r="B25" i="22"/>
  <c r="T24" i="22"/>
  <c r="Z24" i="22" s="1"/>
  <c r="P24" i="22"/>
  <c r="H24" i="22"/>
  <c r="N24" i="22" s="1"/>
  <c r="D24" i="22"/>
  <c r="T22" i="22"/>
  <c r="Z22" i="22" s="1"/>
  <c r="P22" i="22"/>
  <c r="H22" i="22"/>
  <c r="N22" i="22" s="1"/>
  <c r="D22" i="22"/>
  <c r="B22" i="22"/>
  <c r="T21" i="22"/>
  <c r="Z21" i="22" s="1"/>
  <c r="P21" i="22"/>
  <c r="H21" i="22"/>
  <c r="N21" i="22" s="1"/>
  <c r="D21" i="22"/>
  <c r="B21" i="22"/>
  <c r="T20" i="22"/>
  <c r="Z20" i="22" s="1"/>
  <c r="P20" i="22"/>
  <c r="H20" i="22"/>
  <c r="N20" i="22" s="1"/>
  <c r="D20" i="22"/>
  <c r="T16" i="22"/>
  <c r="Z16" i="22" s="1"/>
  <c r="P16" i="22"/>
  <c r="H16" i="22"/>
  <c r="N16" i="22" s="1"/>
  <c r="D16" i="22"/>
  <c r="B16" i="22"/>
  <c r="T15" i="22"/>
  <c r="P15" i="22"/>
  <c r="H15" i="22"/>
  <c r="N15" i="22" s="1"/>
  <c r="D15" i="22"/>
  <c r="T13" i="22"/>
  <c r="Z13" i="22" s="1"/>
  <c r="P13" i="22"/>
  <c r="H13" i="22"/>
  <c r="N13" i="22" s="1"/>
  <c r="D13" i="22"/>
  <c r="B13" i="22"/>
  <c r="T12" i="22"/>
  <c r="V24" i="22" s="1"/>
  <c r="P12" i="22"/>
  <c r="R18" i="22" s="1"/>
  <c r="H12" i="22"/>
  <c r="J20" i="22" s="1"/>
  <c r="D12" i="22"/>
  <c r="F24" i="22" s="1"/>
  <c r="D5" i="22"/>
  <c r="D4" i="22"/>
  <c r="X95" i="21"/>
  <c r="Z95" i="21" s="1"/>
  <c r="N95" i="21"/>
  <c r="L95" i="21"/>
  <c r="T91" i="21"/>
  <c r="P91" i="21"/>
  <c r="H91" i="21"/>
  <c r="N91" i="21" s="1"/>
  <c r="D91" i="21"/>
  <c r="L91" i="21" s="1"/>
  <c r="Z89" i="21"/>
  <c r="X89" i="21"/>
  <c r="N89" i="21"/>
  <c r="L89" i="21"/>
  <c r="B89" i="21"/>
  <c r="V88" i="21"/>
  <c r="T88" i="21"/>
  <c r="Z88" i="21" s="1"/>
  <c r="P88" i="21"/>
  <c r="N88" i="21"/>
  <c r="H88" i="21"/>
  <c r="D88" i="21"/>
  <c r="L88" i="21" s="1"/>
  <c r="B88" i="21"/>
  <c r="Z87" i="21"/>
  <c r="X87" i="21"/>
  <c r="L87" i="21"/>
  <c r="N87" i="21" s="1"/>
  <c r="B87" i="21"/>
  <c r="T86" i="21"/>
  <c r="P86" i="21"/>
  <c r="X86" i="21" s="1"/>
  <c r="Z86" i="21" s="1"/>
  <c r="N86" i="21"/>
  <c r="L86" i="21"/>
  <c r="J86" i="21"/>
  <c r="H86" i="21"/>
  <c r="D86" i="21"/>
  <c r="B86" i="21"/>
  <c r="Z85" i="21"/>
  <c r="X85" i="21"/>
  <c r="L85" i="21"/>
  <c r="N85" i="21" s="1"/>
  <c r="B85" i="21"/>
  <c r="X84" i="21"/>
  <c r="Z84" i="21" s="1"/>
  <c r="N84" i="21"/>
  <c r="L84" i="21"/>
  <c r="B84" i="21"/>
  <c r="X83" i="21"/>
  <c r="T83" i="21"/>
  <c r="Z83" i="21" s="1"/>
  <c r="P83" i="21"/>
  <c r="N83" i="21"/>
  <c r="L83" i="21"/>
  <c r="H83" i="21"/>
  <c r="D83" i="21"/>
  <c r="B83" i="21"/>
  <c r="Z82" i="21"/>
  <c r="X82" i="21"/>
  <c r="V82" i="21"/>
  <c r="N82" i="21"/>
  <c r="L82" i="21"/>
  <c r="B82" i="21"/>
  <c r="X81" i="21"/>
  <c r="Z81" i="21" s="1"/>
  <c r="L81" i="21"/>
  <c r="N81" i="21" s="1"/>
  <c r="B81" i="21"/>
  <c r="Z80" i="21"/>
  <c r="X80" i="21"/>
  <c r="N80" i="21"/>
  <c r="L80" i="21"/>
  <c r="B80" i="21"/>
  <c r="X79" i="21"/>
  <c r="Z79" i="21" s="1"/>
  <c r="N79" i="21"/>
  <c r="L79" i="21"/>
  <c r="B79" i="21"/>
  <c r="X78" i="21"/>
  <c r="Z78" i="21" s="1"/>
  <c r="L78" i="21"/>
  <c r="N78" i="21" s="1"/>
  <c r="B78" i="21"/>
  <c r="Z77" i="21"/>
  <c r="T77" i="21"/>
  <c r="P77" i="21"/>
  <c r="X77" i="21" s="1"/>
  <c r="J77" i="21"/>
  <c r="H77" i="21"/>
  <c r="L77" i="21" s="1"/>
  <c r="N77" i="21" s="1"/>
  <c r="D77" i="21"/>
  <c r="B77" i="21"/>
  <c r="X76" i="21"/>
  <c r="Z76" i="21" s="1"/>
  <c r="N76" i="21"/>
  <c r="L76" i="21"/>
  <c r="B76" i="21"/>
  <c r="Z75" i="21"/>
  <c r="X75" i="21"/>
  <c r="V75" i="21"/>
  <c r="N75" i="21"/>
  <c r="L75" i="21"/>
  <c r="B75" i="21"/>
  <c r="X74" i="21"/>
  <c r="Z74" i="21" s="1"/>
  <c r="L74" i="21"/>
  <c r="N74" i="21" s="1"/>
  <c r="B74" i="21"/>
  <c r="T73" i="21"/>
  <c r="P73" i="21"/>
  <c r="X73" i="21" s="1"/>
  <c r="Z73" i="21" s="1"/>
  <c r="J73" i="21"/>
  <c r="H73" i="21"/>
  <c r="L73" i="21" s="1"/>
  <c r="N73" i="21" s="1"/>
  <c r="D73" i="21"/>
  <c r="B73" i="21"/>
  <c r="X72" i="21"/>
  <c r="Z72" i="21" s="1"/>
  <c r="N72" i="21"/>
  <c r="L72" i="21"/>
  <c r="B72" i="21"/>
  <c r="V71" i="21"/>
  <c r="T71" i="21"/>
  <c r="X71" i="21" s="1"/>
  <c r="Z71" i="21" s="1"/>
  <c r="P71" i="21"/>
  <c r="L71" i="21"/>
  <c r="H71" i="21"/>
  <c r="N71" i="21" s="1"/>
  <c r="D71" i="21"/>
  <c r="B71" i="21"/>
  <c r="X70" i="21"/>
  <c r="Z70" i="21" s="1"/>
  <c r="L70" i="21"/>
  <c r="N70" i="21" s="1"/>
  <c r="B70" i="21"/>
  <c r="X69" i="21"/>
  <c r="Z69" i="21" s="1"/>
  <c r="N69" i="21"/>
  <c r="L69" i="21"/>
  <c r="B69" i="21"/>
  <c r="X68" i="21"/>
  <c r="Z68" i="21" s="1"/>
  <c r="N68" i="21"/>
  <c r="L68" i="21"/>
  <c r="B68" i="21"/>
  <c r="V67" i="21"/>
  <c r="T67" i="21"/>
  <c r="X67" i="21" s="1"/>
  <c r="Z67" i="21" s="1"/>
  <c r="P67" i="21"/>
  <c r="L67" i="21"/>
  <c r="N67" i="21" s="1"/>
  <c r="H67" i="21"/>
  <c r="F67" i="21"/>
  <c r="D67" i="21"/>
  <c r="B67" i="21"/>
  <c r="X66" i="21"/>
  <c r="Z66" i="21" s="1"/>
  <c r="L66" i="21"/>
  <c r="N66" i="21" s="1"/>
  <c r="B66" i="21"/>
  <c r="X65" i="21"/>
  <c r="T65" i="21"/>
  <c r="Z65" i="21" s="1"/>
  <c r="P65" i="21"/>
  <c r="H65" i="21"/>
  <c r="D65" i="21"/>
  <c r="L65" i="21" s="1"/>
  <c r="B65" i="21"/>
  <c r="Z64" i="21"/>
  <c r="X64" i="21"/>
  <c r="N64" i="21"/>
  <c r="L64" i="21"/>
  <c r="F64" i="21"/>
  <c r="B64" i="21"/>
  <c r="T63" i="21"/>
  <c r="Z63" i="21" s="1"/>
  <c r="P63" i="21"/>
  <c r="X63" i="21" s="1"/>
  <c r="H63" i="21"/>
  <c r="D63" i="21"/>
  <c r="L63" i="21" s="1"/>
  <c r="N63" i="21" s="1"/>
  <c r="B63" i="21"/>
  <c r="X62" i="21"/>
  <c r="Z62" i="21" s="1"/>
  <c r="N62" i="21"/>
  <c r="L62" i="21"/>
  <c r="B62" i="21"/>
  <c r="T61" i="21"/>
  <c r="P61" i="21"/>
  <c r="X61" i="21" s="1"/>
  <c r="Z61" i="21" s="1"/>
  <c r="N61" i="21"/>
  <c r="J61" i="21"/>
  <c r="H61" i="21"/>
  <c r="L61" i="21" s="1"/>
  <c r="D61" i="21"/>
  <c r="B61" i="21"/>
  <c r="X60" i="21"/>
  <c r="Z60" i="21" s="1"/>
  <c r="N60" i="21"/>
  <c r="L60" i="21"/>
  <c r="B60" i="21"/>
  <c r="V59" i="21"/>
  <c r="T59" i="21"/>
  <c r="X59" i="21" s="1"/>
  <c r="Z59" i="21" s="1"/>
  <c r="P59" i="21"/>
  <c r="L59" i="21"/>
  <c r="H59" i="21"/>
  <c r="N59" i="21" s="1"/>
  <c r="F59" i="21"/>
  <c r="D59" i="21"/>
  <c r="B59" i="21"/>
  <c r="X58" i="21"/>
  <c r="Z58" i="21" s="1"/>
  <c r="N58" i="21"/>
  <c r="L58" i="21"/>
  <c r="B58" i="21"/>
  <c r="X57" i="21"/>
  <c r="T57" i="21"/>
  <c r="Z57" i="21" s="1"/>
  <c r="P57" i="21"/>
  <c r="H57" i="21"/>
  <c r="N57" i="21" s="1"/>
  <c r="D57" i="21"/>
  <c r="L57" i="21" s="1"/>
  <c r="B57" i="21"/>
  <c r="Z56" i="21"/>
  <c r="X56" i="21"/>
  <c r="N56" i="21"/>
  <c r="L56" i="21"/>
  <c r="F56" i="21"/>
  <c r="B56" i="21"/>
  <c r="Z55" i="21"/>
  <c r="X55" i="21"/>
  <c r="N55" i="21"/>
  <c r="L55" i="21"/>
  <c r="J55" i="21"/>
  <c r="B55" i="21"/>
  <c r="T54" i="21"/>
  <c r="Z54" i="21" s="1"/>
  <c r="P54" i="21"/>
  <c r="X54" i="21" s="1"/>
  <c r="H54" i="21"/>
  <c r="D54" i="21"/>
  <c r="L54" i="21" s="1"/>
  <c r="N54" i="21" s="1"/>
  <c r="B54" i="21"/>
  <c r="Z53" i="21"/>
  <c r="X53" i="21"/>
  <c r="L53" i="21"/>
  <c r="N53" i="21" s="1"/>
  <c r="B53" i="21"/>
  <c r="T52" i="21"/>
  <c r="P52" i="21"/>
  <c r="X52" i="21" s="1"/>
  <c r="Z52" i="21" s="1"/>
  <c r="L52" i="21"/>
  <c r="N52" i="21" s="1"/>
  <c r="H52" i="21"/>
  <c r="D52" i="21"/>
  <c r="B52" i="21"/>
  <c r="Z51" i="21"/>
  <c r="X51" i="21"/>
  <c r="V51" i="21"/>
  <c r="N51" i="21"/>
  <c r="L51" i="21"/>
  <c r="B51" i="21"/>
  <c r="Z50" i="21"/>
  <c r="X50" i="21"/>
  <c r="T50" i="21"/>
  <c r="P50" i="21"/>
  <c r="H50" i="21"/>
  <c r="D50" i="21"/>
  <c r="B50" i="21"/>
  <c r="Z49" i="21"/>
  <c r="X49" i="21"/>
  <c r="N49" i="21"/>
  <c r="L49" i="21"/>
  <c r="B49" i="21"/>
  <c r="T48" i="21"/>
  <c r="P48" i="21"/>
  <c r="H48" i="21"/>
  <c r="N48" i="21" s="1"/>
  <c r="D48" i="21"/>
  <c r="L48" i="21" s="1"/>
  <c r="B48" i="21"/>
  <c r="Z47" i="21"/>
  <c r="X47" i="21"/>
  <c r="N47" i="21"/>
  <c r="L47" i="21"/>
  <c r="J47" i="21"/>
  <c r="B47" i="21"/>
  <c r="Z46" i="21"/>
  <c r="X46" i="21"/>
  <c r="N46" i="21"/>
  <c r="L46" i="21"/>
  <c r="B46" i="21"/>
  <c r="X45" i="21"/>
  <c r="Z45" i="21" s="1"/>
  <c r="N45" i="21"/>
  <c r="L45" i="21"/>
  <c r="B45" i="21"/>
  <c r="Z44" i="21"/>
  <c r="X44" i="21"/>
  <c r="N44" i="21"/>
  <c r="L44" i="21"/>
  <c r="B44" i="21"/>
  <c r="Z43" i="21"/>
  <c r="X43" i="21"/>
  <c r="V43" i="21"/>
  <c r="N43" i="21"/>
  <c r="L43" i="21"/>
  <c r="B43" i="21"/>
  <c r="Z42" i="21"/>
  <c r="X42" i="21"/>
  <c r="N42" i="21"/>
  <c r="L42" i="21"/>
  <c r="B42" i="21"/>
  <c r="Z41" i="21"/>
  <c r="X41" i="21"/>
  <c r="L41" i="21"/>
  <c r="N41" i="21" s="1"/>
  <c r="B41" i="21"/>
  <c r="Z40" i="21"/>
  <c r="X40" i="21"/>
  <c r="N40" i="21"/>
  <c r="L40" i="21"/>
  <c r="F40" i="21"/>
  <c r="B40" i="21"/>
  <c r="Z39" i="21"/>
  <c r="X39" i="21"/>
  <c r="N39" i="21"/>
  <c r="L39" i="21"/>
  <c r="J39" i="21"/>
  <c r="B39" i="21"/>
  <c r="Z38" i="21"/>
  <c r="X38" i="21"/>
  <c r="N38" i="21"/>
  <c r="L38" i="21"/>
  <c r="B38" i="21"/>
  <c r="X37" i="21"/>
  <c r="T37" i="21"/>
  <c r="Z37" i="21" s="1"/>
  <c r="P37" i="21"/>
  <c r="H37" i="21"/>
  <c r="D37" i="21"/>
  <c r="L37" i="21" s="1"/>
  <c r="B37" i="21"/>
  <c r="Z36" i="21"/>
  <c r="X36" i="21"/>
  <c r="N36" i="21"/>
  <c r="L36" i="21"/>
  <c r="F36" i="21"/>
  <c r="B36" i="21"/>
  <c r="Z35" i="21"/>
  <c r="X35" i="21"/>
  <c r="N35" i="21"/>
  <c r="L35" i="21"/>
  <c r="J35" i="21"/>
  <c r="B35" i="21"/>
  <c r="X34" i="21"/>
  <c r="Z34" i="21" s="1"/>
  <c r="L34" i="21"/>
  <c r="N34" i="21" s="1"/>
  <c r="B34" i="21"/>
  <c r="Z33" i="21"/>
  <c r="X33" i="21"/>
  <c r="N33" i="21"/>
  <c r="L33" i="21"/>
  <c r="B33" i="21"/>
  <c r="Z32" i="21"/>
  <c r="X32" i="21"/>
  <c r="N32" i="21"/>
  <c r="L32" i="21"/>
  <c r="B32" i="21"/>
  <c r="Z31" i="21"/>
  <c r="X31" i="21"/>
  <c r="V31" i="21"/>
  <c r="N31" i="21"/>
  <c r="L31" i="21"/>
  <c r="B31" i="21"/>
  <c r="X30" i="21"/>
  <c r="Z30" i="21" s="1"/>
  <c r="L30" i="21"/>
  <c r="N30" i="21" s="1"/>
  <c r="B30" i="21"/>
  <c r="Z29" i="21"/>
  <c r="X29" i="21"/>
  <c r="L29" i="21"/>
  <c r="N29" i="21" s="1"/>
  <c r="B29" i="21"/>
  <c r="Z28" i="21"/>
  <c r="X28" i="21"/>
  <c r="N28" i="21"/>
  <c r="L28" i="21"/>
  <c r="F28" i="21"/>
  <c r="B28" i="21"/>
  <c r="Z27" i="21"/>
  <c r="X27" i="21"/>
  <c r="N27" i="21"/>
  <c r="L27" i="21"/>
  <c r="J27" i="21"/>
  <c r="B27" i="21"/>
  <c r="T26" i="21"/>
  <c r="P26" i="21"/>
  <c r="X26" i="21" s="1"/>
  <c r="H26" i="21"/>
  <c r="D26" i="21"/>
  <c r="L26" i="21" s="1"/>
  <c r="N26" i="21" s="1"/>
  <c r="B26" i="21"/>
  <c r="Z25" i="21"/>
  <c r="T25" i="21"/>
  <c r="P25" i="21"/>
  <c r="X25" i="21" s="1"/>
  <c r="J25" i="21"/>
  <c r="H25" i="21"/>
  <c r="L25" i="21" s="1"/>
  <c r="N25" i="21" s="1"/>
  <c r="D25" i="21"/>
  <c r="H23" i="21"/>
  <c r="Z21" i="21"/>
  <c r="X21" i="21"/>
  <c r="N21" i="21"/>
  <c r="L21" i="21"/>
  <c r="J21" i="21"/>
  <c r="B21" i="21"/>
  <c r="Z20" i="21"/>
  <c r="X20" i="21"/>
  <c r="N20" i="21"/>
  <c r="L20" i="21"/>
  <c r="B20" i="21"/>
  <c r="X19" i="21"/>
  <c r="Z19" i="21" s="1"/>
  <c r="N19" i="21"/>
  <c r="L19" i="21"/>
  <c r="J19" i="21"/>
  <c r="B19" i="21"/>
  <c r="T18" i="21"/>
  <c r="P18" i="21"/>
  <c r="X18" i="21" s="1"/>
  <c r="H18" i="21"/>
  <c r="D18" i="21"/>
  <c r="L18" i="21" s="1"/>
  <c r="N18" i="21" s="1"/>
  <c r="Z16" i="21"/>
  <c r="X16" i="21"/>
  <c r="P16" i="21"/>
  <c r="N16" i="21"/>
  <c r="D16" i="21"/>
  <c r="L16" i="21" s="1"/>
  <c r="B16" i="21"/>
  <c r="P15" i="21"/>
  <c r="D15" i="21"/>
  <c r="L15" i="21" s="1"/>
  <c r="N15" i="21" s="1"/>
  <c r="B15" i="21"/>
  <c r="Z14" i="21"/>
  <c r="X14" i="21"/>
  <c r="P14" i="21"/>
  <c r="N14" i="21"/>
  <c r="L14" i="21"/>
  <c r="D14" i="21"/>
  <c r="B14" i="21"/>
  <c r="X13" i="21"/>
  <c r="Z13" i="21" s="1"/>
  <c r="P13" i="21"/>
  <c r="L13" i="21"/>
  <c r="N13" i="21" s="1"/>
  <c r="D13" i="21"/>
  <c r="D12" i="21" s="1"/>
  <c r="F71" i="21" s="1"/>
  <c r="B13" i="21"/>
  <c r="T12" i="21"/>
  <c r="V84" i="21" s="1"/>
  <c r="L12" i="21"/>
  <c r="H12" i="21"/>
  <c r="J83" i="21" s="1"/>
  <c r="D4" i="21"/>
  <c r="B39" i="20"/>
  <c r="B38" i="20"/>
  <c r="T34" i="20"/>
  <c r="Z34" i="20" s="1"/>
  <c r="P34" i="20"/>
  <c r="X34" i="20" s="1"/>
  <c r="H34" i="20"/>
  <c r="N34" i="20" s="1"/>
  <c r="D34" i="20"/>
  <c r="T33" i="20"/>
  <c r="Z33" i="20" s="1"/>
  <c r="P33" i="20"/>
  <c r="H33" i="20"/>
  <c r="N33" i="20" s="1"/>
  <c r="D33" i="20"/>
  <c r="T29" i="20"/>
  <c r="Z29" i="20" s="1"/>
  <c r="P29" i="20"/>
  <c r="H29" i="20"/>
  <c r="N29" i="20" s="1"/>
  <c r="D29" i="20"/>
  <c r="T25" i="20"/>
  <c r="P25" i="20"/>
  <c r="H25" i="20"/>
  <c r="N25" i="20" s="1"/>
  <c r="D25" i="20"/>
  <c r="B25" i="20"/>
  <c r="T24" i="20"/>
  <c r="Z24" i="20" s="1"/>
  <c r="P24" i="20"/>
  <c r="H24" i="20"/>
  <c r="N24" i="20" s="1"/>
  <c r="D24" i="20"/>
  <c r="T22" i="20"/>
  <c r="P22" i="20"/>
  <c r="H22" i="20"/>
  <c r="D22" i="20"/>
  <c r="B22" i="20"/>
  <c r="T21" i="20"/>
  <c r="Z21" i="20" s="1"/>
  <c r="P21" i="20"/>
  <c r="H21" i="20"/>
  <c r="N21" i="20" s="1"/>
  <c r="D21" i="20"/>
  <c r="B21" i="20"/>
  <c r="T20" i="20"/>
  <c r="Z20" i="20" s="1"/>
  <c r="P20" i="20"/>
  <c r="H20" i="20"/>
  <c r="N20" i="20" s="1"/>
  <c r="D20" i="20"/>
  <c r="T16" i="20"/>
  <c r="Z16" i="20" s="1"/>
  <c r="P16" i="20"/>
  <c r="H16" i="20"/>
  <c r="N16" i="20" s="1"/>
  <c r="D16" i="20"/>
  <c r="B16" i="20"/>
  <c r="T15" i="20"/>
  <c r="P15" i="20"/>
  <c r="H15" i="20"/>
  <c r="N15" i="20" s="1"/>
  <c r="D15" i="20"/>
  <c r="T13" i="20"/>
  <c r="Z13" i="20" s="1"/>
  <c r="P13" i="20"/>
  <c r="H13" i="20"/>
  <c r="N13" i="20" s="1"/>
  <c r="D13" i="20"/>
  <c r="B13" i="20"/>
  <c r="T12" i="20"/>
  <c r="P12" i="20"/>
  <c r="R18" i="20" s="1"/>
  <c r="H12" i="20"/>
  <c r="J20" i="20" s="1"/>
  <c r="D12" i="20"/>
  <c r="F34" i="20" s="1"/>
  <c r="D5" i="20"/>
  <c r="D4" i="20"/>
  <c r="B39" i="19"/>
  <c r="B38" i="19"/>
  <c r="T34" i="19"/>
  <c r="Z34" i="19" s="1"/>
  <c r="P34" i="19"/>
  <c r="H34" i="19"/>
  <c r="N34" i="19" s="1"/>
  <c r="D34" i="19"/>
  <c r="T33" i="19"/>
  <c r="Z33" i="19" s="1"/>
  <c r="P33" i="19"/>
  <c r="H33" i="19"/>
  <c r="D33" i="19"/>
  <c r="T29" i="19"/>
  <c r="Z29" i="19" s="1"/>
  <c r="P29" i="19"/>
  <c r="H29" i="19"/>
  <c r="D29" i="19"/>
  <c r="T25" i="19"/>
  <c r="Z25" i="19" s="1"/>
  <c r="P25" i="19"/>
  <c r="H25" i="19"/>
  <c r="D25" i="19"/>
  <c r="B25" i="19"/>
  <c r="T24" i="19"/>
  <c r="Z24" i="19" s="1"/>
  <c r="P24" i="19"/>
  <c r="H24" i="19"/>
  <c r="N24" i="19" s="1"/>
  <c r="D24" i="19"/>
  <c r="T22" i="19"/>
  <c r="Z22" i="19" s="1"/>
  <c r="P22" i="19"/>
  <c r="H22" i="19"/>
  <c r="D22" i="19"/>
  <c r="B22" i="19"/>
  <c r="T21" i="19"/>
  <c r="P21" i="19"/>
  <c r="H21" i="19"/>
  <c r="N21" i="19" s="1"/>
  <c r="D21" i="19"/>
  <c r="B21" i="19"/>
  <c r="T20" i="19"/>
  <c r="Z20" i="19" s="1"/>
  <c r="P20" i="19"/>
  <c r="H20" i="19"/>
  <c r="N20" i="19" s="1"/>
  <c r="D20" i="19"/>
  <c r="T16" i="19"/>
  <c r="Z16" i="19" s="1"/>
  <c r="P16" i="19"/>
  <c r="H16" i="19"/>
  <c r="N16" i="19" s="1"/>
  <c r="D16" i="19"/>
  <c r="B16" i="19"/>
  <c r="T15" i="19"/>
  <c r="Z15" i="19" s="1"/>
  <c r="P15" i="19"/>
  <c r="H15" i="19"/>
  <c r="D15" i="19"/>
  <c r="T13" i="19"/>
  <c r="Z13" i="19" s="1"/>
  <c r="P13" i="19"/>
  <c r="H13" i="19"/>
  <c r="N13" i="19" s="1"/>
  <c r="D13" i="19"/>
  <c r="B13" i="19"/>
  <c r="T12" i="19"/>
  <c r="V36" i="19" s="1"/>
  <c r="P12" i="19"/>
  <c r="H12" i="19"/>
  <c r="J20" i="19" s="1"/>
  <c r="D12" i="19"/>
  <c r="F22" i="19" s="1"/>
  <c r="D5" i="19"/>
  <c r="D4" i="19"/>
  <c r="Z161" i="18"/>
  <c r="X161" i="18"/>
  <c r="V161" i="18"/>
  <c r="L161" i="18"/>
  <c r="N161" i="18" s="1"/>
  <c r="Z157" i="18"/>
  <c r="P157" i="18"/>
  <c r="X157" i="18" s="1"/>
  <c r="N157" i="18"/>
  <c r="L157" i="18"/>
  <c r="D157" i="18"/>
  <c r="B157" i="18"/>
  <c r="Z156" i="18"/>
  <c r="X156" i="18"/>
  <c r="P156" i="18"/>
  <c r="N156" i="18"/>
  <c r="D156" i="18"/>
  <c r="L156" i="18" s="1"/>
  <c r="B156" i="18"/>
  <c r="Z155" i="18"/>
  <c r="X155" i="18"/>
  <c r="P155" i="18"/>
  <c r="N155" i="18"/>
  <c r="L155" i="18"/>
  <c r="D155" i="18"/>
  <c r="B155" i="18"/>
  <c r="P154" i="18"/>
  <c r="X154" i="18" s="1"/>
  <c r="Z154" i="18" s="1"/>
  <c r="N154" i="18"/>
  <c r="L154" i="18"/>
  <c r="D154" i="18"/>
  <c r="B154" i="18"/>
  <c r="Z153" i="18"/>
  <c r="X153" i="18"/>
  <c r="V153" i="18"/>
  <c r="P153" i="18"/>
  <c r="D153" i="18"/>
  <c r="L153" i="18" s="1"/>
  <c r="N153" i="18" s="1"/>
  <c r="B153" i="18"/>
  <c r="Z152" i="18"/>
  <c r="P152" i="18"/>
  <c r="X152" i="18" s="1"/>
  <c r="N152" i="18"/>
  <c r="L152" i="18"/>
  <c r="J152" i="18"/>
  <c r="D152" i="18"/>
  <c r="B152" i="18"/>
  <c r="Z151" i="18"/>
  <c r="P151" i="18"/>
  <c r="N151" i="18"/>
  <c r="D151" i="18"/>
  <c r="L151" i="18" s="1"/>
  <c r="B151" i="18"/>
  <c r="T150" i="18"/>
  <c r="H150" i="18"/>
  <c r="X148" i="18"/>
  <c r="Z148" i="18" s="1"/>
  <c r="L148" i="18"/>
  <c r="N148" i="18" s="1"/>
  <c r="B148" i="18"/>
  <c r="X147" i="18"/>
  <c r="T147" i="18"/>
  <c r="Z147" i="18" s="1"/>
  <c r="P147" i="18"/>
  <c r="H147" i="18"/>
  <c r="D147" i="18"/>
  <c r="B147" i="18"/>
  <c r="Z146" i="18"/>
  <c r="X146" i="18"/>
  <c r="N146" i="18"/>
  <c r="L146" i="18"/>
  <c r="B146" i="18"/>
  <c r="X145" i="18"/>
  <c r="Z145" i="18" s="1"/>
  <c r="N145" i="18"/>
  <c r="L145" i="18"/>
  <c r="J145" i="18"/>
  <c r="B145" i="18"/>
  <c r="Z144" i="18"/>
  <c r="X144" i="18"/>
  <c r="L144" i="18"/>
  <c r="N144" i="18" s="1"/>
  <c r="B144" i="18"/>
  <c r="X143" i="18"/>
  <c r="T143" i="18"/>
  <c r="Z143" i="18" s="1"/>
  <c r="P143" i="18"/>
  <c r="H143" i="18"/>
  <c r="D143" i="18"/>
  <c r="B143" i="18"/>
  <c r="Z142" i="18"/>
  <c r="X142" i="18"/>
  <c r="N142" i="18"/>
  <c r="L142" i="18"/>
  <c r="B142" i="18"/>
  <c r="T141" i="18"/>
  <c r="Z141" i="18" s="1"/>
  <c r="P141" i="18"/>
  <c r="N141" i="18"/>
  <c r="H141" i="18"/>
  <c r="D141" i="18"/>
  <c r="L141" i="18" s="1"/>
  <c r="B141" i="18"/>
  <c r="X140" i="18"/>
  <c r="Z140" i="18" s="1"/>
  <c r="N140" i="18"/>
  <c r="L140" i="18"/>
  <c r="B140" i="18"/>
  <c r="Z139" i="18"/>
  <c r="X139" i="18"/>
  <c r="N139" i="18"/>
  <c r="L139" i="18"/>
  <c r="B139" i="18"/>
  <c r="T138" i="18"/>
  <c r="P138" i="18"/>
  <c r="X138" i="18" s="1"/>
  <c r="Z138" i="18" s="1"/>
  <c r="L138" i="18"/>
  <c r="H138" i="18"/>
  <c r="D138" i="18"/>
  <c r="B138" i="18"/>
  <c r="Z137" i="18"/>
  <c r="X137" i="18"/>
  <c r="V137" i="18"/>
  <c r="L137" i="18"/>
  <c r="N137" i="18" s="1"/>
  <c r="B137" i="18"/>
  <c r="X136" i="18"/>
  <c r="Z136" i="18" s="1"/>
  <c r="N136" i="18"/>
  <c r="L136" i="18"/>
  <c r="B136" i="18"/>
  <c r="Z135" i="18"/>
  <c r="X135" i="18"/>
  <c r="L135" i="18"/>
  <c r="N135" i="18" s="1"/>
  <c r="B135" i="18"/>
  <c r="Z134" i="18"/>
  <c r="X134" i="18"/>
  <c r="N134" i="18"/>
  <c r="L134" i="18"/>
  <c r="B134" i="18"/>
  <c r="X133" i="18"/>
  <c r="Z133" i="18" s="1"/>
  <c r="N133" i="18"/>
  <c r="L133" i="18"/>
  <c r="J133" i="18"/>
  <c r="B133" i="18"/>
  <c r="Z132" i="18"/>
  <c r="X132" i="18"/>
  <c r="L132" i="18"/>
  <c r="N132" i="18" s="1"/>
  <c r="B132" i="18"/>
  <c r="X131" i="18"/>
  <c r="Z131" i="18" s="1"/>
  <c r="N131" i="18"/>
  <c r="L131" i="18"/>
  <c r="B131" i="18"/>
  <c r="T130" i="18"/>
  <c r="P130" i="18"/>
  <c r="H130" i="18"/>
  <c r="D130" i="18"/>
  <c r="L130" i="18" s="1"/>
  <c r="B130" i="18"/>
  <c r="Z129" i="18"/>
  <c r="X129" i="18"/>
  <c r="N129" i="18"/>
  <c r="L129" i="18"/>
  <c r="J129" i="18"/>
  <c r="B129" i="18"/>
  <c r="Z128" i="18"/>
  <c r="X128" i="18"/>
  <c r="L128" i="18"/>
  <c r="N128" i="18" s="1"/>
  <c r="B128" i="18"/>
  <c r="X127" i="18"/>
  <c r="T127" i="18"/>
  <c r="Z127" i="18" s="1"/>
  <c r="P127" i="18"/>
  <c r="H127" i="18"/>
  <c r="D127" i="18"/>
  <c r="B127" i="18"/>
  <c r="Z126" i="18"/>
  <c r="X126" i="18"/>
  <c r="N126" i="18"/>
  <c r="L126" i="18"/>
  <c r="B126" i="18"/>
  <c r="Z125" i="18"/>
  <c r="X125" i="18"/>
  <c r="N125" i="18"/>
  <c r="L125" i="18"/>
  <c r="J125" i="18"/>
  <c r="B125" i="18"/>
  <c r="Z124" i="18"/>
  <c r="X124" i="18"/>
  <c r="L124" i="18"/>
  <c r="N124" i="18" s="1"/>
  <c r="B124" i="18"/>
  <c r="X123" i="18"/>
  <c r="T123" i="18"/>
  <c r="Z123" i="18" s="1"/>
  <c r="P123" i="18"/>
  <c r="H123" i="18"/>
  <c r="D123" i="18"/>
  <c r="B123" i="18"/>
  <c r="Z122" i="18"/>
  <c r="X122" i="18"/>
  <c r="N122" i="18"/>
  <c r="L122" i="18"/>
  <c r="B122" i="18"/>
  <c r="Z121" i="18"/>
  <c r="X121" i="18"/>
  <c r="N121" i="18"/>
  <c r="L121" i="18"/>
  <c r="J121" i="18"/>
  <c r="B121" i="18"/>
  <c r="Z120" i="18"/>
  <c r="X120" i="18"/>
  <c r="L120" i="18"/>
  <c r="N120" i="18" s="1"/>
  <c r="B120" i="18"/>
  <c r="X119" i="18"/>
  <c r="Z119" i="18" s="1"/>
  <c r="N119" i="18"/>
  <c r="L119" i="18"/>
  <c r="B119" i="18"/>
  <c r="T118" i="18"/>
  <c r="P118" i="18"/>
  <c r="H118" i="18"/>
  <c r="D118" i="18"/>
  <c r="L118" i="18" s="1"/>
  <c r="B118" i="18"/>
  <c r="Z117" i="18"/>
  <c r="X117" i="18"/>
  <c r="N117" i="18"/>
  <c r="L117" i="18"/>
  <c r="J117" i="18"/>
  <c r="B117" i="18"/>
  <c r="Z116" i="18"/>
  <c r="X116" i="18"/>
  <c r="L116" i="18"/>
  <c r="N116" i="18" s="1"/>
  <c r="B116" i="18"/>
  <c r="X115" i="18"/>
  <c r="Z115" i="18" s="1"/>
  <c r="N115" i="18"/>
  <c r="L115" i="18"/>
  <c r="B115" i="18"/>
  <c r="Z114" i="18"/>
  <c r="X114" i="18"/>
  <c r="N114" i="18"/>
  <c r="L114" i="18"/>
  <c r="B114" i="18"/>
  <c r="V113" i="18"/>
  <c r="T113" i="18"/>
  <c r="P113" i="18"/>
  <c r="X113" i="18" s="1"/>
  <c r="L113" i="18"/>
  <c r="N113" i="18" s="1"/>
  <c r="H113" i="18"/>
  <c r="D113" i="18"/>
  <c r="B113" i="18"/>
  <c r="Z112" i="18"/>
  <c r="X112" i="18"/>
  <c r="L112" i="18"/>
  <c r="N112" i="18" s="1"/>
  <c r="B112" i="18"/>
  <c r="X111" i="18"/>
  <c r="Z111" i="18" s="1"/>
  <c r="T111" i="18"/>
  <c r="P111" i="18"/>
  <c r="H111" i="18"/>
  <c r="D111" i="18"/>
  <c r="B111" i="18"/>
  <c r="Z110" i="18"/>
  <c r="X110" i="18"/>
  <c r="N110" i="18"/>
  <c r="L110" i="18"/>
  <c r="B110" i="18"/>
  <c r="T109" i="18"/>
  <c r="P109" i="18"/>
  <c r="N109" i="18"/>
  <c r="H109" i="18"/>
  <c r="D109" i="18"/>
  <c r="L109" i="18" s="1"/>
  <c r="B109" i="18"/>
  <c r="X108" i="18"/>
  <c r="Z108" i="18" s="1"/>
  <c r="N108" i="18"/>
  <c r="L108" i="18"/>
  <c r="B108" i="18"/>
  <c r="Z107" i="18"/>
  <c r="T107" i="18"/>
  <c r="P107" i="18"/>
  <c r="X107" i="18" s="1"/>
  <c r="J107" i="18"/>
  <c r="H107" i="18"/>
  <c r="D107" i="18"/>
  <c r="L107" i="18" s="1"/>
  <c r="B107" i="18"/>
  <c r="Z106" i="18"/>
  <c r="X106" i="18"/>
  <c r="N106" i="18"/>
  <c r="L106" i="18"/>
  <c r="B106" i="18"/>
  <c r="V105" i="18"/>
  <c r="T105" i="18"/>
  <c r="P105" i="18"/>
  <c r="X105" i="18" s="1"/>
  <c r="L105" i="18"/>
  <c r="H105" i="18"/>
  <c r="N105" i="18" s="1"/>
  <c r="D105" i="18"/>
  <c r="B105" i="18"/>
  <c r="Z104" i="18"/>
  <c r="X104" i="18"/>
  <c r="L104" i="18"/>
  <c r="N104" i="18" s="1"/>
  <c r="B104" i="18"/>
  <c r="X103" i="18"/>
  <c r="Z103" i="18" s="1"/>
  <c r="N103" i="18"/>
  <c r="L103" i="18"/>
  <c r="B103" i="18"/>
  <c r="T102" i="18"/>
  <c r="P102" i="18"/>
  <c r="H102" i="18"/>
  <c r="N102" i="18" s="1"/>
  <c r="D102" i="18"/>
  <c r="L102" i="18" s="1"/>
  <c r="B102" i="18"/>
  <c r="X101" i="18"/>
  <c r="Z101" i="18" s="1"/>
  <c r="N101" i="18"/>
  <c r="L101" i="18"/>
  <c r="J101" i="18"/>
  <c r="B101" i="18"/>
  <c r="Z100" i="18"/>
  <c r="X100" i="18"/>
  <c r="L100" i="18"/>
  <c r="N100" i="18" s="1"/>
  <c r="B100" i="18"/>
  <c r="X99" i="18"/>
  <c r="Z99" i="18" s="1"/>
  <c r="T99" i="18"/>
  <c r="P99" i="18"/>
  <c r="H99" i="18"/>
  <c r="D99" i="18"/>
  <c r="B99" i="18"/>
  <c r="Z98" i="18"/>
  <c r="X98" i="18"/>
  <c r="N98" i="18"/>
  <c r="L98" i="18"/>
  <c r="B98" i="18"/>
  <c r="T97" i="18"/>
  <c r="P97" i="18"/>
  <c r="H97" i="18"/>
  <c r="D97" i="18"/>
  <c r="L97" i="18" s="1"/>
  <c r="N97" i="18" s="1"/>
  <c r="B97" i="18"/>
  <c r="X96" i="18"/>
  <c r="Z96" i="18" s="1"/>
  <c r="N96" i="18"/>
  <c r="L96" i="18"/>
  <c r="B96" i="18"/>
  <c r="T95" i="18"/>
  <c r="P95" i="18"/>
  <c r="X95" i="18" s="1"/>
  <c r="Z95" i="18" s="1"/>
  <c r="J95" i="18"/>
  <c r="H95" i="18"/>
  <c r="D95" i="18"/>
  <c r="L95" i="18" s="1"/>
  <c r="B95" i="18"/>
  <c r="Z94" i="18"/>
  <c r="X94" i="18"/>
  <c r="N94" i="18"/>
  <c r="L94" i="18"/>
  <c r="B94" i="18"/>
  <c r="V93" i="18"/>
  <c r="T93" i="18"/>
  <c r="P93" i="18"/>
  <c r="X93" i="18" s="1"/>
  <c r="L93" i="18"/>
  <c r="H93" i="18"/>
  <c r="N93" i="18" s="1"/>
  <c r="D93" i="18"/>
  <c r="B93" i="18"/>
  <c r="Z92" i="18"/>
  <c r="X92" i="18"/>
  <c r="N92" i="18"/>
  <c r="L92" i="18"/>
  <c r="B92" i="18"/>
  <c r="Z91" i="18"/>
  <c r="X91" i="18"/>
  <c r="N91" i="18"/>
  <c r="L91" i="18"/>
  <c r="B91" i="18"/>
  <c r="T90" i="18"/>
  <c r="P90" i="18"/>
  <c r="H90" i="18"/>
  <c r="N90" i="18" s="1"/>
  <c r="D90" i="18"/>
  <c r="L90" i="18" s="1"/>
  <c r="B90" i="18"/>
  <c r="X89" i="18"/>
  <c r="Z89" i="18" s="1"/>
  <c r="N89" i="18"/>
  <c r="L89" i="18"/>
  <c r="J89" i="18"/>
  <c r="B89" i="18"/>
  <c r="Z88" i="18"/>
  <c r="X88" i="18"/>
  <c r="N88" i="18"/>
  <c r="L88" i="18"/>
  <c r="B88" i="18"/>
  <c r="X87" i="18"/>
  <c r="T87" i="18"/>
  <c r="Z87" i="18" s="1"/>
  <c r="P87" i="18"/>
  <c r="H87" i="18"/>
  <c r="D87" i="18"/>
  <c r="B87" i="18"/>
  <c r="Z86" i="18"/>
  <c r="X86" i="18"/>
  <c r="N86" i="18"/>
  <c r="L86" i="18"/>
  <c r="B86" i="18"/>
  <c r="T85" i="18"/>
  <c r="P85" i="18"/>
  <c r="H85" i="18"/>
  <c r="D85" i="18"/>
  <c r="L85" i="18" s="1"/>
  <c r="N85" i="18" s="1"/>
  <c r="B85" i="18"/>
  <c r="X84" i="18"/>
  <c r="Z84" i="18" s="1"/>
  <c r="N84" i="18"/>
  <c r="L84" i="18"/>
  <c r="B84" i="18"/>
  <c r="T83" i="18"/>
  <c r="P83" i="18"/>
  <c r="X83" i="18" s="1"/>
  <c r="Z83" i="18" s="1"/>
  <c r="J83" i="18"/>
  <c r="H83" i="18"/>
  <c r="N83" i="18" s="1"/>
  <c r="D83" i="18"/>
  <c r="L83" i="18" s="1"/>
  <c r="B83" i="18"/>
  <c r="Z82" i="18"/>
  <c r="X82" i="18"/>
  <c r="N82" i="18"/>
  <c r="L82" i="18"/>
  <c r="B82" i="18"/>
  <c r="V81" i="18"/>
  <c r="T81" i="18"/>
  <c r="P81" i="18"/>
  <c r="X81" i="18" s="1"/>
  <c r="L81" i="18"/>
  <c r="H81" i="18"/>
  <c r="N81" i="18" s="1"/>
  <c r="D81" i="18"/>
  <c r="B81" i="18"/>
  <c r="Z80" i="18"/>
  <c r="X80" i="18"/>
  <c r="N80" i="18"/>
  <c r="L80" i="18"/>
  <c r="B80" i="18"/>
  <c r="Z79" i="18"/>
  <c r="X79" i="18"/>
  <c r="N79" i="18"/>
  <c r="L79" i="18"/>
  <c r="B79" i="18"/>
  <c r="Z78" i="18"/>
  <c r="X78" i="18"/>
  <c r="N78" i="18"/>
  <c r="L78" i="18"/>
  <c r="B78" i="18"/>
  <c r="Z77" i="18"/>
  <c r="X77" i="18"/>
  <c r="V77" i="18"/>
  <c r="L77" i="18"/>
  <c r="N77" i="18" s="1"/>
  <c r="B77" i="18"/>
  <c r="Z76" i="18"/>
  <c r="X76" i="18"/>
  <c r="N76" i="18"/>
  <c r="L76" i="18"/>
  <c r="B76" i="18"/>
  <c r="Z75" i="18"/>
  <c r="X75" i="18"/>
  <c r="L75" i="18"/>
  <c r="N75" i="18" s="1"/>
  <c r="B75" i="18"/>
  <c r="Z74" i="18"/>
  <c r="X74" i="18"/>
  <c r="N74" i="18"/>
  <c r="L74" i="18"/>
  <c r="B74" i="18"/>
  <c r="Z73" i="18"/>
  <c r="X73" i="18"/>
  <c r="N73" i="18"/>
  <c r="L73" i="18"/>
  <c r="J73" i="18"/>
  <c r="B73" i="18"/>
  <c r="Z72" i="18"/>
  <c r="X72" i="18"/>
  <c r="L72" i="18"/>
  <c r="N72" i="18" s="1"/>
  <c r="B72" i="18"/>
  <c r="X71" i="18"/>
  <c r="Z71" i="18" s="1"/>
  <c r="N71" i="18"/>
  <c r="L71" i="18"/>
  <c r="B71" i="18"/>
  <c r="T70" i="18"/>
  <c r="P70" i="18"/>
  <c r="H70" i="18"/>
  <c r="D70" i="18"/>
  <c r="L70" i="18" s="1"/>
  <c r="B70" i="18"/>
  <c r="X69" i="18"/>
  <c r="Z69" i="18" s="1"/>
  <c r="N69" i="18"/>
  <c r="L69" i="18"/>
  <c r="J69" i="18"/>
  <c r="B69" i="18"/>
  <c r="Z68" i="18"/>
  <c r="X68" i="18"/>
  <c r="L68" i="18"/>
  <c r="N68" i="18" s="1"/>
  <c r="B68" i="18"/>
  <c r="X67" i="18"/>
  <c r="Z67" i="18" s="1"/>
  <c r="N67" i="18"/>
  <c r="L67" i="18"/>
  <c r="B67" i="18"/>
  <c r="Z66" i="18"/>
  <c r="X66" i="18"/>
  <c r="N66" i="18"/>
  <c r="L66" i="18"/>
  <c r="B66" i="18"/>
  <c r="Z65" i="18"/>
  <c r="X65" i="18"/>
  <c r="V65" i="18"/>
  <c r="N65" i="18"/>
  <c r="L65" i="18"/>
  <c r="B65" i="18"/>
  <c r="X64" i="18"/>
  <c r="Z64" i="18" s="1"/>
  <c r="N64" i="18"/>
  <c r="L64" i="18"/>
  <c r="B64" i="18"/>
  <c r="Z63" i="18"/>
  <c r="X63" i="18"/>
  <c r="L63" i="18"/>
  <c r="N63" i="18" s="1"/>
  <c r="B63" i="18"/>
  <c r="Z62" i="18"/>
  <c r="X62" i="18"/>
  <c r="N62" i="18"/>
  <c r="L62" i="18"/>
  <c r="B62" i="18"/>
  <c r="X61" i="18"/>
  <c r="Z61" i="18" s="1"/>
  <c r="N61" i="18"/>
  <c r="L61" i="18"/>
  <c r="J61" i="18"/>
  <c r="B61" i="18"/>
  <c r="Z60" i="18"/>
  <c r="X60" i="18"/>
  <c r="L60" i="18"/>
  <c r="N60" i="18" s="1"/>
  <c r="B60" i="18"/>
  <c r="X59" i="18"/>
  <c r="T59" i="18"/>
  <c r="Z59" i="18" s="1"/>
  <c r="P59" i="18"/>
  <c r="H59" i="18"/>
  <c r="D59" i="18"/>
  <c r="B59" i="18"/>
  <c r="T58" i="18"/>
  <c r="P58" i="18"/>
  <c r="X58" i="18" s="1"/>
  <c r="Z58" i="18" s="1"/>
  <c r="L58" i="18"/>
  <c r="H58" i="18"/>
  <c r="N58" i="18" s="1"/>
  <c r="D58" i="18"/>
  <c r="T56" i="18"/>
  <c r="Z54" i="18"/>
  <c r="X54" i="18"/>
  <c r="N54" i="18"/>
  <c r="L54" i="18"/>
  <c r="B54" i="18"/>
  <c r="Z53" i="18"/>
  <c r="X53" i="18"/>
  <c r="N53" i="18"/>
  <c r="L53" i="18"/>
  <c r="J53" i="18"/>
  <c r="B53" i="18"/>
  <c r="Z52" i="18"/>
  <c r="X52" i="18"/>
  <c r="N52" i="18"/>
  <c r="L52" i="18"/>
  <c r="B52" i="18"/>
  <c r="Z51" i="18"/>
  <c r="X51" i="18"/>
  <c r="N51" i="18"/>
  <c r="L51" i="18"/>
  <c r="B51" i="18"/>
  <c r="Z50" i="18"/>
  <c r="X50" i="18"/>
  <c r="N50" i="18"/>
  <c r="L50" i="18"/>
  <c r="B50" i="18"/>
  <c r="Z49" i="18"/>
  <c r="X49" i="18"/>
  <c r="V49" i="18"/>
  <c r="N49" i="18"/>
  <c r="L49" i="18"/>
  <c r="B49" i="18"/>
  <c r="Z48" i="18"/>
  <c r="X48" i="18"/>
  <c r="N48" i="18"/>
  <c r="L48" i="18"/>
  <c r="B48" i="18"/>
  <c r="Z47" i="18"/>
  <c r="X47" i="18"/>
  <c r="N47" i="18"/>
  <c r="L47" i="18"/>
  <c r="B47" i="18"/>
  <c r="Z46" i="18"/>
  <c r="X46" i="18"/>
  <c r="N46" i="18"/>
  <c r="L46" i="18"/>
  <c r="B46" i="18"/>
  <c r="Z45" i="18"/>
  <c r="X45" i="18"/>
  <c r="N45" i="18"/>
  <c r="L45" i="18"/>
  <c r="J45" i="18"/>
  <c r="B45" i="18"/>
  <c r="Z44" i="18"/>
  <c r="X44" i="18"/>
  <c r="N44" i="18"/>
  <c r="L44" i="18"/>
  <c r="B44" i="18"/>
  <c r="Z43" i="18"/>
  <c r="X43" i="18"/>
  <c r="N43" i="18"/>
  <c r="L43" i="18"/>
  <c r="B43" i="18"/>
  <c r="Z42" i="18"/>
  <c r="X42" i="18"/>
  <c r="N42" i="18"/>
  <c r="L42" i="18"/>
  <c r="B42" i="18"/>
  <c r="Z41" i="18"/>
  <c r="X41" i="18"/>
  <c r="V41" i="18"/>
  <c r="N41" i="18"/>
  <c r="L41" i="18"/>
  <c r="B41" i="18"/>
  <c r="Z40" i="18"/>
  <c r="X40" i="18"/>
  <c r="N40" i="18"/>
  <c r="L40" i="18"/>
  <c r="B40" i="18"/>
  <c r="Z39" i="18"/>
  <c r="X39" i="18"/>
  <c r="N39" i="18"/>
  <c r="L39" i="18"/>
  <c r="B39" i="18"/>
  <c r="Z38" i="18"/>
  <c r="X38" i="18"/>
  <c r="N38" i="18"/>
  <c r="L38" i="18"/>
  <c r="B38" i="18"/>
  <c r="Z37" i="18"/>
  <c r="X37" i="18"/>
  <c r="N37" i="18"/>
  <c r="L37" i="18"/>
  <c r="J37" i="18"/>
  <c r="B37" i="18"/>
  <c r="Z36" i="18"/>
  <c r="X36" i="18"/>
  <c r="V36" i="18"/>
  <c r="N36" i="18"/>
  <c r="L36" i="18"/>
  <c r="B36" i="18"/>
  <c r="Z35" i="18"/>
  <c r="X35" i="18"/>
  <c r="N35" i="18"/>
  <c r="L35" i="18"/>
  <c r="B35" i="18"/>
  <c r="Z34" i="18"/>
  <c r="X34" i="18"/>
  <c r="N34" i="18"/>
  <c r="L34" i="18"/>
  <c r="B34" i="18"/>
  <c r="Z33" i="18"/>
  <c r="X33" i="18"/>
  <c r="V33" i="18"/>
  <c r="N33" i="18"/>
  <c r="L33" i="18"/>
  <c r="B33" i="18"/>
  <c r="Z32" i="18"/>
  <c r="X32" i="18"/>
  <c r="N32" i="18"/>
  <c r="L32" i="18"/>
  <c r="B32" i="18"/>
  <c r="Z31" i="18"/>
  <c r="X31" i="18"/>
  <c r="N31" i="18"/>
  <c r="L31" i="18"/>
  <c r="B31" i="18"/>
  <c r="Z30" i="18"/>
  <c r="X30" i="18"/>
  <c r="N30" i="18"/>
  <c r="L30" i="18"/>
  <c r="B30" i="18"/>
  <c r="Z29" i="18"/>
  <c r="X29" i="18"/>
  <c r="N29" i="18"/>
  <c r="L29" i="18"/>
  <c r="J29" i="18"/>
  <c r="B29" i="18"/>
  <c r="Z28" i="18"/>
  <c r="X28" i="18"/>
  <c r="V28" i="18"/>
  <c r="N28" i="18"/>
  <c r="L28" i="18"/>
  <c r="B28" i="18"/>
  <c r="Z27" i="18"/>
  <c r="X27" i="18"/>
  <c r="N27" i="18"/>
  <c r="L27" i="18"/>
  <c r="B27" i="18"/>
  <c r="Z26" i="18"/>
  <c r="X26" i="18"/>
  <c r="N26" i="18"/>
  <c r="L26" i="18"/>
  <c r="B26" i="18"/>
  <c r="Z25" i="18"/>
  <c r="X25" i="18"/>
  <c r="V25" i="18"/>
  <c r="N25" i="18"/>
  <c r="L25" i="18"/>
  <c r="B25" i="18"/>
  <c r="Z24" i="18"/>
  <c r="X24" i="18"/>
  <c r="N24" i="18"/>
  <c r="L24" i="18"/>
  <c r="B24" i="18"/>
  <c r="Z23" i="18"/>
  <c r="X23" i="18"/>
  <c r="N23" i="18"/>
  <c r="L23" i="18"/>
  <c r="B23" i="18"/>
  <c r="Z22" i="18"/>
  <c r="X22" i="18"/>
  <c r="N22" i="18"/>
  <c r="L22" i="18"/>
  <c r="B22" i="18"/>
  <c r="T21" i="18"/>
  <c r="Z21" i="18" s="1"/>
  <c r="P21" i="18"/>
  <c r="X21" i="18" s="1"/>
  <c r="H21" i="18"/>
  <c r="D21" i="18"/>
  <c r="L21" i="18" s="1"/>
  <c r="N21" i="18" s="1"/>
  <c r="Z19" i="18"/>
  <c r="P19" i="18"/>
  <c r="X19" i="18" s="1"/>
  <c r="N19" i="18"/>
  <c r="L19" i="18"/>
  <c r="D19" i="18"/>
  <c r="B19" i="18"/>
  <c r="Z18" i="18"/>
  <c r="X18" i="18"/>
  <c r="P18" i="18"/>
  <c r="N18" i="18"/>
  <c r="L18" i="18"/>
  <c r="D18" i="18"/>
  <c r="B18" i="18"/>
  <c r="Z17" i="18"/>
  <c r="X17" i="18"/>
  <c r="P17" i="18"/>
  <c r="N17" i="18"/>
  <c r="L17" i="18"/>
  <c r="D17" i="18"/>
  <c r="B17" i="18"/>
  <c r="Z16" i="18"/>
  <c r="P16" i="18"/>
  <c r="X16" i="18" s="1"/>
  <c r="N16" i="18"/>
  <c r="D16" i="18"/>
  <c r="L16" i="18" s="1"/>
  <c r="B16" i="18"/>
  <c r="Z15" i="18"/>
  <c r="P15" i="18"/>
  <c r="N15" i="18"/>
  <c r="L15" i="18"/>
  <c r="D15" i="18"/>
  <c r="B15" i="18"/>
  <c r="Z14" i="18"/>
  <c r="X14" i="18"/>
  <c r="P14" i="18"/>
  <c r="L14" i="18"/>
  <c r="N14" i="18" s="1"/>
  <c r="D14" i="18"/>
  <c r="B14" i="18"/>
  <c r="Z13" i="18"/>
  <c r="X13" i="18"/>
  <c r="P13" i="18"/>
  <c r="D13" i="18"/>
  <c r="L13" i="18" s="1"/>
  <c r="N13" i="18" s="1"/>
  <c r="B13" i="18"/>
  <c r="T12" i="18"/>
  <c r="V150" i="18" s="1"/>
  <c r="H12" i="18"/>
  <c r="J157" i="18" s="1"/>
  <c r="D4" i="18"/>
  <c r="B39" i="17"/>
  <c r="B38" i="17"/>
  <c r="T34" i="17"/>
  <c r="Z34" i="17" s="1"/>
  <c r="P34" i="17"/>
  <c r="H34" i="17"/>
  <c r="N34" i="17" s="1"/>
  <c r="D34" i="17"/>
  <c r="T33" i="17"/>
  <c r="Z33" i="17" s="1"/>
  <c r="P33" i="17"/>
  <c r="H33" i="17"/>
  <c r="N33" i="17" s="1"/>
  <c r="D33" i="17"/>
  <c r="T29" i="17"/>
  <c r="Z29" i="17" s="1"/>
  <c r="P29" i="17"/>
  <c r="H29" i="17"/>
  <c r="N29" i="17" s="1"/>
  <c r="D29" i="17"/>
  <c r="T25" i="17"/>
  <c r="Z25" i="17" s="1"/>
  <c r="P25" i="17"/>
  <c r="H25" i="17"/>
  <c r="N25" i="17" s="1"/>
  <c r="D25" i="17"/>
  <c r="B25" i="17"/>
  <c r="T24" i="17"/>
  <c r="Z24" i="17" s="1"/>
  <c r="P24" i="17"/>
  <c r="H24" i="17"/>
  <c r="D24" i="17"/>
  <c r="T22" i="17"/>
  <c r="Z22" i="17" s="1"/>
  <c r="P22" i="17"/>
  <c r="H22" i="17"/>
  <c r="N22" i="17" s="1"/>
  <c r="D22" i="17"/>
  <c r="B22" i="17"/>
  <c r="T21" i="17"/>
  <c r="Z21" i="17" s="1"/>
  <c r="P21" i="17"/>
  <c r="H21" i="17"/>
  <c r="N21" i="17" s="1"/>
  <c r="D21" i="17"/>
  <c r="B21" i="17"/>
  <c r="T20" i="17"/>
  <c r="P20" i="17"/>
  <c r="H20" i="17"/>
  <c r="N20" i="17" s="1"/>
  <c r="D20" i="17"/>
  <c r="T16" i="17"/>
  <c r="P16" i="17"/>
  <c r="H16" i="17"/>
  <c r="N16" i="17" s="1"/>
  <c r="D16" i="17"/>
  <c r="B16" i="17"/>
  <c r="T15" i="17"/>
  <c r="Z15" i="17" s="1"/>
  <c r="P15" i="17"/>
  <c r="X15" i="17" s="1"/>
  <c r="H15" i="17"/>
  <c r="N15" i="17" s="1"/>
  <c r="D15" i="17"/>
  <c r="T13" i="17"/>
  <c r="Z13" i="17" s="1"/>
  <c r="P13" i="17"/>
  <c r="H13" i="17"/>
  <c r="N13" i="17" s="1"/>
  <c r="D13" i="17"/>
  <c r="B13" i="17"/>
  <c r="T12" i="17"/>
  <c r="V31" i="17" s="1"/>
  <c r="P12" i="17"/>
  <c r="R15" i="17" s="1"/>
  <c r="H12" i="17"/>
  <c r="D12" i="17"/>
  <c r="F22" i="17" s="1"/>
  <c r="D5" i="17"/>
  <c r="D4" i="17"/>
  <c r="B39" i="16"/>
  <c r="B38" i="16"/>
  <c r="T34" i="16"/>
  <c r="Z34" i="16" s="1"/>
  <c r="P34" i="16"/>
  <c r="H34" i="16"/>
  <c r="D34" i="16"/>
  <c r="T33" i="16"/>
  <c r="Z33" i="16" s="1"/>
  <c r="P33" i="16"/>
  <c r="H33" i="16"/>
  <c r="N33" i="16" s="1"/>
  <c r="D33" i="16"/>
  <c r="T29" i="16"/>
  <c r="Z29" i="16" s="1"/>
  <c r="P29" i="16"/>
  <c r="H29" i="16"/>
  <c r="N29" i="16" s="1"/>
  <c r="D29" i="16"/>
  <c r="T25" i="16"/>
  <c r="Z25" i="16" s="1"/>
  <c r="P25" i="16"/>
  <c r="H25" i="16"/>
  <c r="N25" i="16" s="1"/>
  <c r="D25" i="16"/>
  <c r="B25" i="16"/>
  <c r="T24" i="16"/>
  <c r="Z24" i="16" s="1"/>
  <c r="P24" i="16"/>
  <c r="H24" i="16"/>
  <c r="D24" i="16"/>
  <c r="T22" i="16"/>
  <c r="Z22" i="16" s="1"/>
  <c r="P22" i="16"/>
  <c r="H22" i="16"/>
  <c r="N22" i="16" s="1"/>
  <c r="D22" i="16"/>
  <c r="B22" i="16"/>
  <c r="T21" i="16"/>
  <c r="Z21" i="16" s="1"/>
  <c r="P21" i="16"/>
  <c r="H21" i="16"/>
  <c r="N21" i="16" s="1"/>
  <c r="D21" i="16"/>
  <c r="B21" i="16"/>
  <c r="T20" i="16"/>
  <c r="Z20" i="16" s="1"/>
  <c r="P20" i="16"/>
  <c r="H20" i="16"/>
  <c r="N20" i="16" s="1"/>
  <c r="D20" i="16"/>
  <c r="T16" i="16"/>
  <c r="P16" i="16"/>
  <c r="H16" i="16"/>
  <c r="N16" i="16" s="1"/>
  <c r="D16" i="16"/>
  <c r="B16" i="16"/>
  <c r="T15" i="16"/>
  <c r="Z15" i="16" s="1"/>
  <c r="P15" i="16"/>
  <c r="H15" i="16"/>
  <c r="N15" i="16" s="1"/>
  <c r="D15" i="16"/>
  <c r="T13" i="16"/>
  <c r="Z13" i="16" s="1"/>
  <c r="P13" i="16"/>
  <c r="H13" i="16"/>
  <c r="N13" i="16" s="1"/>
  <c r="D13" i="16"/>
  <c r="B13" i="16"/>
  <c r="T12" i="16"/>
  <c r="V34" i="16" s="1"/>
  <c r="P12" i="16"/>
  <c r="R20" i="16" s="1"/>
  <c r="H12" i="16"/>
  <c r="J21" i="16" s="1"/>
  <c r="D12" i="16"/>
  <c r="F15" i="16" s="1"/>
  <c r="D5" i="16"/>
  <c r="D4" i="16"/>
  <c r="X153" i="15"/>
  <c r="Z153" i="15" s="1"/>
  <c r="N153" i="15"/>
  <c r="L153" i="15"/>
  <c r="Z149" i="15"/>
  <c r="X149" i="15"/>
  <c r="P149" i="15"/>
  <c r="N149" i="15"/>
  <c r="D149" i="15"/>
  <c r="L149" i="15" s="1"/>
  <c r="B149" i="15"/>
  <c r="P148" i="15"/>
  <c r="X148" i="15" s="1"/>
  <c r="Z148" i="15" s="1"/>
  <c r="N148" i="15"/>
  <c r="L148" i="15"/>
  <c r="D148" i="15"/>
  <c r="B148" i="15"/>
  <c r="Z147" i="15"/>
  <c r="P147" i="15"/>
  <c r="X147" i="15" s="1"/>
  <c r="N147" i="15"/>
  <c r="D147" i="15"/>
  <c r="L147" i="15" s="1"/>
  <c r="B147" i="15"/>
  <c r="X146" i="15"/>
  <c r="Z146" i="15" s="1"/>
  <c r="P146" i="15"/>
  <c r="D146" i="15"/>
  <c r="L146" i="15" s="1"/>
  <c r="N146" i="15" s="1"/>
  <c r="B146" i="15"/>
  <c r="P145" i="15"/>
  <c r="P144" i="15" s="1"/>
  <c r="X144" i="15" s="1"/>
  <c r="L145" i="15"/>
  <c r="N145" i="15" s="1"/>
  <c r="D145" i="15"/>
  <c r="B145" i="15"/>
  <c r="T144" i="15"/>
  <c r="H144" i="15"/>
  <c r="D144" i="15"/>
  <c r="L144" i="15" s="1"/>
  <c r="Z142" i="15"/>
  <c r="X142" i="15"/>
  <c r="N142" i="15"/>
  <c r="L142" i="15"/>
  <c r="B142" i="15"/>
  <c r="T141" i="15"/>
  <c r="P141" i="15"/>
  <c r="X141" i="15" s="1"/>
  <c r="H141" i="15"/>
  <c r="D141" i="15"/>
  <c r="L141" i="15" s="1"/>
  <c r="N141" i="15" s="1"/>
  <c r="B141" i="15"/>
  <c r="X140" i="15"/>
  <c r="Z140" i="15" s="1"/>
  <c r="N140" i="15"/>
  <c r="L140" i="15"/>
  <c r="B140" i="15"/>
  <c r="Z139" i="15"/>
  <c r="X139" i="15"/>
  <c r="L139" i="15"/>
  <c r="N139" i="15" s="1"/>
  <c r="B139" i="15"/>
  <c r="Z138" i="15"/>
  <c r="X138" i="15"/>
  <c r="N138" i="15"/>
  <c r="L138" i="15"/>
  <c r="B138" i="15"/>
  <c r="T137" i="15"/>
  <c r="Z137" i="15" s="1"/>
  <c r="P137" i="15"/>
  <c r="X137" i="15" s="1"/>
  <c r="N137" i="15"/>
  <c r="H137" i="15"/>
  <c r="D137" i="15"/>
  <c r="L137" i="15" s="1"/>
  <c r="B137" i="15"/>
  <c r="Z136" i="15"/>
  <c r="X136" i="15"/>
  <c r="N136" i="15"/>
  <c r="L136" i="15"/>
  <c r="B136" i="15"/>
  <c r="Z135" i="15"/>
  <c r="T135" i="15"/>
  <c r="P135" i="15"/>
  <c r="X135" i="15" s="1"/>
  <c r="N135" i="15"/>
  <c r="H135" i="15"/>
  <c r="L135" i="15" s="1"/>
  <c r="D135" i="15"/>
  <c r="B135" i="15"/>
  <c r="Z134" i="15"/>
  <c r="X134" i="15"/>
  <c r="N134" i="15"/>
  <c r="L134" i="15"/>
  <c r="B134" i="15"/>
  <c r="Z133" i="15"/>
  <c r="X133" i="15"/>
  <c r="N133" i="15"/>
  <c r="L133" i="15"/>
  <c r="B133" i="15"/>
  <c r="X132" i="15"/>
  <c r="Z132" i="15" s="1"/>
  <c r="T132" i="15"/>
  <c r="P132" i="15"/>
  <c r="H132" i="15"/>
  <c r="D132" i="15"/>
  <c r="B132" i="15"/>
  <c r="X131" i="15"/>
  <c r="Z131" i="15" s="1"/>
  <c r="N131" i="15"/>
  <c r="L131" i="15"/>
  <c r="B131" i="15"/>
  <c r="Z130" i="15"/>
  <c r="X130" i="15"/>
  <c r="N130" i="15"/>
  <c r="L130" i="15"/>
  <c r="B130" i="15"/>
  <c r="Z129" i="15"/>
  <c r="X129" i="15"/>
  <c r="L129" i="15"/>
  <c r="N129" i="15" s="1"/>
  <c r="B129" i="15"/>
  <c r="X128" i="15"/>
  <c r="Z128" i="15" s="1"/>
  <c r="L128" i="15"/>
  <c r="N128" i="15" s="1"/>
  <c r="B128" i="15"/>
  <c r="Z127" i="15"/>
  <c r="X127" i="15"/>
  <c r="L127" i="15"/>
  <c r="N127" i="15" s="1"/>
  <c r="B127" i="15"/>
  <c r="Z126" i="15"/>
  <c r="X126" i="15"/>
  <c r="N126" i="15"/>
  <c r="L126" i="15"/>
  <c r="B126" i="15"/>
  <c r="X125" i="15"/>
  <c r="Z125" i="15" s="1"/>
  <c r="N125" i="15"/>
  <c r="L125" i="15"/>
  <c r="B125" i="15"/>
  <c r="T124" i="15"/>
  <c r="Z124" i="15" s="1"/>
  <c r="P124" i="15"/>
  <c r="X124" i="15" s="1"/>
  <c r="H124" i="15"/>
  <c r="D124" i="15"/>
  <c r="L124" i="15" s="1"/>
  <c r="N124" i="15" s="1"/>
  <c r="B124" i="15"/>
  <c r="Z123" i="15"/>
  <c r="X123" i="15"/>
  <c r="L123" i="15"/>
  <c r="N123" i="15" s="1"/>
  <c r="B123" i="15"/>
  <c r="Z122" i="15"/>
  <c r="X122" i="15"/>
  <c r="N122" i="15"/>
  <c r="L122" i="15"/>
  <c r="B122" i="15"/>
  <c r="T121" i="15"/>
  <c r="P121" i="15"/>
  <c r="X121" i="15" s="1"/>
  <c r="N121" i="15"/>
  <c r="H121" i="15"/>
  <c r="D121" i="15"/>
  <c r="L121" i="15" s="1"/>
  <c r="B121" i="15"/>
  <c r="Z120" i="15"/>
  <c r="X120" i="15"/>
  <c r="N120" i="15"/>
  <c r="L120" i="15"/>
  <c r="B120" i="15"/>
  <c r="Z119" i="15"/>
  <c r="X119" i="15"/>
  <c r="L119" i="15"/>
  <c r="N119" i="15" s="1"/>
  <c r="B119" i="15"/>
  <c r="Z118" i="15"/>
  <c r="X118" i="15"/>
  <c r="N118" i="15"/>
  <c r="L118" i="15"/>
  <c r="B118" i="15"/>
  <c r="T117" i="15"/>
  <c r="P117" i="15"/>
  <c r="X117" i="15" s="1"/>
  <c r="N117" i="15"/>
  <c r="H117" i="15"/>
  <c r="D117" i="15"/>
  <c r="L117" i="15" s="1"/>
  <c r="B117" i="15"/>
  <c r="X116" i="15"/>
  <c r="Z116" i="15" s="1"/>
  <c r="L116" i="15"/>
  <c r="N116" i="15" s="1"/>
  <c r="B116" i="15"/>
  <c r="Z115" i="15"/>
  <c r="X115" i="15"/>
  <c r="L115" i="15"/>
  <c r="N115" i="15" s="1"/>
  <c r="B115" i="15"/>
  <c r="Z114" i="15"/>
  <c r="X114" i="15"/>
  <c r="N114" i="15"/>
  <c r="L114" i="15"/>
  <c r="B114" i="15"/>
  <c r="X113" i="15"/>
  <c r="Z113" i="15" s="1"/>
  <c r="N113" i="15"/>
  <c r="L113" i="15"/>
  <c r="B113" i="15"/>
  <c r="V112" i="15"/>
  <c r="T112" i="15"/>
  <c r="Z112" i="15" s="1"/>
  <c r="P112" i="15"/>
  <c r="X112" i="15" s="1"/>
  <c r="H112" i="15"/>
  <c r="D112" i="15"/>
  <c r="L112" i="15" s="1"/>
  <c r="N112" i="15" s="1"/>
  <c r="B112" i="15"/>
  <c r="Z111" i="15"/>
  <c r="X111" i="15"/>
  <c r="L111" i="15"/>
  <c r="N111" i="15" s="1"/>
  <c r="B111" i="15"/>
  <c r="Z110" i="15"/>
  <c r="X110" i="15"/>
  <c r="N110" i="15"/>
  <c r="L110" i="15"/>
  <c r="B110" i="15"/>
  <c r="X109" i="15"/>
  <c r="Z109" i="15" s="1"/>
  <c r="N109" i="15"/>
  <c r="L109" i="15"/>
  <c r="B109" i="15"/>
  <c r="Z108" i="15"/>
  <c r="X108" i="15"/>
  <c r="V108" i="15"/>
  <c r="L108" i="15"/>
  <c r="N108" i="15" s="1"/>
  <c r="B108" i="15"/>
  <c r="X107" i="15"/>
  <c r="T107" i="15"/>
  <c r="Z107" i="15" s="1"/>
  <c r="P107" i="15"/>
  <c r="H107" i="15"/>
  <c r="D107" i="15"/>
  <c r="L107" i="15" s="1"/>
  <c r="B107" i="15"/>
  <c r="Z106" i="15"/>
  <c r="X106" i="15"/>
  <c r="N106" i="15"/>
  <c r="L106" i="15"/>
  <c r="B106" i="15"/>
  <c r="T105" i="15"/>
  <c r="P105" i="15"/>
  <c r="N105" i="15"/>
  <c r="H105" i="15"/>
  <c r="D105" i="15"/>
  <c r="L105" i="15" s="1"/>
  <c r="B105" i="15"/>
  <c r="X104" i="15"/>
  <c r="Z104" i="15" s="1"/>
  <c r="N104" i="15"/>
  <c r="L104" i="15"/>
  <c r="B104" i="15"/>
  <c r="T103" i="15"/>
  <c r="P103" i="15"/>
  <c r="X103" i="15" s="1"/>
  <c r="Z103" i="15" s="1"/>
  <c r="H103" i="15"/>
  <c r="D103" i="15"/>
  <c r="B103" i="15"/>
  <c r="Z102" i="15"/>
  <c r="X102" i="15"/>
  <c r="N102" i="15"/>
  <c r="L102" i="15"/>
  <c r="B102" i="15"/>
  <c r="V101" i="15"/>
  <c r="T101" i="15"/>
  <c r="P101" i="15"/>
  <c r="L101" i="15"/>
  <c r="H101" i="15"/>
  <c r="N101" i="15" s="1"/>
  <c r="D101" i="15"/>
  <c r="B101" i="15"/>
  <c r="Z100" i="15"/>
  <c r="X100" i="15"/>
  <c r="V100" i="15"/>
  <c r="L100" i="15"/>
  <c r="N100" i="15" s="1"/>
  <c r="B100" i="15"/>
  <c r="X99" i="15"/>
  <c r="T99" i="15"/>
  <c r="Z99" i="15" s="1"/>
  <c r="P99" i="15"/>
  <c r="H99" i="15"/>
  <c r="D99" i="15"/>
  <c r="L99" i="15" s="1"/>
  <c r="B99" i="15"/>
  <c r="Z98" i="15"/>
  <c r="X98" i="15"/>
  <c r="N98" i="15"/>
  <c r="L98" i="15"/>
  <c r="B98" i="15"/>
  <c r="X97" i="15"/>
  <c r="Z97" i="15" s="1"/>
  <c r="N97" i="15"/>
  <c r="L97" i="15"/>
  <c r="B97" i="15"/>
  <c r="V96" i="15"/>
  <c r="T96" i="15"/>
  <c r="P96" i="15"/>
  <c r="X96" i="15" s="1"/>
  <c r="H96" i="15"/>
  <c r="D96" i="15"/>
  <c r="L96" i="15" s="1"/>
  <c r="N96" i="15" s="1"/>
  <c r="B96" i="15"/>
  <c r="Z95" i="15"/>
  <c r="X95" i="15"/>
  <c r="L95" i="15"/>
  <c r="N95" i="15" s="1"/>
  <c r="B95" i="15"/>
  <c r="Z94" i="15"/>
  <c r="X94" i="15"/>
  <c r="N94" i="15"/>
  <c r="L94" i="15"/>
  <c r="B94" i="15"/>
  <c r="T93" i="15"/>
  <c r="P93" i="15"/>
  <c r="X93" i="15" s="1"/>
  <c r="L93" i="15"/>
  <c r="N93" i="15" s="1"/>
  <c r="H93" i="15"/>
  <c r="D93" i="15"/>
  <c r="B93" i="15"/>
  <c r="X92" i="15"/>
  <c r="Z92" i="15" s="1"/>
  <c r="V92" i="15"/>
  <c r="N92" i="15"/>
  <c r="L92" i="15"/>
  <c r="B92" i="15"/>
  <c r="T91" i="15"/>
  <c r="P91" i="15"/>
  <c r="X91" i="15" s="1"/>
  <c r="Z91" i="15" s="1"/>
  <c r="J91" i="15"/>
  <c r="H91" i="15"/>
  <c r="D91" i="15"/>
  <c r="B91" i="15"/>
  <c r="X90" i="15"/>
  <c r="Z90" i="15" s="1"/>
  <c r="N90" i="15"/>
  <c r="L90" i="15"/>
  <c r="B90" i="15"/>
  <c r="T89" i="15"/>
  <c r="X89" i="15" s="1"/>
  <c r="P89" i="15"/>
  <c r="L89" i="15"/>
  <c r="H89" i="15"/>
  <c r="N89" i="15" s="1"/>
  <c r="D89" i="15"/>
  <c r="B89" i="15"/>
  <c r="Z88" i="15"/>
  <c r="X88" i="15"/>
  <c r="V88" i="15"/>
  <c r="L88" i="15"/>
  <c r="N88" i="15" s="1"/>
  <c r="B88" i="15"/>
  <c r="T87" i="15"/>
  <c r="P87" i="15"/>
  <c r="X87" i="15" s="1"/>
  <c r="H87" i="15"/>
  <c r="D87" i="15"/>
  <c r="B87" i="15"/>
  <c r="Z86" i="15"/>
  <c r="X86" i="15"/>
  <c r="N86" i="15"/>
  <c r="L86" i="15"/>
  <c r="B86" i="15"/>
  <c r="Z85" i="15"/>
  <c r="X85" i="15"/>
  <c r="N85" i="15"/>
  <c r="L85" i="15"/>
  <c r="B85" i="15"/>
  <c r="T84" i="15"/>
  <c r="Z84" i="15" s="1"/>
  <c r="P84" i="15"/>
  <c r="X84" i="15" s="1"/>
  <c r="N84" i="15"/>
  <c r="H84" i="15"/>
  <c r="D84" i="15"/>
  <c r="L84" i="15" s="1"/>
  <c r="B84" i="15"/>
  <c r="Z83" i="15"/>
  <c r="X83" i="15"/>
  <c r="L83" i="15"/>
  <c r="N83" i="15" s="1"/>
  <c r="B83" i="15"/>
  <c r="Z82" i="15"/>
  <c r="X82" i="15"/>
  <c r="N82" i="15"/>
  <c r="L82" i="15"/>
  <c r="B82" i="15"/>
  <c r="T81" i="15"/>
  <c r="P81" i="15"/>
  <c r="H81" i="15"/>
  <c r="D81" i="15"/>
  <c r="L81" i="15" s="1"/>
  <c r="N81" i="15" s="1"/>
  <c r="B81" i="15"/>
  <c r="X80" i="15"/>
  <c r="Z80" i="15" s="1"/>
  <c r="N80" i="15"/>
  <c r="L80" i="15"/>
  <c r="B80" i="15"/>
  <c r="X79" i="15"/>
  <c r="Z79" i="15" s="1"/>
  <c r="T79" i="15"/>
  <c r="P79" i="15"/>
  <c r="H79" i="15"/>
  <c r="D79" i="15"/>
  <c r="B79" i="15"/>
  <c r="X78" i="15"/>
  <c r="Z78" i="15" s="1"/>
  <c r="N78" i="15"/>
  <c r="L78" i="15"/>
  <c r="B78" i="15"/>
  <c r="T77" i="15"/>
  <c r="P77" i="15"/>
  <c r="X77" i="15" s="1"/>
  <c r="L77" i="15"/>
  <c r="J77" i="15"/>
  <c r="H77" i="15"/>
  <c r="D77" i="15"/>
  <c r="B77" i="15"/>
  <c r="Z76" i="15"/>
  <c r="X76" i="15"/>
  <c r="V76" i="15"/>
  <c r="L76" i="15"/>
  <c r="N76" i="15" s="1"/>
  <c r="B76" i="15"/>
  <c r="T75" i="15"/>
  <c r="P75" i="15"/>
  <c r="H75" i="15"/>
  <c r="N75" i="15" s="1"/>
  <c r="D75" i="15"/>
  <c r="L75" i="15" s="1"/>
  <c r="B75" i="15"/>
  <c r="Z74" i="15"/>
  <c r="X74" i="15"/>
  <c r="N74" i="15"/>
  <c r="L74" i="15"/>
  <c r="B74" i="15"/>
  <c r="Z73" i="15"/>
  <c r="X73" i="15"/>
  <c r="N73" i="15"/>
  <c r="L73" i="15"/>
  <c r="J73" i="15"/>
  <c r="B73" i="15"/>
  <c r="X72" i="15"/>
  <c r="Z72" i="15" s="1"/>
  <c r="V72" i="15"/>
  <c r="L72" i="15"/>
  <c r="N72" i="15" s="1"/>
  <c r="B72" i="15"/>
  <c r="X71" i="15"/>
  <c r="Z71" i="15" s="1"/>
  <c r="V71" i="15"/>
  <c r="N71" i="15"/>
  <c r="L71" i="15"/>
  <c r="B71" i="15"/>
  <c r="Z70" i="15"/>
  <c r="X70" i="15"/>
  <c r="V70" i="15"/>
  <c r="N70" i="15"/>
  <c r="L70" i="15"/>
  <c r="B70" i="15"/>
  <c r="X69" i="15"/>
  <c r="Z69" i="15" s="1"/>
  <c r="V69" i="15"/>
  <c r="N69" i="15"/>
  <c r="L69" i="15"/>
  <c r="B69" i="15"/>
  <c r="X68" i="15"/>
  <c r="Z68" i="15" s="1"/>
  <c r="L68" i="15"/>
  <c r="N68" i="15" s="1"/>
  <c r="B68" i="15"/>
  <c r="Z67" i="15"/>
  <c r="X67" i="15"/>
  <c r="N67" i="15"/>
  <c r="L67" i="15"/>
  <c r="B67" i="15"/>
  <c r="X66" i="15"/>
  <c r="Z66" i="15" s="1"/>
  <c r="L66" i="15"/>
  <c r="N66" i="15" s="1"/>
  <c r="B66" i="15"/>
  <c r="Z65" i="15"/>
  <c r="X65" i="15"/>
  <c r="V65" i="15"/>
  <c r="L65" i="15"/>
  <c r="N65" i="15" s="1"/>
  <c r="J65" i="15"/>
  <c r="B65" i="15"/>
  <c r="T64" i="15"/>
  <c r="P64" i="15"/>
  <c r="X64" i="15" s="1"/>
  <c r="H64" i="15"/>
  <c r="N64" i="15" s="1"/>
  <c r="D64" i="15"/>
  <c r="L64" i="15" s="1"/>
  <c r="B64" i="15"/>
  <c r="Z63" i="15"/>
  <c r="X63" i="15"/>
  <c r="V63" i="15"/>
  <c r="L63" i="15"/>
  <c r="N63" i="15" s="1"/>
  <c r="B63" i="15"/>
  <c r="X62" i="15"/>
  <c r="Z62" i="15" s="1"/>
  <c r="L62" i="15"/>
  <c r="N62" i="15" s="1"/>
  <c r="B62" i="15"/>
  <c r="Z61" i="15"/>
  <c r="X61" i="15"/>
  <c r="V61" i="15"/>
  <c r="N61" i="15"/>
  <c r="L61" i="15"/>
  <c r="J61" i="15"/>
  <c r="B61" i="15"/>
  <c r="Z60" i="15"/>
  <c r="X60" i="15"/>
  <c r="V60" i="15"/>
  <c r="N60" i="15"/>
  <c r="L60" i="15"/>
  <c r="B60" i="15"/>
  <c r="Z59" i="15"/>
  <c r="X59" i="15"/>
  <c r="V59" i="15"/>
  <c r="N59" i="15"/>
  <c r="L59" i="15"/>
  <c r="B59" i="15"/>
  <c r="X58" i="15"/>
  <c r="Z58" i="15" s="1"/>
  <c r="V58" i="15"/>
  <c r="L58" i="15"/>
  <c r="N58" i="15" s="1"/>
  <c r="B58" i="15"/>
  <c r="Z57" i="15"/>
  <c r="X57" i="15"/>
  <c r="V57" i="15"/>
  <c r="N57" i="15"/>
  <c r="L57" i="15"/>
  <c r="B57" i="15"/>
  <c r="X56" i="15"/>
  <c r="Z56" i="15" s="1"/>
  <c r="L56" i="15"/>
  <c r="N56" i="15" s="1"/>
  <c r="B56" i="15"/>
  <c r="Z55" i="15"/>
  <c r="X55" i="15"/>
  <c r="V55" i="15"/>
  <c r="L55" i="15"/>
  <c r="N55" i="15" s="1"/>
  <c r="B55" i="15"/>
  <c r="X54" i="15"/>
  <c r="Z54" i="15" s="1"/>
  <c r="L54" i="15"/>
  <c r="N54" i="15" s="1"/>
  <c r="B54" i="15"/>
  <c r="T53" i="15"/>
  <c r="P53" i="15"/>
  <c r="X53" i="15" s="1"/>
  <c r="N53" i="15"/>
  <c r="H53" i="15"/>
  <c r="D53" i="15"/>
  <c r="L53" i="15" s="1"/>
  <c r="B53" i="15"/>
  <c r="X52" i="15"/>
  <c r="Z52" i="15" s="1"/>
  <c r="T52" i="15"/>
  <c r="P52" i="15"/>
  <c r="H52" i="15"/>
  <c r="D52" i="15"/>
  <c r="Z48" i="15"/>
  <c r="X48" i="15"/>
  <c r="N48" i="15"/>
  <c r="L48" i="15"/>
  <c r="B48" i="15"/>
  <c r="Z47" i="15"/>
  <c r="X47" i="15"/>
  <c r="V47" i="15"/>
  <c r="N47" i="15"/>
  <c r="L47" i="15"/>
  <c r="B47" i="15"/>
  <c r="Z46" i="15"/>
  <c r="X46" i="15"/>
  <c r="N46" i="15"/>
  <c r="L46" i="15"/>
  <c r="B46" i="15"/>
  <c r="Z45" i="15"/>
  <c r="X45" i="15"/>
  <c r="V45" i="15"/>
  <c r="N45" i="15"/>
  <c r="L45" i="15"/>
  <c r="J45" i="15"/>
  <c r="B45" i="15"/>
  <c r="Z44" i="15"/>
  <c r="X44" i="15"/>
  <c r="V44" i="15"/>
  <c r="N44" i="15"/>
  <c r="L44" i="15"/>
  <c r="B44" i="15"/>
  <c r="Z43" i="15"/>
  <c r="X43" i="15"/>
  <c r="V43" i="15"/>
  <c r="N43" i="15"/>
  <c r="L43" i="15"/>
  <c r="B43" i="15"/>
  <c r="Z42" i="15"/>
  <c r="X42" i="15"/>
  <c r="V42" i="15"/>
  <c r="N42" i="15"/>
  <c r="L42" i="15"/>
  <c r="B42" i="15"/>
  <c r="Z41" i="15"/>
  <c r="X41" i="15"/>
  <c r="V41" i="15"/>
  <c r="N41" i="15"/>
  <c r="L41" i="15"/>
  <c r="B41" i="15"/>
  <c r="Z40" i="15"/>
  <c r="X40" i="15"/>
  <c r="N40" i="15"/>
  <c r="L40" i="15"/>
  <c r="B40" i="15"/>
  <c r="Z39" i="15"/>
  <c r="X39" i="15"/>
  <c r="V39" i="15"/>
  <c r="N39" i="15"/>
  <c r="L39" i="15"/>
  <c r="B39" i="15"/>
  <c r="Z38" i="15"/>
  <c r="X38" i="15"/>
  <c r="N38" i="15"/>
  <c r="L38" i="15"/>
  <c r="B38" i="15"/>
  <c r="Z37" i="15"/>
  <c r="X37" i="15"/>
  <c r="V37" i="15"/>
  <c r="N37" i="15"/>
  <c r="L37" i="15"/>
  <c r="J37" i="15"/>
  <c r="B37" i="15"/>
  <c r="Z36" i="15"/>
  <c r="X36" i="15"/>
  <c r="V36" i="15"/>
  <c r="N36" i="15"/>
  <c r="L36" i="15"/>
  <c r="B36" i="15"/>
  <c r="Z35" i="15"/>
  <c r="X35" i="15"/>
  <c r="V35" i="15"/>
  <c r="N35" i="15"/>
  <c r="L35" i="15"/>
  <c r="B35" i="15"/>
  <c r="Z34" i="15"/>
  <c r="X34" i="15"/>
  <c r="V34" i="15"/>
  <c r="N34" i="15"/>
  <c r="L34" i="15"/>
  <c r="B34" i="15"/>
  <c r="Z33" i="15"/>
  <c r="X33" i="15"/>
  <c r="V33" i="15"/>
  <c r="N33" i="15"/>
  <c r="L33" i="15"/>
  <c r="B33" i="15"/>
  <c r="Z32" i="15"/>
  <c r="X32" i="15"/>
  <c r="N32" i="15"/>
  <c r="L32" i="15"/>
  <c r="B32" i="15"/>
  <c r="Z31" i="15"/>
  <c r="X31" i="15"/>
  <c r="V31" i="15"/>
  <c r="N31" i="15"/>
  <c r="L31" i="15"/>
  <c r="B31" i="15"/>
  <c r="Z30" i="15"/>
  <c r="X30" i="15"/>
  <c r="N30" i="15"/>
  <c r="L30" i="15"/>
  <c r="B30" i="15"/>
  <c r="Z29" i="15"/>
  <c r="X29" i="15"/>
  <c r="V29" i="15"/>
  <c r="N29" i="15"/>
  <c r="L29" i="15"/>
  <c r="J29" i="15"/>
  <c r="B29" i="15"/>
  <c r="Z28" i="15"/>
  <c r="X28" i="15"/>
  <c r="V28" i="15"/>
  <c r="N28" i="15"/>
  <c r="L28" i="15"/>
  <c r="B28" i="15"/>
  <c r="Z27" i="15"/>
  <c r="X27" i="15"/>
  <c r="V27" i="15"/>
  <c r="N27" i="15"/>
  <c r="L27" i="15"/>
  <c r="B27" i="15"/>
  <c r="Z26" i="15"/>
  <c r="X26" i="15"/>
  <c r="V26" i="15"/>
  <c r="N26" i="15"/>
  <c r="L26" i="15"/>
  <c r="B26" i="15"/>
  <c r="Z25" i="15"/>
  <c r="X25" i="15"/>
  <c r="V25" i="15"/>
  <c r="N25" i="15"/>
  <c r="L25" i="15"/>
  <c r="B25" i="15"/>
  <c r="Z24" i="15"/>
  <c r="X24" i="15"/>
  <c r="N24" i="15"/>
  <c r="L24" i="15"/>
  <c r="B24" i="15"/>
  <c r="Z23" i="15"/>
  <c r="X23" i="15"/>
  <c r="V23" i="15"/>
  <c r="N23" i="15"/>
  <c r="L23" i="15"/>
  <c r="B23" i="15"/>
  <c r="X22" i="15"/>
  <c r="Z22" i="15" s="1"/>
  <c r="L22" i="15"/>
  <c r="N22" i="15" s="1"/>
  <c r="B22" i="15"/>
  <c r="T21" i="15"/>
  <c r="P21" i="15"/>
  <c r="X21" i="15" s="1"/>
  <c r="H21" i="15"/>
  <c r="D21" i="15"/>
  <c r="L21" i="15" s="1"/>
  <c r="N21" i="15" s="1"/>
  <c r="Z19" i="15"/>
  <c r="P19" i="15"/>
  <c r="X19" i="15" s="1"/>
  <c r="N19" i="15"/>
  <c r="L19" i="15"/>
  <c r="D19" i="15"/>
  <c r="B19" i="15"/>
  <c r="Z18" i="15"/>
  <c r="P18" i="15"/>
  <c r="X18" i="15" s="1"/>
  <c r="N18" i="15"/>
  <c r="D18" i="15"/>
  <c r="L18" i="15" s="1"/>
  <c r="B18" i="15"/>
  <c r="Z17" i="15"/>
  <c r="X17" i="15"/>
  <c r="P17" i="15"/>
  <c r="N17" i="15"/>
  <c r="L17" i="15"/>
  <c r="D17" i="15"/>
  <c r="B17" i="15"/>
  <c r="Z16" i="15"/>
  <c r="P16" i="15"/>
  <c r="N16" i="15"/>
  <c r="D16" i="15"/>
  <c r="L16" i="15" s="1"/>
  <c r="B16" i="15"/>
  <c r="Z15" i="15"/>
  <c r="P15" i="15"/>
  <c r="X15" i="15" s="1"/>
  <c r="N15" i="15"/>
  <c r="D15" i="15"/>
  <c r="L15" i="15" s="1"/>
  <c r="B15" i="15"/>
  <c r="X14" i="15"/>
  <c r="Z14" i="15" s="1"/>
  <c r="P14" i="15"/>
  <c r="L14" i="15"/>
  <c r="N14" i="15" s="1"/>
  <c r="D14" i="15"/>
  <c r="B14" i="15"/>
  <c r="P13" i="15"/>
  <c r="X13" i="15" s="1"/>
  <c r="Z13" i="15" s="1"/>
  <c r="D13" i="15"/>
  <c r="L13" i="15" s="1"/>
  <c r="N13" i="15" s="1"/>
  <c r="B13" i="15"/>
  <c r="T12" i="15"/>
  <c r="H12" i="15"/>
  <c r="J67" i="15" s="1"/>
  <c r="D4" i="15"/>
  <c r="B39" i="14"/>
  <c r="B38" i="14"/>
  <c r="T34" i="14"/>
  <c r="Z34" i="14" s="1"/>
  <c r="P34" i="14"/>
  <c r="H34" i="14"/>
  <c r="N34" i="14" s="1"/>
  <c r="D34" i="14"/>
  <c r="T33" i="14"/>
  <c r="Z33" i="14" s="1"/>
  <c r="P33" i="14"/>
  <c r="H33" i="14"/>
  <c r="N33" i="14" s="1"/>
  <c r="D33" i="14"/>
  <c r="T29" i="14"/>
  <c r="Z29" i="14" s="1"/>
  <c r="P29" i="14"/>
  <c r="H29" i="14"/>
  <c r="N29" i="14" s="1"/>
  <c r="D29" i="14"/>
  <c r="T25" i="14"/>
  <c r="Z25" i="14" s="1"/>
  <c r="P25" i="14"/>
  <c r="H25" i="14"/>
  <c r="N25" i="14" s="1"/>
  <c r="D25" i="14"/>
  <c r="B25" i="14"/>
  <c r="T24" i="14"/>
  <c r="Z24" i="14" s="1"/>
  <c r="P24" i="14"/>
  <c r="H24" i="14"/>
  <c r="D24" i="14"/>
  <c r="T22" i="14"/>
  <c r="Z22" i="14" s="1"/>
  <c r="P22" i="14"/>
  <c r="H22" i="14"/>
  <c r="N22" i="14" s="1"/>
  <c r="D22" i="14"/>
  <c r="B22" i="14"/>
  <c r="T21" i="14"/>
  <c r="Z21" i="14" s="1"/>
  <c r="P21" i="14"/>
  <c r="H21" i="14"/>
  <c r="N21" i="14" s="1"/>
  <c r="D21" i="14"/>
  <c r="B21" i="14"/>
  <c r="T20" i="14"/>
  <c r="P20" i="14"/>
  <c r="H20" i="14"/>
  <c r="N20" i="14" s="1"/>
  <c r="D20" i="14"/>
  <c r="L20" i="14" s="1"/>
  <c r="T16" i="14"/>
  <c r="P16" i="14"/>
  <c r="H16" i="14"/>
  <c r="N16" i="14" s="1"/>
  <c r="D16" i="14"/>
  <c r="B16" i="14"/>
  <c r="T15" i="14"/>
  <c r="Z15" i="14" s="1"/>
  <c r="P15" i="14"/>
  <c r="H15" i="14"/>
  <c r="N15" i="14" s="1"/>
  <c r="D15" i="14"/>
  <c r="T13" i="14"/>
  <c r="P13" i="14"/>
  <c r="H13" i="14"/>
  <c r="N13" i="14" s="1"/>
  <c r="D13" i="14"/>
  <c r="B13" i="14"/>
  <c r="T12" i="14"/>
  <c r="V24" i="14" s="1"/>
  <c r="P12" i="14"/>
  <c r="R20" i="14" s="1"/>
  <c r="H12" i="14"/>
  <c r="J18" i="14" s="1"/>
  <c r="D12" i="14"/>
  <c r="F24" i="14" s="1"/>
  <c r="D5" i="14"/>
  <c r="D4" i="14"/>
  <c r="B39" i="13"/>
  <c r="B38" i="13"/>
  <c r="T34" i="13"/>
  <c r="Z34" i="13" s="1"/>
  <c r="P34" i="13"/>
  <c r="H34" i="13"/>
  <c r="D34" i="13"/>
  <c r="T33" i="13"/>
  <c r="Z33" i="13" s="1"/>
  <c r="P33" i="13"/>
  <c r="H33" i="13"/>
  <c r="N33" i="13" s="1"/>
  <c r="D33" i="13"/>
  <c r="T29" i="13"/>
  <c r="Z29" i="13" s="1"/>
  <c r="P29" i="13"/>
  <c r="H29" i="13"/>
  <c r="N29" i="13" s="1"/>
  <c r="D29" i="13"/>
  <c r="T25" i="13"/>
  <c r="Z25" i="13" s="1"/>
  <c r="P25" i="13"/>
  <c r="H25" i="13"/>
  <c r="N25" i="13" s="1"/>
  <c r="D25" i="13"/>
  <c r="B25" i="13"/>
  <c r="T24" i="13"/>
  <c r="Z24" i="13" s="1"/>
  <c r="P24" i="13"/>
  <c r="H24" i="13"/>
  <c r="N24" i="13" s="1"/>
  <c r="D24" i="13"/>
  <c r="T22" i="13"/>
  <c r="Z22" i="13" s="1"/>
  <c r="P22" i="13"/>
  <c r="H22" i="13"/>
  <c r="N22" i="13" s="1"/>
  <c r="D22" i="13"/>
  <c r="B22" i="13"/>
  <c r="T21" i="13"/>
  <c r="Z21" i="13" s="1"/>
  <c r="P21" i="13"/>
  <c r="H21" i="13"/>
  <c r="N21" i="13" s="1"/>
  <c r="D21" i="13"/>
  <c r="B21" i="13"/>
  <c r="T20" i="13"/>
  <c r="Z20" i="13" s="1"/>
  <c r="P20" i="13"/>
  <c r="H20" i="13"/>
  <c r="N20" i="13" s="1"/>
  <c r="D20" i="13"/>
  <c r="T16" i="13"/>
  <c r="Z16" i="13" s="1"/>
  <c r="P16" i="13"/>
  <c r="H16" i="13"/>
  <c r="N16" i="13" s="1"/>
  <c r="D16" i="13"/>
  <c r="B16" i="13"/>
  <c r="T15" i="13"/>
  <c r="Z15" i="13" s="1"/>
  <c r="P15" i="13"/>
  <c r="H15" i="13"/>
  <c r="N15" i="13" s="1"/>
  <c r="D15" i="13"/>
  <c r="T13" i="13"/>
  <c r="Z13" i="13" s="1"/>
  <c r="P13" i="13"/>
  <c r="H13" i="13"/>
  <c r="N13" i="13" s="1"/>
  <c r="D13" i="13"/>
  <c r="B13" i="13"/>
  <c r="T12" i="13"/>
  <c r="V34" i="13" s="1"/>
  <c r="P12" i="13"/>
  <c r="R34" i="13" s="1"/>
  <c r="H12" i="13"/>
  <c r="J21" i="13" s="1"/>
  <c r="D12" i="13"/>
  <c r="F34" i="13" s="1"/>
  <c r="D5" i="13"/>
  <c r="D4" i="13"/>
  <c r="Z160" i="12"/>
  <c r="X160" i="12"/>
  <c r="L160" i="12"/>
  <c r="N160" i="12" s="1"/>
  <c r="J160" i="12"/>
  <c r="Z156" i="12"/>
  <c r="X156" i="12"/>
  <c r="P156" i="12"/>
  <c r="N156" i="12"/>
  <c r="D156" i="12"/>
  <c r="L156" i="12" s="1"/>
  <c r="B156" i="12"/>
  <c r="P155" i="12"/>
  <c r="X155" i="12" s="1"/>
  <c r="Z155" i="12" s="1"/>
  <c r="N155" i="12"/>
  <c r="L155" i="12"/>
  <c r="J155" i="12"/>
  <c r="D155" i="12"/>
  <c r="B155" i="12"/>
  <c r="Z154" i="12"/>
  <c r="P154" i="12"/>
  <c r="X154" i="12" s="1"/>
  <c r="N154" i="12"/>
  <c r="D154" i="12"/>
  <c r="L154" i="12" s="1"/>
  <c r="B154" i="12"/>
  <c r="X153" i="12"/>
  <c r="Z153" i="12" s="1"/>
  <c r="P153" i="12"/>
  <c r="D153" i="12"/>
  <c r="L153" i="12" s="1"/>
  <c r="N153" i="12" s="1"/>
  <c r="B153" i="12"/>
  <c r="P152" i="12"/>
  <c r="P151" i="12" s="1"/>
  <c r="X151" i="12" s="1"/>
  <c r="L152" i="12"/>
  <c r="N152" i="12" s="1"/>
  <c r="D152" i="12"/>
  <c r="B152" i="12"/>
  <c r="T151" i="12"/>
  <c r="H151" i="12"/>
  <c r="N151" i="12" s="1"/>
  <c r="D151" i="12"/>
  <c r="L151" i="12" s="1"/>
  <c r="X149" i="12"/>
  <c r="Z149" i="12" s="1"/>
  <c r="L149" i="12"/>
  <c r="N149" i="12" s="1"/>
  <c r="B149" i="12"/>
  <c r="T148" i="12"/>
  <c r="P148" i="12"/>
  <c r="X148" i="12" s="1"/>
  <c r="N148" i="12"/>
  <c r="H148" i="12"/>
  <c r="D148" i="12"/>
  <c r="L148" i="12" s="1"/>
  <c r="B148" i="12"/>
  <c r="X147" i="12"/>
  <c r="Z147" i="12" s="1"/>
  <c r="L147" i="12"/>
  <c r="N147" i="12" s="1"/>
  <c r="B147" i="12"/>
  <c r="Z146" i="12"/>
  <c r="X146" i="12"/>
  <c r="L146" i="12"/>
  <c r="N146" i="12" s="1"/>
  <c r="B146" i="12"/>
  <c r="X145" i="12"/>
  <c r="Z145" i="12" s="1"/>
  <c r="L145" i="12"/>
  <c r="N145" i="12" s="1"/>
  <c r="B145" i="12"/>
  <c r="T144" i="12"/>
  <c r="P144" i="12"/>
  <c r="X144" i="12" s="1"/>
  <c r="H144" i="12"/>
  <c r="D144" i="12"/>
  <c r="L144" i="12" s="1"/>
  <c r="N144" i="12" s="1"/>
  <c r="B144" i="12"/>
  <c r="X143" i="12"/>
  <c r="Z143" i="12" s="1"/>
  <c r="L143" i="12"/>
  <c r="N143" i="12" s="1"/>
  <c r="B143" i="12"/>
  <c r="Z142" i="12"/>
  <c r="T142" i="12"/>
  <c r="P142" i="12"/>
  <c r="X142" i="12" s="1"/>
  <c r="L142" i="12"/>
  <c r="N142" i="12" s="1"/>
  <c r="J142" i="12"/>
  <c r="H142" i="12"/>
  <c r="D142" i="12"/>
  <c r="B142" i="12"/>
  <c r="X141" i="12"/>
  <c r="Z141" i="12" s="1"/>
  <c r="L141" i="12"/>
  <c r="N141" i="12" s="1"/>
  <c r="B141" i="12"/>
  <c r="X140" i="12"/>
  <c r="Z140" i="12" s="1"/>
  <c r="N140" i="12"/>
  <c r="L140" i="12"/>
  <c r="B140" i="12"/>
  <c r="X139" i="12"/>
  <c r="Z139" i="12" s="1"/>
  <c r="T139" i="12"/>
  <c r="P139" i="12"/>
  <c r="H139" i="12"/>
  <c r="D139" i="12"/>
  <c r="B139" i="12"/>
  <c r="X138" i="12"/>
  <c r="Z138" i="12" s="1"/>
  <c r="N138" i="12"/>
  <c r="L138" i="12"/>
  <c r="B138" i="12"/>
  <c r="X137" i="12"/>
  <c r="Z137" i="12" s="1"/>
  <c r="L137" i="12"/>
  <c r="N137" i="12" s="1"/>
  <c r="B137" i="12"/>
  <c r="X136" i="12"/>
  <c r="Z136" i="12" s="1"/>
  <c r="N136" i="12"/>
  <c r="L136" i="12"/>
  <c r="B136" i="12"/>
  <c r="X135" i="12"/>
  <c r="Z135" i="12" s="1"/>
  <c r="L135" i="12"/>
  <c r="N135" i="12" s="1"/>
  <c r="B135" i="12"/>
  <c r="Z134" i="12"/>
  <c r="X134" i="12"/>
  <c r="L134" i="12"/>
  <c r="N134" i="12" s="1"/>
  <c r="B134" i="12"/>
  <c r="X133" i="12"/>
  <c r="Z133" i="12" s="1"/>
  <c r="L133" i="12"/>
  <c r="N133" i="12" s="1"/>
  <c r="B133" i="12"/>
  <c r="Z132" i="12"/>
  <c r="X132" i="12"/>
  <c r="L132" i="12"/>
  <c r="N132" i="12" s="1"/>
  <c r="J132" i="12"/>
  <c r="B132" i="12"/>
  <c r="T131" i="12"/>
  <c r="P131" i="12"/>
  <c r="X131" i="12" s="1"/>
  <c r="H131" i="12"/>
  <c r="D131" i="12"/>
  <c r="L131" i="12" s="1"/>
  <c r="B131" i="12"/>
  <c r="Z130" i="12"/>
  <c r="X130" i="12"/>
  <c r="L130" i="12"/>
  <c r="N130" i="12" s="1"/>
  <c r="B130" i="12"/>
  <c r="X129" i="12"/>
  <c r="Z129" i="12" s="1"/>
  <c r="L129" i="12"/>
  <c r="N129" i="12" s="1"/>
  <c r="B129" i="12"/>
  <c r="T128" i="12"/>
  <c r="P128" i="12"/>
  <c r="X128" i="12" s="1"/>
  <c r="N128" i="12"/>
  <c r="H128" i="12"/>
  <c r="D128" i="12"/>
  <c r="L128" i="12" s="1"/>
  <c r="B128" i="12"/>
  <c r="X127" i="12"/>
  <c r="Z127" i="12" s="1"/>
  <c r="L127" i="12"/>
  <c r="N127" i="12" s="1"/>
  <c r="B127" i="12"/>
  <c r="Z126" i="12"/>
  <c r="X126" i="12"/>
  <c r="N126" i="12"/>
  <c r="L126" i="12"/>
  <c r="B126" i="12"/>
  <c r="X125" i="12"/>
  <c r="Z125" i="12" s="1"/>
  <c r="L125" i="12"/>
  <c r="N125" i="12" s="1"/>
  <c r="B125" i="12"/>
  <c r="Z124" i="12"/>
  <c r="X124" i="12"/>
  <c r="L124" i="12"/>
  <c r="N124" i="12" s="1"/>
  <c r="J124" i="12"/>
  <c r="B124" i="12"/>
  <c r="T123" i="12"/>
  <c r="Z123" i="12" s="1"/>
  <c r="P123" i="12"/>
  <c r="X123" i="12" s="1"/>
  <c r="H123" i="12"/>
  <c r="D123" i="12"/>
  <c r="L123" i="12" s="1"/>
  <c r="B123" i="12"/>
  <c r="Z122" i="12"/>
  <c r="X122" i="12"/>
  <c r="L122" i="12"/>
  <c r="N122" i="12" s="1"/>
  <c r="B122" i="12"/>
  <c r="X121" i="12"/>
  <c r="Z121" i="12" s="1"/>
  <c r="L121" i="12"/>
  <c r="N121" i="12" s="1"/>
  <c r="B121" i="12"/>
  <c r="Z120" i="12"/>
  <c r="X120" i="12"/>
  <c r="L120" i="12"/>
  <c r="N120" i="12" s="1"/>
  <c r="J120" i="12"/>
  <c r="B120" i="12"/>
  <c r="X119" i="12"/>
  <c r="Z119" i="12" s="1"/>
  <c r="L119" i="12"/>
  <c r="N119" i="12" s="1"/>
  <c r="B119" i="12"/>
  <c r="T118" i="12"/>
  <c r="P118" i="12"/>
  <c r="H118" i="12"/>
  <c r="N118" i="12" s="1"/>
  <c r="D118" i="12"/>
  <c r="L118" i="12" s="1"/>
  <c r="B118" i="12"/>
  <c r="X117" i="12"/>
  <c r="Z117" i="12" s="1"/>
  <c r="L117" i="12"/>
  <c r="N117" i="12" s="1"/>
  <c r="B117" i="12"/>
  <c r="Z116" i="12"/>
  <c r="X116" i="12"/>
  <c r="L116" i="12"/>
  <c r="N116" i="12" s="1"/>
  <c r="J116" i="12"/>
  <c r="B116" i="12"/>
  <c r="X115" i="12"/>
  <c r="Z115" i="12" s="1"/>
  <c r="L115" i="12"/>
  <c r="N115" i="12" s="1"/>
  <c r="B115" i="12"/>
  <c r="X114" i="12"/>
  <c r="Z114" i="12" s="1"/>
  <c r="N114" i="12"/>
  <c r="L114" i="12"/>
  <c r="B114" i="12"/>
  <c r="T113" i="12"/>
  <c r="P113" i="12"/>
  <c r="H113" i="12"/>
  <c r="N113" i="12" s="1"/>
  <c r="D113" i="12"/>
  <c r="L113" i="12" s="1"/>
  <c r="B113" i="12"/>
  <c r="Z112" i="12"/>
  <c r="X112" i="12"/>
  <c r="L112" i="12"/>
  <c r="N112" i="12" s="1"/>
  <c r="J112" i="12"/>
  <c r="B112" i="12"/>
  <c r="T111" i="12"/>
  <c r="Z111" i="12" s="1"/>
  <c r="P111" i="12"/>
  <c r="X111" i="12" s="1"/>
  <c r="H111" i="12"/>
  <c r="D111" i="12"/>
  <c r="L111" i="12" s="1"/>
  <c r="B111" i="12"/>
  <c r="Z110" i="12"/>
  <c r="X110" i="12"/>
  <c r="L110" i="12"/>
  <c r="N110" i="12" s="1"/>
  <c r="B110" i="12"/>
  <c r="T109" i="12"/>
  <c r="P109" i="12"/>
  <c r="X109" i="12" s="1"/>
  <c r="L109" i="12"/>
  <c r="N109" i="12" s="1"/>
  <c r="H109" i="12"/>
  <c r="D109" i="12"/>
  <c r="B109" i="12"/>
  <c r="X108" i="12"/>
  <c r="Z108" i="12" s="1"/>
  <c r="N108" i="12"/>
  <c r="L108" i="12"/>
  <c r="B108" i="12"/>
  <c r="X107" i="12"/>
  <c r="Z107" i="12" s="1"/>
  <c r="T107" i="12"/>
  <c r="P107" i="12"/>
  <c r="H107" i="12"/>
  <c r="D107" i="12"/>
  <c r="B107" i="12"/>
  <c r="X106" i="12"/>
  <c r="Z106" i="12" s="1"/>
  <c r="N106" i="12"/>
  <c r="L106" i="12"/>
  <c r="B106" i="12"/>
  <c r="T105" i="12"/>
  <c r="P105" i="12"/>
  <c r="H105" i="12"/>
  <c r="N105" i="12" s="1"/>
  <c r="D105" i="12"/>
  <c r="L105" i="12" s="1"/>
  <c r="B105" i="12"/>
  <c r="Z104" i="12"/>
  <c r="X104" i="12"/>
  <c r="L104" i="12"/>
  <c r="N104" i="12" s="1"/>
  <c r="J104" i="12"/>
  <c r="B104" i="12"/>
  <c r="T103" i="12"/>
  <c r="Z103" i="12" s="1"/>
  <c r="P103" i="12"/>
  <c r="X103" i="12" s="1"/>
  <c r="H103" i="12"/>
  <c r="D103" i="12"/>
  <c r="L103" i="12" s="1"/>
  <c r="B103" i="12"/>
  <c r="Z102" i="12"/>
  <c r="X102" i="12"/>
  <c r="L102" i="12"/>
  <c r="N102" i="12" s="1"/>
  <c r="B102" i="12"/>
  <c r="X101" i="12"/>
  <c r="Z101" i="12" s="1"/>
  <c r="N101" i="12"/>
  <c r="L101" i="12"/>
  <c r="B101" i="12"/>
  <c r="T100" i="12"/>
  <c r="Z100" i="12" s="1"/>
  <c r="P100" i="12"/>
  <c r="X100" i="12" s="1"/>
  <c r="H100" i="12"/>
  <c r="D100" i="12"/>
  <c r="L100" i="12" s="1"/>
  <c r="N100" i="12" s="1"/>
  <c r="B100" i="12"/>
  <c r="X99" i="12"/>
  <c r="Z99" i="12" s="1"/>
  <c r="L99" i="12"/>
  <c r="N99" i="12" s="1"/>
  <c r="B99" i="12"/>
  <c r="Z98" i="12"/>
  <c r="X98" i="12"/>
  <c r="L98" i="12"/>
  <c r="N98" i="12" s="1"/>
  <c r="B98" i="12"/>
  <c r="T97" i="12"/>
  <c r="Z97" i="12" s="1"/>
  <c r="P97" i="12"/>
  <c r="X97" i="12" s="1"/>
  <c r="L97" i="12"/>
  <c r="N97" i="12" s="1"/>
  <c r="H97" i="12"/>
  <c r="D97" i="12"/>
  <c r="B97" i="12"/>
  <c r="X96" i="12"/>
  <c r="Z96" i="12" s="1"/>
  <c r="N96" i="12"/>
  <c r="L96" i="12"/>
  <c r="B96" i="12"/>
  <c r="X95" i="12"/>
  <c r="Z95" i="12" s="1"/>
  <c r="T95" i="12"/>
  <c r="P95" i="12"/>
  <c r="H95" i="12"/>
  <c r="D95" i="12"/>
  <c r="B95" i="12"/>
  <c r="X94" i="12"/>
  <c r="Z94" i="12" s="1"/>
  <c r="N94" i="12"/>
  <c r="L94" i="12"/>
  <c r="B94" i="12"/>
  <c r="T93" i="12"/>
  <c r="P93" i="12"/>
  <c r="H93" i="12"/>
  <c r="D93" i="12"/>
  <c r="L93" i="12" s="1"/>
  <c r="B93" i="12"/>
  <c r="Z92" i="12"/>
  <c r="X92" i="12"/>
  <c r="N92" i="12"/>
  <c r="L92" i="12"/>
  <c r="J92" i="12"/>
  <c r="B92" i="12"/>
  <c r="T91" i="12"/>
  <c r="Z91" i="12" s="1"/>
  <c r="P91" i="12"/>
  <c r="X91" i="12" s="1"/>
  <c r="H91" i="12"/>
  <c r="D91" i="12"/>
  <c r="L91" i="12" s="1"/>
  <c r="B91" i="12"/>
  <c r="Z90" i="12"/>
  <c r="X90" i="12"/>
  <c r="N90" i="12"/>
  <c r="L90" i="12"/>
  <c r="B90" i="12"/>
  <c r="Z89" i="12"/>
  <c r="X89" i="12"/>
  <c r="N89" i="12"/>
  <c r="L89" i="12"/>
  <c r="B89" i="12"/>
  <c r="T88" i="12"/>
  <c r="Z88" i="12" s="1"/>
  <c r="P88" i="12"/>
  <c r="X88" i="12" s="1"/>
  <c r="N88" i="12"/>
  <c r="H88" i="12"/>
  <c r="D88" i="12"/>
  <c r="L88" i="12" s="1"/>
  <c r="B88" i="12"/>
  <c r="X87" i="12"/>
  <c r="Z87" i="12" s="1"/>
  <c r="L87" i="12"/>
  <c r="N87" i="12" s="1"/>
  <c r="B87" i="12"/>
  <c r="Z86" i="12"/>
  <c r="X86" i="12"/>
  <c r="N86" i="12"/>
  <c r="L86" i="12"/>
  <c r="B86" i="12"/>
  <c r="T85" i="12"/>
  <c r="P85" i="12"/>
  <c r="X85" i="12" s="1"/>
  <c r="L85" i="12"/>
  <c r="N85" i="12" s="1"/>
  <c r="H85" i="12"/>
  <c r="D85" i="12"/>
  <c r="B85" i="12"/>
  <c r="Z84" i="12"/>
  <c r="X84" i="12"/>
  <c r="N84" i="12"/>
  <c r="L84" i="12"/>
  <c r="B84" i="12"/>
  <c r="X83" i="12"/>
  <c r="Z83" i="12" s="1"/>
  <c r="T83" i="12"/>
  <c r="P83" i="12"/>
  <c r="H83" i="12"/>
  <c r="D83" i="12"/>
  <c r="B83" i="12"/>
  <c r="X82" i="12"/>
  <c r="Z82" i="12" s="1"/>
  <c r="N82" i="12"/>
  <c r="L82" i="12"/>
  <c r="B82" i="12"/>
  <c r="T81" i="12"/>
  <c r="P81" i="12"/>
  <c r="H81" i="12"/>
  <c r="D81" i="12"/>
  <c r="L81" i="12" s="1"/>
  <c r="B81" i="12"/>
  <c r="Z80" i="12"/>
  <c r="X80" i="12"/>
  <c r="N80" i="12"/>
  <c r="L80" i="12"/>
  <c r="J80" i="12"/>
  <c r="B80" i="12"/>
  <c r="T79" i="12"/>
  <c r="P79" i="12"/>
  <c r="X79" i="12" s="1"/>
  <c r="H79" i="12"/>
  <c r="N79" i="12" s="1"/>
  <c r="D79" i="12"/>
  <c r="L79" i="12" s="1"/>
  <c r="B79" i="12"/>
  <c r="Z78" i="12"/>
  <c r="X78" i="12"/>
  <c r="N78" i="12"/>
  <c r="L78" i="12"/>
  <c r="B78" i="12"/>
  <c r="Z77" i="12"/>
  <c r="X77" i="12"/>
  <c r="N77" i="12"/>
  <c r="L77" i="12"/>
  <c r="B77" i="12"/>
  <c r="Z76" i="12"/>
  <c r="X76" i="12"/>
  <c r="N76" i="12"/>
  <c r="L76" i="12"/>
  <c r="J76" i="12"/>
  <c r="B76" i="12"/>
  <c r="X75" i="12"/>
  <c r="Z75" i="12" s="1"/>
  <c r="L75" i="12"/>
  <c r="N75" i="12" s="1"/>
  <c r="B75" i="12"/>
  <c r="Z74" i="12"/>
  <c r="X74" i="12"/>
  <c r="N74" i="12"/>
  <c r="L74" i="12"/>
  <c r="B74" i="12"/>
  <c r="X73" i="12"/>
  <c r="Z73" i="12" s="1"/>
  <c r="L73" i="12"/>
  <c r="N73" i="12" s="1"/>
  <c r="B73" i="12"/>
  <c r="Z72" i="12"/>
  <c r="X72" i="12"/>
  <c r="V72" i="12"/>
  <c r="N72" i="12"/>
  <c r="L72" i="12"/>
  <c r="B72" i="12"/>
  <c r="Z71" i="12"/>
  <c r="X71" i="12"/>
  <c r="N71" i="12"/>
  <c r="L71" i="12"/>
  <c r="B71" i="12"/>
  <c r="Z70" i="12"/>
  <c r="X70" i="12"/>
  <c r="L70" i="12"/>
  <c r="N70" i="12" s="1"/>
  <c r="B70" i="12"/>
  <c r="X69" i="12"/>
  <c r="Z69" i="12" s="1"/>
  <c r="L69" i="12"/>
  <c r="N69" i="12" s="1"/>
  <c r="B69" i="12"/>
  <c r="T68" i="12"/>
  <c r="P68" i="12"/>
  <c r="X68" i="12" s="1"/>
  <c r="H68" i="12"/>
  <c r="D68" i="12"/>
  <c r="L68" i="12" s="1"/>
  <c r="N68" i="12" s="1"/>
  <c r="B68" i="12"/>
  <c r="X67" i="12"/>
  <c r="Z67" i="12" s="1"/>
  <c r="L67" i="12"/>
  <c r="N67" i="12" s="1"/>
  <c r="B67" i="12"/>
  <c r="Z66" i="12"/>
  <c r="X66" i="12"/>
  <c r="L66" i="12"/>
  <c r="N66" i="12" s="1"/>
  <c r="B66" i="12"/>
  <c r="X65" i="12"/>
  <c r="Z65" i="12" s="1"/>
  <c r="L65" i="12"/>
  <c r="N65" i="12" s="1"/>
  <c r="B65" i="12"/>
  <c r="Z64" i="12"/>
  <c r="X64" i="12"/>
  <c r="N64" i="12"/>
  <c r="L64" i="12"/>
  <c r="J64" i="12"/>
  <c r="B64" i="12"/>
  <c r="Z63" i="12"/>
  <c r="X63" i="12"/>
  <c r="N63" i="12"/>
  <c r="L63" i="12"/>
  <c r="B63" i="12"/>
  <c r="X62" i="12"/>
  <c r="Z62" i="12" s="1"/>
  <c r="N62" i="12"/>
  <c r="L62" i="12"/>
  <c r="B62" i="12"/>
  <c r="X61" i="12"/>
  <c r="Z61" i="12" s="1"/>
  <c r="L61" i="12"/>
  <c r="N61" i="12" s="1"/>
  <c r="B61" i="12"/>
  <c r="Z60" i="12"/>
  <c r="X60" i="12"/>
  <c r="N60" i="12"/>
  <c r="L60" i="12"/>
  <c r="B60" i="12"/>
  <c r="X59" i="12"/>
  <c r="Z59" i="12" s="1"/>
  <c r="L59" i="12"/>
  <c r="N59" i="12" s="1"/>
  <c r="B59" i="12"/>
  <c r="Z58" i="12"/>
  <c r="X58" i="12"/>
  <c r="L58" i="12"/>
  <c r="N58" i="12" s="1"/>
  <c r="B58" i="12"/>
  <c r="T57" i="12"/>
  <c r="Z57" i="12" s="1"/>
  <c r="P57" i="12"/>
  <c r="X57" i="12" s="1"/>
  <c r="L57" i="12"/>
  <c r="N57" i="12" s="1"/>
  <c r="H57" i="12"/>
  <c r="D57" i="12"/>
  <c r="B57" i="12"/>
  <c r="Z56" i="12"/>
  <c r="X56" i="12"/>
  <c r="T56" i="12"/>
  <c r="P56" i="12"/>
  <c r="H56" i="12"/>
  <c r="D56" i="12"/>
  <c r="Z52" i="12"/>
  <c r="X52" i="12"/>
  <c r="N52" i="12"/>
  <c r="L52" i="12"/>
  <c r="B52" i="12"/>
  <c r="Z51" i="12"/>
  <c r="X51" i="12"/>
  <c r="N51" i="12"/>
  <c r="L51" i="12"/>
  <c r="B51" i="12"/>
  <c r="Z50" i="12"/>
  <c r="X50" i="12"/>
  <c r="N50" i="12"/>
  <c r="L50" i="12"/>
  <c r="J50" i="12"/>
  <c r="B50" i="12"/>
  <c r="Z49" i="12"/>
  <c r="X49" i="12"/>
  <c r="N49" i="12"/>
  <c r="L49" i="12"/>
  <c r="J49" i="12"/>
  <c r="B49" i="12"/>
  <c r="Z48" i="12"/>
  <c r="X48" i="12"/>
  <c r="N48" i="12"/>
  <c r="L48" i="12"/>
  <c r="J48" i="12"/>
  <c r="B48" i="12"/>
  <c r="Z47" i="12"/>
  <c r="X47" i="12"/>
  <c r="N47" i="12"/>
  <c r="L47" i="12"/>
  <c r="B47" i="12"/>
  <c r="Z46" i="12"/>
  <c r="X46" i="12"/>
  <c r="N46" i="12"/>
  <c r="L46" i="12"/>
  <c r="B46" i="12"/>
  <c r="Z45" i="12"/>
  <c r="X45" i="12"/>
  <c r="N45" i="12"/>
  <c r="L45" i="12"/>
  <c r="B45" i="12"/>
  <c r="Z44" i="12"/>
  <c r="X44" i="12"/>
  <c r="N44" i="12"/>
  <c r="L44" i="12"/>
  <c r="B44" i="12"/>
  <c r="Z43" i="12"/>
  <c r="X43" i="12"/>
  <c r="N43" i="12"/>
  <c r="L43" i="12"/>
  <c r="J43" i="12"/>
  <c r="B43" i="12"/>
  <c r="Z42" i="12"/>
  <c r="X42" i="12"/>
  <c r="N42" i="12"/>
  <c r="L42" i="12"/>
  <c r="J42" i="12"/>
  <c r="B42" i="12"/>
  <c r="Z41" i="12"/>
  <c r="X41" i="12"/>
  <c r="N41" i="12"/>
  <c r="L41" i="12"/>
  <c r="J41" i="12"/>
  <c r="B41" i="12"/>
  <c r="Z40" i="12"/>
  <c r="X40" i="12"/>
  <c r="N40" i="12"/>
  <c r="L40" i="12"/>
  <c r="J40" i="12"/>
  <c r="B40" i="12"/>
  <c r="Z39" i="12"/>
  <c r="X39" i="12"/>
  <c r="N39" i="12"/>
  <c r="L39" i="12"/>
  <c r="B39" i="12"/>
  <c r="Z38" i="12"/>
  <c r="X38" i="12"/>
  <c r="N38" i="12"/>
  <c r="L38" i="12"/>
  <c r="B38" i="12"/>
  <c r="Z37" i="12"/>
  <c r="X37" i="12"/>
  <c r="N37" i="12"/>
  <c r="L37" i="12"/>
  <c r="B37" i="12"/>
  <c r="Z36" i="12"/>
  <c r="X36" i="12"/>
  <c r="V36" i="12"/>
  <c r="N36" i="12"/>
  <c r="L36" i="12"/>
  <c r="B36" i="12"/>
  <c r="Z35" i="12"/>
  <c r="X35" i="12"/>
  <c r="N35" i="12"/>
  <c r="L35" i="12"/>
  <c r="J35" i="12"/>
  <c r="B35" i="12"/>
  <c r="Z34" i="12"/>
  <c r="X34" i="12"/>
  <c r="N34" i="12"/>
  <c r="L34" i="12"/>
  <c r="J34" i="12"/>
  <c r="B34" i="12"/>
  <c r="Z33" i="12"/>
  <c r="X33" i="12"/>
  <c r="N33" i="12"/>
  <c r="L33" i="12"/>
  <c r="J33" i="12"/>
  <c r="B33" i="12"/>
  <c r="Z32" i="12"/>
  <c r="X32" i="12"/>
  <c r="N32" i="12"/>
  <c r="L32" i="12"/>
  <c r="J32" i="12"/>
  <c r="B32" i="12"/>
  <c r="Z31" i="12"/>
  <c r="X31" i="12"/>
  <c r="N31" i="12"/>
  <c r="L31" i="12"/>
  <c r="B31" i="12"/>
  <c r="Z30" i="12"/>
  <c r="X30" i="12"/>
  <c r="N30" i="12"/>
  <c r="L30" i="12"/>
  <c r="B30" i="12"/>
  <c r="Z29" i="12"/>
  <c r="X29" i="12"/>
  <c r="N29" i="12"/>
  <c r="L29" i="12"/>
  <c r="B29" i="12"/>
  <c r="Z28" i="12"/>
  <c r="X28" i="12"/>
  <c r="N28" i="12"/>
  <c r="L28" i="12"/>
  <c r="B28" i="12"/>
  <c r="Z27" i="12"/>
  <c r="X27" i="12"/>
  <c r="N27" i="12"/>
  <c r="L27" i="12"/>
  <c r="J27" i="12"/>
  <c r="B27" i="12"/>
  <c r="Z26" i="12"/>
  <c r="X26" i="12"/>
  <c r="N26" i="12"/>
  <c r="L26" i="12"/>
  <c r="J26" i="12"/>
  <c r="B26" i="12"/>
  <c r="Z25" i="12"/>
  <c r="X25" i="12"/>
  <c r="N25" i="12"/>
  <c r="L25" i="12"/>
  <c r="J25" i="12"/>
  <c r="B25" i="12"/>
  <c r="Z24" i="12"/>
  <c r="X24" i="12"/>
  <c r="L24" i="12"/>
  <c r="N24" i="12" s="1"/>
  <c r="J24" i="12"/>
  <c r="B24" i="12"/>
  <c r="T23" i="12"/>
  <c r="P23" i="12"/>
  <c r="X23" i="12" s="1"/>
  <c r="H23" i="12"/>
  <c r="N23" i="12" s="1"/>
  <c r="D23" i="12"/>
  <c r="L23" i="12" s="1"/>
  <c r="Z21" i="12"/>
  <c r="X21" i="12"/>
  <c r="P21" i="12"/>
  <c r="N21" i="12"/>
  <c r="D21" i="12"/>
  <c r="L21" i="12" s="1"/>
  <c r="B21" i="12"/>
  <c r="Z20" i="12"/>
  <c r="P20" i="12"/>
  <c r="X20" i="12" s="1"/>
  <c r="N20" i="12"/>
  <c r="L20" i="12"/>
  <c r="D20" i="12"/>
  <c r="B20" i="12"/>
  <c r="Z19" i="12"/>
  <c r="P19" i="12"/>
  <c r="X19" i="12" s="1"/>
  <c r="N19" i="12"/>
  <c r="D19" i="12"/>
  <c r="L19" i="12" s="1"/>
  <c r="B19" i="12"/>
  <c r="Z18" i="12"/>
  <c r="P18" i="12"/>
  <c r="X18" i="12" s="1"/>
  <c r="N18" i="12"/>
  <c r="L18" i="12"/>
  <c r="D18" i="12"/>
  <c r="B18" i="12"/>
  <c r="Z17" i="12"/>
  <c r="P17" i="12"/>
  <c r="X17" i="12" s="1"/>
  <c r="N17" i="12"/>
  <c r="D17" i="12"/>
  <c r="L17" i="12" s="1"/>
  <c r="B17" i="12"/>
  <c r="Z16" i="12"/>
  <c r="P16" i="12"/>
  <c r="X16" i="12" s="1"/>
  <c r="N16" i="12"/>
  <c r="D16" i="12"/>
  <c r="L16" i="12" s="1"/>
  <c r="B16" i="12"/>
  <c r="X15" i="12"/>
  <c r="Z15" i="12" s="1"/>
  <c r="P15" i="12"/>
  <c r="D15" i="12"/>
  <c r="L15" i="12" s="1"/>
  <c r="N15" i="12" s="1"/>
  <c r="B15" i="12"/>
  <c r="Z14" i="12"/>
  <c r="P14" i="12"/>
  <c r="X14" i="12" s="1"/>
  <c r="N14" i="12"/>
  <c r="D14" i="12"/>
  <c r="L14" i="12" s="1"/>
  <c r="B14" i="12"/>
  <c r="X13" i="12"/>
  <c r="Z13" i="12" s="1"/>
  <c r="P13" i="12"/>
  <c r="D13" i="12"/>
  <c r="L13" i="12" s="1"/>
  <c r="N13" i="12" s="1"/>
  <c r="B13" i="12"/>
  <c r="T12" i="12"/>
  <c r="V60" i="12" s="1"/>
  <c r="H12" i="12"/>
  <c r="J152" i="12" s="1"/>
  <c r="D4" i="12"/>
  <c r="B39" i="11"/>
  <c r="B38" i="11"/>
  <c r="T34" i="11"/>
  <c r="P34" i="11"/>
  <c r="H34" i="11"/>
  <c r="N34" i="11" s="1"/>
  <c r="D34" i="11"/>
  <c r="T33" i="11"/>
  <c r="Z33" i="11" s="1"/>
  <c r="P33" i="11"/>
  <c r="H33" i="11"/>
  <c r="N33" i="11" s="1"/>
  <c r="D33" i="11"/>
  <c r="T29" i="11"/>
  <c r="Z29" i="11" s="1"/>
  <c r="P29" i="11"/>
  <c r="H29" i="11"/>
  <c r="N29" i="11" s="1"/>
  <c r="D29" i="11"/>
  <c r="T25" i="11"/>
  <c r="Z25" i="11" s="1"/>
  <c r="P25" i="11"/>
  <c r="H25" i="11"/>
  <c r="N25" i="11" s="1"/>
  <c r="D25" i="11"/>
  <c r="B25" i="11"/>
  <c r="T24" i="11"/>
  <c r="Z24" i="11" s="1"/>
  <c r="P24" i="11"/>
  <c r="H24" i="11"/>
  <c r="N24" i="11" s="1"/>
  <c r="D24" i="11"/>
  <c r="T22" i="11"/>
  <c r="Z22" i="11" s="1"/>
  <c r="P22" i="11"/>
  <c r="H22" i="11"/>
  <c r="N22" i="11" s="1"/>
  <c r="D22" i="11"/>
  <c r="B22" i="11"/>
  <c r="T21" i="11"/>
  <c r="Z21" i="11" s="1"/>
  <c r="P21" i="11"/>
  <c r="H21" i="11"/>
  <c r="D21" i="11"/>
  <c r="B21" i="11"/>
  <c r="T20" i="11"/>
  <c r="Z20" i="11" s="1"/>
  <c r="P20" i="11"/>
  <c r="H20" i="11"/>
  <c r="N20" i="11" s="1"/>
  <c r="D20" i="11"/>
  <c r="T16" i="11"/>
  <c r="Z16" i="11" s="1"/>
  <c r="P16" i="11"/>
  <c r="H16" i="11"/>
  <c r="N16" i="11" s="1"/>
  <c r="D16" i="11"/>
  <c r="B16" i="11"/>
  <c r="T15" i="11"/>
  <c r="Z15" i="11" s="1"/>
  <c r="P15" i="11"/>
  <c r="H15" i="11"/>
  <c r="N15" i="11" s="1"/>
  <c r="D15" i="11"/>
  <c r="T13" i="11"/>
  <c r="Z13" i="11" s="1"/>
  <c r="P13" i="11"/>
  <c r="H13" i="11"/>
  <c r="N13" i="11" s="1"/>
  <c r="D13" i="11"/>
  <c r="B13" i="11"/>
  <c r="T12" i="11"/>
  <c r="V24" i="11" s="1"/>
  <c r="P12" i="11"/>
  <c r="R34" i="11" s="1"/>
  <c r="H12" i="11"/>
  <c r="J36" i="11" s="1"/>
  <c r="D12" i="11"/>
  <c r="F21" i="11" s="1"/>
  <c r="D5" i="11"/>
  <c r="D4" i="11"/>
  <c r="B39" i="10"/>
  <c r="B38" i="10"/>
  <c r="T34" i="10"/>
  <c r="Z34" i="10" s="1"/>
  <c r="P34" i="10"/>
  <c r="H34" i="10"/>
  <c r="N34" i="10" s="1"/>
  <c r="D34" i="10"/>
  <c r="T33" i="10"/>
  <c r="Z33" i="10" s="1"/>
  <c r="P33" i="10"/>
  <c r="H33" i="10"/>
  <c r="N33" i="10" s="1"/>
  <c r="D33" i="10"/>
  <c r="T29" i="10"/>
  <c r="Z29" i="10" s="1"/>
  <c r="P29" i="10"/>
  <c r="H29" i="10"/>
  <c r="N29" i="10" s="1"/>
  <c r="D29" i="10"/>
  <c r="T25" i="10"/>
  <c r="Z25" i="10" s="1"/>
  <c r="P25" i="10"/>
  <c r="H25" i="10"/>
  <c r="N25" i="10" s="1"/>
  <c r="D25" i="10"/>
  <c r="B25" i="10"/>
  <c r="T24" i="10"/>
  <c r="Z24" i="10" s="1"/>
  <c r="P24" i="10"/>
  <c r="H24" i="10"/>
  <c r="D24" i="10"/>
  <c r="T22" i="10"/>
  <c r="Z22" i="10" s="1"/>
  <c r="P22" i="10"/>
  <c r="H22" i="10"/>
  <c r="N22" i="10" s="1"/>
  <c r="D22" i="10"/>
  <c r="B22" i="10"/>
  <c r="T21" i="10"/>
  <c r="Z21" i="10" s="1"/>
  <c r="P21" i="10"/>
  <c r="H21" i="10"/>
  <c r="N21" i="10" s="1"/>
  <c r="D21" i="10"/>
  <c r="B21" i="10"/>
  <c r="T20" i="10"/>
  <c r="P20" i="10"/>
  <c r="H20" i="10"/>
  <c r="N20" i="10" s="1"/>
  <c r="D20" i="10"/>
  <c r="T16" i="10"/>
  <c r="P16" i="10"/>
  <c r="H16" i="10"/>
  <c r="N16" i="10" s="1"/>
  <c r="D16" i="10"/>
  <c r="B16" i="10"/>
  <c r="T15" i="10"/>
  <c r="Z15" i="10" s="1"/>
  <c r="P15" i="10"/>
  <c r="H15" i="10"/>
  <c r="N15" i="10" s="1"/>
  <c r="D15" i="10"/>
  <c r="T13" i="10"/>
  <c r="P13" i="10"/>
  <c r="H13" i="10"/>
  <c r="N13" i="10" s="1"/>
  <c r="D13" i="10"/>
  <c r="B13" i="10"/>
  <c r="T12" i="10"/>
  <c r="V24" i="10" s="1"/>
  <c r="P12" i="10"/>
  <c r="R20" i="10" s="1"/>
  <c r="H12" i="10"/>
  <c r="J18" i="10" s="1"/>
  <c r="D12" i="10"/>
  <c r="F24" i="10" s="1"/>
  <c r="D5" i="10"/>
  <c r="D4" i="10"/>
  <c r="Z99" i="9"/>
  <c r="X99" i="9"/>
  <c r="N99" i="9"/>
  <c r="L99" i="9"/>
  <c r="F99" i="9"/>
  <c r="T95" i="9"/>
  <c r="P95" i="9"/>
  <c r="H95" i="9"/>
  <c r="N95" i="9" s="1"/>
  <c r="D95" i="9"/>
  <c r="L95" i="9" s="1"/>
  <c r="X93" i="9"/>
  <c r="Z93" i="9" s="1"/>
  <c r="N93" i="9"/>
  <c r="L93" i="9"/>
  <c r="F93" i="9"/>
  <c r="B93" i="9"/>
  <c r="Z92" i="9"/>
  <c r="X92" i="9"/>
  <c r="L92" i="9"/>
  <c r="N92" i="9" s="1"/>
  <c r="J92" i="9"/>
  <c r="B92" i="9"/>
  <c r="T91" i="9"/>
  <c r="Z91" i="9" s="1"/>
  <c r="P91" i="9"/>
  <c r="X91" i="9" s="1"/>
  <c r="H91" i="9"/>
  <c r="N91" i="9" s="1"/>
  <c r="D91" i="9"/>
  <c r="L91" i="9" s="1"/>
  <c r="B91" i="9"/>
  <c r="Z90" i="9"/>
  <c r="X90" i="9"/>
  <c r="L90" i="9"/>
  <c r="N90" i="9" s="1"/>
  <c r="B90" i="9"/>
  <c r="T89" i="9"/>
  <c r="P89" i="9"/>
  <c r="X89" i="9" s="1"/>
  <c r="L89" i="9"/>
  <c r="N89" i="9" s="1"/>
  <c r="H89" i="9"/>
  <c r="D89" i="9"/>
  <c r="B89" i="9"/>
  <c r="X88" i="9"/>
  <c r="Z88" i="9" s="1"/>
  <c r="V88" i="9"/>
  <c r="N88" i="9"/>
  <c r="L88" i="9"/>
  <c r="B88" i="9"/>
  <c r="X87" i="9"/>
  <c r="Z87" i="9" s="1"/>
  <c r="L87" i="9"/>
  <c r="N87" i="9" s="1"/>
  <c r="B87" i="9"/>
  <c r="Z86" i="9"/>
  <c r="T86" i="9"/>
  <c r="P86" i="9"/>
  <c r="X86" i="9" s="1"/>
  <c r="L86" i="9"/>
  <c r="N86" i="9" s="1"/>
  <c r="J86" i="9"/>
  <c r="H86" i="9"/>
  <c r="D86" i="9"/>
  <c r="B86" i="9"/>
  <c r="Z85" i="9"/>
  <c r="X85" i="9"/>
  <c r="R85" i="9"/>
  <c r="N85" i="9"/>
  <c r="L85" i="9"/>
  <c r="B85" i="9"/>
  <c r="X84" i="9"/>
  <c r="Z84" i="9" s="1"/>
  <c r="V84" i="9"/>
  <c r="N84" i="9"/>
  <c r="L84" i="9"/>
  <c r="B84" i="9"/>
  <c r="X83" i="9"/>
  <c r="Z83" i="9" s="1"/>
  <c r="L83" i="9"/>
  <c r="N83" i="9" s="1"/>
  <c r="B83" i="9"/>
  <c r="Z82" i="9"/>
  <c r="X82" i="9"/>
  <c r="L82" i="9"/>
  <c r="N82" i="9" s="1"/>
  <c r="B82" i="9"/>
  <c r="Z81" i="9"/>
  <c r="X81" i="9"/>
  <c r="N81" i="9"/>
  <c r="L81" i="9"/>
  <c r="F81" i="9"/>
  <c r="B81" i="9"/>
  <c r="Z80" i="9"/>
  <c r="X80" i="9"/>
  <c r="R80" i="9"/>
  <c r="L80" i="9"/>
  <c r="N80" i="9" s="1"/>
  <c r="J80" i="9"/>
  <c r="B80" i="9"/>
  <c r="T79" i="9"/>
  <c r="Z79" i="9" s="1"/>
  <c r="R79" i="9"/>
  <c r="P79" i="9"/>
  <c r="X79" i="9" s="1"/>
  <c r="H79" i="9"/>
  <c r="N79" i="9" s="1"/>
  <c r="D79" i="9"/>
  <c r="L79" i="9" s="1"/>
  <c r="B79" i="9"/>
  <c r="Z78" i="9"/>
  <c r="X78" i="9"/>
  <c r="N78" i="9"/>
  <c r="L78" i="9"/>
  <c r="B78" i="9"/>
  <c r="X77" i="9"/>
  <c r="Z77" i="9" s="1"/>
  <c r="L77" i="9"/>
  <c r="N77" i="9" s="1"/>
  <c r="F77" i="9"/>
  <c r="B77" i="9"/>
  <c r="T76" i="9"/>
  <c r="R76" i="9"/>
  <c r="P76" i="9"/>
  <c r="X76" i="9" s="1"/>
  <c r="N76" i="9"/>
  <c r="H76" i="9"/>
  <c r="D76" i="9"/>
  <c r="L76" i="9" s="1"/>
  <c r="B76" i="9"/>
  <c r="X75" i="9"/>
  <c r="Z75" i="9" s="1"/>
  <c r="L75" i="9"/>
  <c r="N75" i="9" s="1"/>
  <c r="B75" i="9"/>
  <c r="Z74" i="9"/>
  <c r="X74" i="9"/>
  <c r="L74" i="9"/>
  <c r="N74" i="9" s="1"/>
  <c r="B74" i="9"/>
  <c r="T73" i="9"/>
  <c r="R73" i="9"/>
  <c r="P73" i="9"/>
  <c r="X73" i="9" s="1"/>
  <c r="L73" i="9"/>
  <c r="N73" i="9" s="1"/>
  <c r="H73" i="9"/>
  <c r="D73" i="9"/>
  <c r="B73" i="9"/>
  <c r="X72" i="9"/>
  <c r="Z72" i="9" s="1"/>
  <c r="V72" i="9"/>
  <c r="N72" i="9"/>
  <c r="L72" i="9"/>
  <c r="B72" i="9"/>
  <c r="X71" i="9"/>
  <c r="Z71" i="9" s="1"/>
  <c r="L71" i="9"/>
  <c r="N71" i="9" s="1"/>
  <c r="B71" i="9"/>
  <c r="Z70" i="9"/>
  <c r="X70" i="9"/>
  <c r="N70" i="9"/>
  <c r="L70" i="9"/>
  <c r="B70" i="9"/>
  <c r="X69" i="9"/>
  <c r="Z69" i="9" s="1"/>
  <c r="L69" i="9"/>
  <c r="N69" i="9" s="1"/>
  <c r="F69" i="9"/>
  <c r="B69" i="9"/>
  <c r="T68" i="9"/>
  <c r="R68" i="9"/>
  <c r="P68" i="9"/>
  <c r="X68" i="9" s="1"/>
  <c r="N68" i="9"/>
  <c r="H68" i="9"/>
  <c r="D68" i="9"/>
  <c r="L68" i="9" s="1"/>
  <c r="B68" i="9"/>
  <c r="X67" i="9"/>
  <c r="Z67" i="9" s="1"/>
  <c r="L67" i="9"/>
  <c r="N67" i="9" s="1"/>
  <c r="B67" i="9"/>
  <c r="Z66" i="9"/>
  <c r="X66" i="9"/>
  <c r="L66" i="9"/>
  <c r="N66" i="9" s="1"/>
  <c r="B66" i="9"/>
  <c r="X65" i="9"/>
  <c r="Z65" i="9" s="1"/>
  <c r="L65" i="9"/>
  <c r="N65" i="9" s="1"/>
  <c r="F65" i="9"/>
  <c r="B65" i="9"/>
  <c r="Z64" i="9"/>
  <c r="X64" i="9"/>
  <c r="R64" i="9"/>
  <c r="L64" i="9"/>
  <c r="N64" i="9" s="1"/>
  <c r="J64" i="9"/>
  <c r="B64" i="9"/>
  <c r="V63" i="9"/>
  <c r="T63" i="9"/>
  <c r="R63" i="9"/>
  <c r="P63" i="9"/>
  <c r="X63" i="9" s="1"/>
  <c r="H63" i="9"/>
  <c r="D63" i="9"/>
  <c r="L63" i="9" s="1"/>
  <c r="B63" i="9"/>
  <c r="Z62" i="9"/>
  <c r="X62" i="9"/>
  <c r="L62" i="9"/>
  <c r="N62" i="9" s="1"/>
  <c r="B62" i="9"/>
  <c r="T61" i="9"/>
  <c r="Z61" i="9" s="1"/>
  <c r="R61" i="9"/>
  <c r="P61" i="9"/>
  <c r="X61" i="9" s="1"/>
  <c r="L61" i="9"/>
  <c r="N61" i="9" s="1"/>
  <c r="H61" i="9"/>
  <c r="D61" i="9"/>
  <c r="B61" i="9"/>
  <c r="X60" i="9"/>
  <c r="Z60" i="9" s="1"/>
  <c r="V60" i="9"/>
  <c r="N60" i="9"/>
  <c r="L60" i="9"/>
  <c r="B60" i="9"/>
  <c r="X59" i="9"/>
  <c r="Z59" i="9" s="1"/>
  <c r="T59" i="9"/>
  <c r="P59" i="9"/>
  <c r="H59" i="9"/>
  <c r="D59" i="9"/>
  <c r="B59" i="9"/>
  <c r="X58" i="9"/>
  <c r="Z58" i="9" s="1"/>
  <c r="V58" i="9"/>
  <c r="R58" i="9"/>
  <c r="N58" i="9"/>
  <c r="L58" i="9"/>
  <c r="B58" i="9"/>
  <c r="V57" i="9"/>
  <c r="T57" i="9"/>
  <c r="P57" i="9"/>
  <c r="H57" i="9"/>
  <c r="N57" i="9" s="1"/>
  <c r="D57" i="9"/>
  <c r="L57" i="9" s="1"/>
  <c r="B57" i="9"/>
  <c r="Z56" i="9"/>
  <c r="X56" i="9"/>
  <c r="R56" i="9"/>
  <c r="L56" i="9"/>
  <c r="N56" i="9" s="1"/>
  <c r="J56" i="9"/>
  <c r="B56" i="9"/>
  <c r="V55" i="9"/>
  <c r="T55" i="9"/>
  <c r="R55" i="9"/>
  <c r="P55" i="9"/>
  <c r="X55" i="9" s="1"/>
  <c r="H55" i="9"/>
  <c r="N55" i="9" s="1"/>
  <c r="D55" i="9"/>
  <c r="L55" i="9" s="1"/>
  <c r="B55" i="9"/>
  <c r="Z54" i="9"/>
  <c r="X54" i="9"/>
  <c r="L54" i="9"/>
  <c r="N54" i="9" s="1"/>
  <c r="B54" i="9"/>
  <c r="T53" i="9"/>
  <c r="R53" i="9"/>
  <c r="P53" i="9"/>
  <c r="X53" i="9" s="1"/>
  <c r="L53" i="9"/>
  <c r="N53" i="9" s="1"/>
  <c r="H53" i="9"/>
  <c r="D53" i="9"/>
  <c r="B53" i="9"/>
  <c r="X52" i="9"/>
  <c r="Z52" i="9" s="1"/>
  <c r="V52" i="9"/>
  <c r="N52" i="9"/>
  <c r="L52" i="9"/>
  <c r="B52" i="9"/>
  <c r="X51" i="9"/>
  <c r="Z51" i="9" s="1"/>
  <c r="T51" i="9"/>
  <c r="P51" i="9"/>
  <c r="H51" i="9"/>
  <c r="D51" i="9"/>
  <c r="B51" i="9"/>
  <c r="X50" i="9"/>
  <c r="Z50" i="9" s="1"/>
  <c r="V50" i="9"/>
  <c r="R50" i="9"/>
  <c r="N50" i="9"/>
  <c r="L50" i="9"/>
  <c r="B50" i="9"/>
  <c r="X49" i="9"/>
  <c r="Z49" i="9" s="1"/>
  <c r="V49" i="9"/>
  <c r="R49" i="9"/>
  <c r="L49" i="9"/>
  <c r="N49" i="9" s="1"/>
  <c r="B49" i="9"/>
  <c r="X48" i="9"/>
  <c r="Z48" i="9" s="1"/>
  <c r="V48" i="9"/>
  <c r="T48" i="9"/>
  <c r="P48" i="9"/>
  <c r="H48" i="9"/>
  <c r="F48" i="9"/>
  <c r="D48" i="9"/>
  <c r="B48" i="9"/>
  <c r="X47" i="9"/>
  <c r="Z47" i="9" s="1"/>
  <c r="V47" i="9"/>
  <c r="R47" i="9"/>
  <c r="L47" i="9"/>
  <c r="N47" i="9" s="1"/>
  <c r="B47" i="9"/>
  <c r="V46" i="9"/>
  <c r="T46" i="9"/>
  <c r="R46" i="9"/>
  <c r="P46" i="9"/>
  <c r="H46" i="9"/>
  <c r="N46" i="9" s="1"/>
  <c r="D46" i="9"/>
  <c r="L46" i="9" s="1"/>
  <c r="B46" i="9"/>
  <c r="X45" i="9"/>
  <c r="Z45" i="9" s="1"/>
  <c r="L45" i="9"/>
  <c r="N45" i="9" s="1"/>
  <c r="F45" i="9"/>
  <c r="B45" i="9"/>
  <c r="T44" i="9"/>
  <c r="Z44" i="9" s="1"/>
  <c r="R44" i="9"/>
  <c r="P44" i="9"/>
  <c r="X44" i="9" s="1"/>
  <c r="H44" i="9"/>
  <c r="D44" i="9"/>
  <c r="L44" i="9" s="1"/>
  <c r="N44" i="9" s="1"/>
  <c r="B44" i="9"/>
  <c r="X43" i="9"/>
  <c r="Z43" i="9" s="1"/>
  <c r="L43" i="9"/>
  <c r="N43" i="9" s="1"/>
  <c r="B43" i="9"/>
  <c r="T42" i="9"/>
  <c r="P42" i="9"/>
  <c r="X42" i="9" s="1"/>
  <c r="Z42" i="9" s="1"/>
  <c r="L42" i="9"/>
  <c r="N42" i="9" s="1"/>
  <c r="J42" i="9"/>
  <c r="H42" i="9"/>
  <c r="D42" i="9"/>
  <c r="B42" i="9"/>
  <c r="Z41" i="9"/>
  <c r="X41" i="9"/>
  <c r="V41" i="9"/>
  <c r="R41" i="9"/>
  <c r="N41" i="9"/>
  <c r="L41" i="9"/>
  <c r="B41" i="9"/>
  <c r="Z40" i="9"/>
  <c r="X40" i="9"/>
  <c r="V40" i="9"/>
  <c r="N40" i="9"/>
  <c r="L40" i="9"/>
  <c r="B40" i="9"/>
  <c r="X39" i="9"/>
  <c r="Z39" i="9" s="1"/>
  <c r="L39" i="9"/>
  <c r="N39" i="9" s="1"/>
  <c r="B39" i="9"/>
  <c r="Z38" i="9"/>
  <c r="X38" i="9"/>
  <c r="N38" i="9"/>
  <c r="L38" i="9"/>
  <c r="B38" i="9"/>
  <c r="Z37" i="9"/>
  <c r="X37" i="9"/>
  <c r="N37" i="9"/>
  <c r="L37" i="9"/>
  <c r="F37" i="9"/>
  <c r="B37" i="9"/>
  <c r="Z36" i="9"/>
  <c r="X36" i="9"/>
  <c r="R36" i="9"/>
  <c r="L36" i="9"/>
  <c r="N36" i="9" s="1"/>
  <c r="J36" i="9"/>
  <c r="B36" i="9"/>
  <c r="X35" i="9"/>
  <c r="Z35" i="9" s="1"/>
  <c r="V35" i="9"/>
  <c r="R35" i="9"/>
  <c r="L35" i="9"/>
  <c r="N35" i="9" s="1"/>
  <c r="B35" i="9"/>
  <c r="Z34" i="9"/>
  <c r="X34" i="9"/>
  <c r="V34" i="9"/>
  <c r="R34" i="9"/>
  <c r="N34" i="9"/>
  <c r="L34" i="9"/>
  <c r="B34" i="9"/>
  <c r="X33" i="9"/>
  <c r="Z33" i="9" s="1"/>
  <c r="V33" i="9"/>
  <c r="R33" i="9"/>
  <c r="L33" i="9"/>
  <c r="N33" i="9" s="1"/>
  <c r="B33" i="9"/>
  <c r="X32" i="9"/>
  <c r="Z32" i="9" s="1"/>
  <c r="V32" i="9"/>
  <c r="N32" i="9"/>
  <c r="L32" i="9"/>
  <c r="B32" i="9"/>
  <c r="X31" i="9"/>
  <c r="Z31" i="9" s="1"/>
  <c r="T31" i="9"/>
  <c r="P31" i="9"/>
  <c r="H31" i="9"/>
  <c r="D31" i="9"/>
  <c r="B31" i="9"/>
  <c r="X30" i="9"/>
  <c r="Z30" i="9" s="1"/>
  <c r="V30" i="9"/>
  <c r="R30" i="9"/>
  <c r="N30" i="9"/>
  <c r="L30" i="9"/>
  <c r="B30" i="9"/>
  <c r="X29" i="9"/>
  <c r="Z29" i="9" s="1"/>
  <c r="V29" i="9"/>
  <c r="R29" i="9"/>
  <c r="L29" i="9"/>
  <c r="N29" i="9" s="1"/>
  <c r="B29" i="9"/>
  <c r="X28" i="9"/>
  <c r="Z28" i="9" s="1"/>
  <c r="V28" i="9"/>
  <c r="N28" i="9"/>
  <c r="L28" i="9"/>
  <c r="B28" i="9"/>
  <c r="X27" i="9"/>
  <c r="Z27" i="9" s="1"/>
  <c r="R27" i="9"/>
  <c r="L27" i="9"/>
  <c r="N27" i="9" s="1"/>
  <c r="B27" i="9"/>
  <c r="Z26" i="9"/>
  <c r="X26" i="9"/>
  <c r="N26" i="9"/>
  <c r="L26" i="9"/>
  <c r="B26" i="9"/>
  <c r="X25" i="9"/>
  <c r="Z25" i="9" s="1"/>
  <c r="R25" i="9"/>
  <c r="L25" i="9"/>
  <c r="N25" i="9" s="1"/>
  <c r="F25" i="9"/>
  <c r="B25" i="9"/>
  <c r="Z24" i="9"/>
  <c r="X24" i="9"/>
  <c r="R24" i="9"/>
  <c r="L24" i="9"/>
  <c r="N24" i="9" s="1"/>
  <c r="J24" i="9"/>
  <c r="B24" i="9"/>
  <c r="X23" i="9"/>
  <c r="Z23" i="9" s="1"/>
  <c r="V23" i="9"/>
  <c r="R23" i="9"/>
  <c r="L23" i="9"/>
  <c r="N23" i="9" s="1"/>
  <c r="B23" i="9"/>
  <c r="X22" i="9"/>
  <c r="Z22" i="9" s="1"/>
  <c r="V22" i="9"/>
  <c r="R22" i="9"/>
  <c r="N22" i="9"/>
  <c r="L22" i="9"/>
  <c r="B22" i="9"/>
  <c r="X21" i="9"/>
  <c r="Z21" i="9" s="1"/>
  <c r="V21" i="9"/>
  <c r="R21" i="9"/>
  <c r="L21" i="9"/>
  <c r="N21" i="9" s="1"/>
  <c r="B21" i="9"/>
  <c r="X20" i="9"/>
  <c r="Z20" i="9" s="1"/>
  <c r="V20" i="9"/>
  <c r="N20" i="9"/>
  <c r="L20" i="9"/>
  <c r="B20" i="9"/>
  <c r="X19" i="9"/>
  <c r="Z19" i="9" s="1"/>
  <c r="T19" i="9"/>
  <c r="P19" i="9"/>
  <c r="H19" i="9"/>
  <c r="D19" i="9"/>
  <c r="B19" i="9"/>
  <c r="V18" i="9"/>
  <c r="T18" i="9"/>
  <c r="R18" i="9"/>
  <c r="P18" i="9"/>
  <c r="H18" i="9"/>
  <c r="D18" i="9"/>
  <c r="L18" i="9" s="1"/>
  <c r="R16" i="9"/>
  <c r="P16" i="9"/>
  <c r="J16" i="9"/>
  <c r="V14" i="9"/>
  <c r="T14" i="9"/>
  <c r="Z14" i="9" s="1"/>
  <c r="R14" i="9"/>
  <c r="P14" i="9"/>
  <c r="H14" i="9"/>
  <c r="N14" i="9" s="1"/>
  <c r="D14" i="9"/>
  <c r="L14" i="9" s="1"/>
  <c r="Z12" i="9"/>
  <c r="T12" i="9"/>
  <c r="V87" i="9" s="1"/>
  <c r="P12" i="9"/>
  <c r="R101" i="9" s="1"/>
  <c r="H12" i="9"/>
  <c r="J104" i="9" s="1"/>
  <c r="D12" i="9"/>
  <c r="F92" i="9" s="1"/>
  <c r="D4" i="9"/>
  <c r="B39" i="8"/>
  <c r="B38" i="8"/>
  <c r="T34" i="8"/>
  <c r="Z34" i="8" s="1"/>
  <c r="P34" i="8"/>
  <c r="H34" i="8"/>
  <c r="D34" i="8"/>
  <c r="T33" i="8"/>
  <c r="Z33" i="8" s="1"/>
  <c r="P33" i="8"/>
  <c r="H33" i="8"/>
  <c r="N33" i="8" s="1"/>
  <c r="D33" i="8"/>
  <c r="T29" i="8"/>
  <c r="Z29" i="8" s="1"/>
  <c r="P29" i="8"/>
  <c r="H29" i="8"/>
  <c r="N29" i="8" s="1"/>
  <c r="D29" i="8"/>
  <c r="T25" i="8"/>
  <c r="Z25" i="8" s="1"/>
  <c r="P25" i="8"/>
  <c r="H25" i="8"/>
  <c r="N25" i="8" s="1"/>
  <c r="D25" i="8"/>
  <c r="B25" i="8"/>
  <c r="T24" i="8"/>
  <c r="Z24" i="8" s="1"/>
  <c r="P24" i="8"/>
  <c r="H24" i="8"/>
  <c r="N24" i="8" s="1"/>
  <c r="D24" i="8"/>
  <c r="T22" i="8"/>
  <c r="Z22" i="8" s="1"/>
  <c r="P22" i="8"/>
  <c r="H22" i="8"/>
  <c r="N22" i="8" s="1"/>
  <c r="D22" i="8"/>
  <c r="B22" i="8"/>
  <c r="T21" i="8"/>
  <c r="Z21" i="8" s="1"/>
  <c r="P21" i="8"/>
  <c r="H21" i="8"/>
  <c r="D21" i="8"/>
  <c r="B21" i="8"/>
  <c r="T20" i="8"/>
  <c r="Z20" i="8" s="1"/>
  <c r="P20" i="8"/>
  <c r="X20" i="8" s="1"/>
  <c r="H20" i="8"/>
  <c r="N20" i="8" s="1"/>
  <c r="D20" i="8"/>
  <c r="T16" i="8"/>
  <c r="Z16" i="8" s="1"/>
  <c r="P16" i="8"/>
  <c r="H16" i="8"/>
  <c r="N16" i="8" s="1"/>
  <c r="D16" i="8"/>
  <c r="B16" i="8"/>
  <c r="T15" i="8"/>
  <c r="Z15" i="8" s="1"/>
  <c r="P15" i="8"/>
  <c r="H15" i="8"/>
  <c r="N15" i="8" s="1"/>
  <c r="D15" i="8"/>
  <c r="T13" i="8"/>
  <c r="Z13" i="8" s="1"/>
  <c r="P13" i="8"/>
  <c r="H13" i="8"/>
  <c r="N13" i="8" s="1"/>
  <c r="D13" i="8"/>
  <c r="B13" i="8"/>
  <c r="T12" i="8"/>
  <c r="V34" i="8" s="1"/>
  <c r="P12" i="8"/>
  <c r="R34" i="8" s="1"/>
  <c r="H12" i="8"/>
  <c r="J21" i="8" s="1"/>
  <c r="D12" i="8"/>
  <c r="F16" i="8" s="1"/>
  <c r="D5" i="8"/>
  <c r="D4" i="8"/>
  <c r="B39" i="7"/>
  <c r="B38" i="7"/>
  <c r="T34" i="7"/>
  <c r="Z34" i="7" s="1"/>
  <c r="P34" i="7"/>
  <c r="H34" i="7"/>
  <c r="N34" i="7" s="1"/>
  <c r="D34" i="7"/>
  <c r="T33" i="7"/>
  <c r="P33" i="7"/>
  <c r="H33" i="7"/>
  <c r="N33" i="7" s="1"/>
  <c r="D33" i="7"/>
  <c r="T29" i="7"/>
  <c r="P29" i="7"/>
  <c r="H29" i="7"/>
  <c r="N29" i="7" s="1"/>
  <c r="D29" i="7"/>
  <c r="T25" i="7"/>
  <c r="P25" i="7"/>
  <c r="H25" i="7"/>
  <c r="N25" i="7" s="1"/>
  <c r="D25" i="7"/>
  <c r="B25" i="7"/>
  <c r="T24" i="7"/>
  <c r="Z24" i="7" s="1"/>
  <c r="P24" i="7"/>
  <c r="H24" i="7"/>
  <c r="N24" i="7" s="1"/>
  <c r="D24" i="7"/>
  <c r="T22" i="7"/>
  <c r="P22" i="7"/>
  <c r="H22" i="7"/>
  <c r="N22" i="7" s="1"/>
  <c r="D22" i="7"/>
  <c r="B22" i="7"/>
  <c r="T21" i="7"/>
  <c r="Z21" i="7" s="1"/>
  <c r="P21" i="7"/>
  <c r="H21" i="7"/>
  <c r="N21" i="7" s="1"/>
  <c r="D21" i="7"/>
  <c r="B21" i="7"/>
  <c r="T20" i="7"/>
  <c r="Z20" i="7" s="1"/>
  <c r="P20" i="7"/>
  <c r="H20" i="7"/>
  <c r="D20" i="7"/>
  <c r="T16" i="7"/>
  <c r="Z16" i="7" s="1"/>
  <c r="P16" i="7"/>
  <c r="H16" i="7"/>
  <c r="N16" i="7" s="1"/>
  <c r="D16" i="7"/>
  <c r="B16" i="7"/>
  <c r="T15" i="7"/>
  <c r="P15" i="7"/>
  <c r="H15" i="7"/>
  <c r="N15" i="7" s="1"/>
  <c r="D15" i="7"/>
  <c r="T13" i="7"/>
  <c r="P13" i="7"/>
  <c r="H13" i="7"/>
  <c r="N13" i="7" s="1"/>
  <c r="D13" i="7"/>
  <c r="B13" i="7"/>
  <c r="T12" i="7"/>
  <c r="V20" i="7" s="1"/>
  <c r="P12" i="7"/>
  <c r="R22" i="7" s="1"/>
  <c r="H12" i="7"/>
  <c r="J20" i="7" s="1"/>
  <c r="D12" i="7"/>
  <c r="D5" i="7"/>
  <c r="D4" i="7"/>
  <c r="V31" i="6"/>
  <c r="R31" i="6"/>
  <c r="F31" i="6"/>
  <c r="X29" i="6"/>
  <c r="Z29" i="6" s="1"/>
  <c r="T29" i="6"/>
  <c r="P29" i="6"/>
  <c r="L29" i="6"/>
  <c r="J29" i="6"/>
  <c r="H29" i="6"/>
  <c r="N29" i="6" s="1"/>
  <c r="D29" i="6"/>
  <c r="V28" i="6"/>
  <c r="T28" i="6"/>
  <c r="R28" i="6"/>
  <c r="P28" i="6"/>
  <c r="X28" i="6" s="1"/>
  <c r="H28" i="6"/>
  <c r="N28" i="6" s="1"/>
  <c r="F28" i="6"/>
  <c r="D28" i="6"/>
  <c r="L28" i="6" s="1"/>
  <c r="Z24" i="6"/>
  <c r="X24" i="6"/>
  <c r="V24" i="6"/>
  <c r="R24" i="6"/>
  <c r="N24" i="6"/>
  <c r="L24" i="6"/>
  <c r="V22" i="6"/>
  <c r="R22" i="6"/>
  <c r="F22" i="6"/>
  <c r="Z20" i="6"/>
  <c r="X20" i="6"/>
  <c r="T20" i="6"/>
  <c r="P20" i="6"/>
  <c r="H20" i="6"/>
  <c r="N20" i="6" s="1"/>
  <c r="D20" i="6"/>
  <c r="V18" i="6"/>
  <c r="T18" i="6"/>
  <c r="Z18" i="6" s="1"/>
  <c r="R18" i="6"/>
  <c r="P18" i="6"/>
  <c r="X18" i="6" s="1"/>
  <c r="H18" i="6"/>
  <c r="N18" i="6" s="1"/>
  <c r="F18" i="6"/>
  <c r="D18" i="6"/>
  <c r="L18" i="6" s="1"/>
  <c r="J16" i="6"/>
  <c r="H16" i="6"/>
  <c r="V14" i="6"/>
  <c r="T14" i="6"/>
  <c r="R14" i="6"/>
  <c r="P14" i="6"/>
  <c r="H14" i="6"/>
  <c r="N14" i="6" s="1"/>
  <c r="F14" i="6"/>
  <c r="D14" i="6"/>
  <c r="L14" i="6" s="1"/>
  <c r="Z12" i="6"/>
  <c r="X12" i="6"/>
  <c r="T12" i="6"/>
  <c r="V29" i="6" s="1"/>
  <c r="P12" i="6"/>
  <c r="R29" i="6" s="1"/>
  <c r="H12" i="6"/>
  <c r="J26" i="6" s="1"/>
  <c r="D12" i="6"/>
  <c r="D4" i="6"/>
  <c r="B39" i="5"/>
  <c r="B38" i="5"/>
  <c r="T34" i="5"/>
  <c r="Z34" i="5" s="1"/>
  <c r="P34" i="5"/>
  <c r="H34" i="5"/>
  <c r="N34" i="5" s="1"/>
  <c r="D34" i="5"/>
  <c r="T33" i="5"/>
  <c r="Z33" i="5" s="1"/>
  <c r="P33" i="5"/>
  <c r="H33" i="5"/>
  <c r="N33" i="5" s="1"/>
  <c r="D33" i="5"/>
  <c r="T29" i="5"/>
  <c r="Z29" i="5" s="1"/>
  <c r="P29" i="5"/>
  <c r="H29" i="5"/>
  <c r="N29" i="5" s="1"/>
  <c r="D29" i="5"/>
  <c r="T25" i="5"/>
  <c r="Z25" i="5" s="1"/>
  <c r="P25" i="5"/>
  <c r="H25" i="5"/>
  <c r="N25" i="5" s="1"/>
  <c r="D25" i="5"/>
  <c r="B25" i="5"/>
  <c r="T24" i="5"/>
  <c r="Z24" i="5" s="1"/>
  <c r="P24" i="5"/>
  <c r="H24" i="5"/>
  <c r="N24" i="5" s="1"/>
  <c r="D24" i="5"/>
  <c r="T22" i="5"/>
  <c r="Z22" i="5" s="1"/>
  <c r="P22" i="5"/>
  <c r="X22" i="5" s="1"/>
  <c r="H22" i="5"/>
  <c r="N22" i="5" s="1"/>
  <c r="D22" i="5"/>
  <c r="B22" i="5"/>
  <c r="T21" i="5"/>
  <c r="Z21" i="5" s="1"/>
  <c r="P21" i="5"/>
  <c r="H21" i="5"/>
  <c r="N21" i="5" s="1"/>
  <c r="D21" i="5"/>
  <c r="B21" i="5"/>
  <c r="T20" i="5"/>
  <c r="Z20" i="5" s="1"/>
  <c r="P20" i="5"/>
  <c r="H20" i="5"/>
  <c r="N20" i="5" s="1"/>
  <c r="D20" i="5"/>
  <c r="T16" i="5"/>
  <c r="Z16" i="5" s="1"/>
  <c r="P16" i="5"/>
  <c r="H16" i="5"/>
  <c r="N16" i="5" s="1"/>
  <c r="D16" i="5"/>
  <c r="B16" i="5"/>
  <c r="T15" i="5"/>
  <c r="Z15" i="5" s="1"/>
  <c r="P15" i="5"/>
  <c r="H15" i="5"/>
  <c r="N15" i="5" s="1"/>
  <c r="D15" i="5"/>
  <c r="T13" i="5"/>
  <c r="Z13" i="5" s="1"/>
  <c r="P13" i="5"/>
  <c r="H13" i="5"/>
  <c r="N13" i="5" s="1"/>
  <c r="D13" i="5"/>
  <c r="B13" i="5"/>
  <c r="T12" i="5"/>
  <c r="V24" i="5" s="1"/>
  <c r="P12" i="5"/>
  <c r="R20" i="5" s="1"/>
  <c r="H12" i="5"/>
  <c r="J16" i="5" s="1"/>
  <c r="D12" i="5"/>
  <c r="F34" i="5" s="1"/>
  <c r="D5" i="5"/>
  <c r="D4" i="5"/>
  <c r="B39" i="4"/>
  <c r="B38" i="4"/>
  <c r="T34" i="4"/>
  <c r="Z34" i="4" s="1"/>
  <c r="P34" i="4"/>
  <c r="H34" i="4"/>
  <c r="N34" i="4" s="1"/>
  <c r="D34" i="4"/>
  <c r="T33" i="4"/>
  <c r="Z33" i="4" s="1"/>
  <c r="P33" i="4"/>
  <c r="H33" i="4"/>
  <c r="N33" i="4" s="1"/>
  <c r="D33" i="4"/>
  <c r="T29" i="4"/>
  <c r="Z29" i="4" s="1"/>
  <c r="P29" i="4"/>
  <c r="H29" i="4"/>
  <c r="N29" i="4" s="1"/>
  <c r="D29" i="4"/>
  <c r="T25" i="4"/>
  <c r="Z25" i="4" s="1"/>
  <c r="P25" i="4"/>
  <c r="H25" i="4"/>
  <c r="N25" i="4" s="1"/>
  <c r="D25" i="4"/>
  <c r="B25" i="4"/>
  <c r="T24" i="4"/>
  <c r="Z24" i="4" s="1"/>
  <c r="P24" i="4"/>
  <c r="H24" i="4"/>
  <c r="N24" i="4" s="1"/>
  <c r="D24" i="4"/>
  <c r="T22" i="4"/>
  <c r="Z22" i="4" s="1"/>
  <c r="P22" i="4"/>
  <c r="H22" i="4"/>
  <c r="N22" i="4" s="1"/>
  <c r="D22" i="4"/>
  <c r="B22" i="4"/>
  <c r="T21" i="4"/>
  <c r="Z21" i="4" s="1"/>
  <c r="P21" i="4"/>
  <c r="H21" i="4"/>
  <c r="N21" i="4" s="1"/>
  <c r="D21" i="4"/>
  <c r="B21" i="4"/>
  <c r="T20" i="4"/>
  <c r="Z20" i="4" s="1"/>
  <c r="P20" i="4"/>
  <c r="H20" i="4"/>
  <c r="N20" i="4" s="1"/>
  <c r="D20" i="4"/>
  <c r="T16" i="4"/>
  <c r="P16" i="4"/>
  <c r="H16" i="4"/>
  <c r="N16" i="4" s="1"/>
  <c r="D16" i="4"/>
  <c r="B16" i="4"/>
  <c r="T15" i="4"/>
  <c r="Z15" i="4" s="1"/>
  <c r="P15" i="4"/>
  <c r="H15" i="4"/>
  <c r="N15" i="4" s="1"/>
  <c r="D15" i="4"/>
  <c r="T13" i="4"/>
  <c r="Z13" i="4" s="1"/>
  <c r="P13" i="4"/>
  <c r="X13" i="4" s="1"/>
  <c r="H13" i="4"/>
  <c r="N13" i="4" s="1"/>
  <c r="D13" i="4"/>
  <c r="B13" i="4"/>
  <c r="T12" i="4"/>
  <c r="V34" i="4" s="1"/>
  <c r="P12" i="4"/>
  <c r="R20" i="4" s="1"/>
  <c r="H12" i="4"/>
  <c r="J27" i="4" s="1"/>
  <c r="D12" i="4"/>
  <c r="D5" i="4"/>
  <c r="D4" i="4"/>
  <c r="X183" i="3"/>
  <c r="Z183" i="3" s="1"/>
  <c r="T183" i="3"/>
  <c r="P183" i="3"/>
  <c r="L183" i="3"/>
  <c r="H183" i="3"/>
  <c r="D183" i="3"/>
  <c r="T182" i="3"/>
  <c r="P182" i="3"/>
  <c r="X182" i="3" s="1"/>
  <c r="N182" i="3"/>
  <c r="H182" i="3"/>
  <c r="D182" i="3"/>
  <c r="L182" i="3" s="1"/>
  <c r="X178" i="3"/>
  <c r="Z178" i="3" s="1"/>
  <c r="N178" i="3"/>
  <c r="L178" i="3"/>
  <c r="Z174" i="3"/>
  <c r="P174" i="3"/>
  <c r="X174" i="3" s="1"/>
  <c r="N174" i="3"/>
  <c r="L174" i="3"/>
  <c r="D174" i="3"/>
  <c r="B174" i="3"/>
  <c r="Z173" i="3"/>
  <c r="P173" i="3"/>
  <c r="X173" i="3" s="1"/>
  <c r="N173" i="3"/>
  <c r="J173" i="3"/>
  <c r="D173" i="3"/>
  <c r="L173" i="3" s="1"/>
  <c r="B173" i="3"/>
  <c r="P172" i="3"/>
  <c r="X172" i="3" s="1"/>
  <c r="Z172" i="3" s="1"/>
  <c r="D172" i="3"/>
  <c r="L172" i="3" s="1"/>
  <c r="N172" i="3" s="1"/>
  <c r="B172" i="3"/>
  <c r="Z171" i="3"/>
  <c r="X171" i="3"/>
  <c r="P171" i="3"/>
  <c r="N171" i="3"/>
  <c r="D171" i="3"/>
  <c r="L171" i="3" s="1"/>
  <c r="B171" i="3"/>
  <c r="P170" i="3"/>
  <c r="X170" i="3" s="1"/>
  <c r="Z170" i="3" s="1"/>
  <c r="L170" i="3"/>
  <c r="N170" i="3" s="1"/>
  <c r="D170" i="3"/>
  <c r="B170" i="3"/>
  <c r="Z169" i="3"/>
  <c r="X169" i="3"/>
  <c r="P169" i="3"/>
  <c r="D169" i="3"/>
  <c r="L169" i="3" s="1"/>
  <c r="N169" i="3" s="1"/>
  <c r="B169" i="3"/>
  <c r="Z168" i="3"/>
  <c r="P168" i="3"/>
  <c r="X168" i="3" s="1"/>
  <c r="N168" i="3"/>
  <c r="L168" i="3"/>
  <c r="D168" i="3"/>
  <c r="B168" i="3"/>
  <c r="Z167" i="3"/>
  <c r="X167" i="3"/>
  <c r="P167" i="3"/>
  <c r="P166" i="3" s="1"/>
  <c r="X166" i="3" s="1"/>
  <c r="Z166" i="3" s="1"/>
  <c r="N167" i="3"/>
  <c r="D167" i="3"/>
  <c r="L167" i="3" s="1"/>
  <c r="B167" i="3"/>
  <c r="T166" i="3"/>
  <c r="H166" i="3"/>
  <c r="Z164" i="3"/>
  <c r="X164" i="3"/>
  <c r="N164" i="3"/>
  <c r="L164" i="3"/>
  <c r="J164" i="3"/>
  <c r="B164" i="3"/>
  <c r="T163" i="3"/>
  <c r="P163" i="3"/>
  <c r="X163" i="3" s="1"/>
  <c r="H163" i="3"/>
  <c r="N163" i="3" s="1"/>
  <c r="D163" i="3"/>
  <c r="L163" i="3" s="1"/>
  <c r="B163" i="3"/>
  <c r="Z162" i="3"/>
  <c r="X162" i="3"/>
  <c r="L162" i="3"/>
  <c r="N162" i="3" s="1"/>
  <c r="B162" i="3"/>
  <c r="X161" i="3"/>
  <c r="Z161" i="3" s="1"/>
  <c r="N161" i="3"/>
  <c r="L161" i="3"/>
  <c r="B161" i="3"/>
  <c r="Z160" i="3"/>
  <c r="X160" i="3"/>
  <c r="N160" i="3"/>
  <c r="L160" i="3"/>
  <c r="J160" i="3"/>
  <c r="B160" i="3"/>
  <c r="T159" i="3"/>
  <c r="P159" i="3"/>
  <c r="X159" i="3" s="1"/>
  <c r="H159" i="3"/>
  <c r="N159" i="3" s="1"/>
  <c r="D159" i="3"/>
  <c r="L159" i="3" s="1"/>
  <c r="B159" i="3"/>
  <c r="Z158" i="3"/>
  <c r="X158" i="3"/>
  <c r="L158" i="3"/>
  <c r="N158" i="3" s="1"/>
  <c r="B158" i="3"/>
  <c r="T157" i="3"/>
  <c r="Z157" i="3" s="1"/>
  <c r="P157" i="3"/>
  <c r="X157" i="3" s="1"/>
  <c r="L157" i="3"/>
  <c r="H157" i="3"/>
  <c r="N157" i="3" s="1"/>
  <c r="D157" i="3"/>
  <c r="B157" i="3"/>
  <c r="Z156" i="3"/>
  <c r="X156" i="3"/>
  <c r="N156" i="3"/>
  <c r="L156" i="3"/>
  <c r="B156" i="3"/>
  <c r="X155" i="3"/>
  <c r="Z155" i="3" s="1"/>
  <c r="L155" i="3"/>
  <c r="N155" i="3" s="1"/>
  <c r="B155" i="3"/>
  <c r="T154" i="3"/>
  <c r="P154" i="3"/>
  <c r="X154" i="3" s="1"/>
  <c r="Z154" i="3" s="1"/>
  <c r="N154" i="3"/>
  <c r="L154" i="3"/>
  <c r="J154" i="3"/>
  <c r="H154" i="3"/>
  <c r="D154" i="3"/>
  <c r="B154" i="3"/>
  <c r="Z153" i="3"/>
  <c r="X153" i="3"/>
  <c r="L153" i="3"/>
  <c r="N153" i="3" s="1"/>
  <c r="B153" i="3"/>
  <c r="Z152" i="3"/>
  <c r="X152" i="3"/>
  <c r="N152" i="3"/>
  <c r="L152" i="3"/>
  <c r="B152" i="3"/>
  <c r="X151" i="3"/>
  <c r="Z151" i="3" s="1"/>
  <c r="L151" i="3"/>
  <c r="N151" i="3" s="1"/>
  <c r="B151" i="3"/>
  <c r="Z150" i="3"/>
  <c r="X150" i="3"/>
  <c r="L150" i="3"/>
  <c r="N150" i="3" s="1"/>
  <c r="B150" i="3"/>
  <c r="X149" i="3"/>
  <c r="Z149" i="3" s="1"/>
  <c r="N149" i="3"/>
  <c r="L149" i="3"/>
  <c r="B149" i="3"/>
  <c r="Z148" i="3"/>
  <c r="X148" i="3"/>
  <c r="N148" i="3"/>
  <c r="L148" i="3"/>
  <c r="J148" i="3"/>
  <c r="B148" i="3"/>
  <c r="X147" i="3"/>
  <c r="Z147" i="3" s="1"/>
  <c r="L147" i="3"/>
  <c r="N147" i="3" s="1"/>
  <c r="B147" i="3"/>
  <c r="X146" i="3"/>
  <c r="Z146" i="3" s="1"/>
  <c r="N146" i="3"/>
  <c r="L146" i="3"/>
  <c r="B146" i="3"/>
  <c r="Z145" i="3"/>
  <c r="X145" i="3"/>
  <c r="L145" i="3"/>
  <c r="N145" i="3" s="1"/>
  <c r="B145" i="3"/>
  <c r="Z144" i="3"/>
  <c r="X144" i="3"/>
  <c r="N144" i="3"/>
  <c r="L144" i="3"/>
  <c r="B144" i="3"/>
  <c r="X143" i="3"/>
  <c r="T143" i="3"/>
  <c r="Z143" i="3" s="1"/>
  <c r="P143" i="3"/>
  <c r="H143" i="3"/>
  <c r="D143" i="3"/>
  <c r="B143" i="3"/>
  <c r="X142" i="3"/>
  <c r="Z142" i="3" s="1"/>
  <c r="N142" i="3"/>
  <c r="L142" i="3"/>
  <c r="B142" i="3"/>
  <c r="Z141" i="3"/>
  <c r="X141" i="3"/>
  <c r="L141" i="3"/>
  <c r="N141" i="3" s="1"/>
  <c r="B141" i="3"/>
  <c r="Z140" i="3"/>
  <c r="X140" i="3"/>
  <c r="T140" i="3"/>
  <c r="P140" i="3"/>
  <c r="L140" i="3"/>
  <c r="N140" i="3" s="1"/>
  <c r="H140" i="3"/>
  <c r="D140" i="3"/>
  <c r="B140" i="3"/>
  <c r="X139" i="3"/>
  <c r="Z139" i="3" s="1"/>
  <c r="L139" i="3"/>
  <c r="N139" i="3" s="1"/>
  <c r="B139" i="3"/>
  <c r="X138" i="3"/>
  <c r="Z138" i="3" s="1"/>
  <c r="N138" i="3"/>
  <c r="L138" i="3"/>
  <c r="B138" i="3"/>
  <c r="Z137" i="3"/>
  <c r="X137" i="3"/>
  <c r="L137" i="3"/>
  <c r="N137" i="3" s="1"/>
  <c r="B137" i="3"/>
  <c r="Z136" i="3"/>
  <c r="X136" i="3"/>
  <c r="N136" i="3"/>
  <c r="L136" i="3"/>
  <c r="B136" i="3"/>
  <c r="X135" i="3"/>
  <c r="Z135" i="3" s="1"/>
  <c r="L135" i="3"/>
  <c r="N135" i="3" s="1"/>
  <c r="B135" i="3"/>
  <c r="T134" i="3"/>
  <c r="P134" i="3"/>
  <c r="X134" i="3" s="1"/>
  <c r="Z134" i="3" s="1"/>
  <c r="N134" i="3"/>
  <c r="L134" i="3"/>
  <c r="J134" i="3"/>
  <c r="H134" i="3"/>
  <c r="D134" i="3"/>
  <c r="B134" i="3"/>
  <c r="Z133" i="3"/>
  <c r="X133" i="3"/>
  <c r="L133" i="3"/>
  <c r="N133" i="3" s="1"/>
  <c r="B133" i="3"/>
  <c r="Z132" i="3"/>
  <c r="X132" i="3"/>
  <c r="N132" i="3"/>
  <c r="L132" i="3"/>
  <c r="B132" i="3"/>
  <c r="X131" i="3"/>
  <c r="Z131" i="3" s="1"/>
  <c r="L131" i="3"/>
  <c r="N131" i="3" s="1"/>
  <c r="B131" i="3"/>
  <c r="Z130" i="3"/>
  <c r="X130" i="3"/>
  <c r="L130" i="3"/>
  <c r="N130" i="3" s="1"/>
  <c r="B130" i="3"/>
  <c r="T129" i="3"/>
  <c r="Z129" i="3" s="1"/>
  <c r="P129" i="3"/>
  <c r="X129" i="3" s="1"/>
  <c r="L129" i="3"/>
  <c r="N129" i="3" s="1"/>
  <c r="H129" i="3"/>
  <c r="D129" i="3"/>
  <c r="B129" i="3"/>
  <c r="Z128" i="3"/>
  <c r="X128" i="3"/>
  <c r="N128" i="3"/>
  <c r="L128" i="3"/>
  <c r="B128" i="3"/>
  <c r="X127" i="3"/>
  <c r="Z127" i="3" s="1"/>
  <c r="L127" i="3"/>
  <c r="N127" i="3" s="1"/>
  <c r="B127" i="3"/>
  <c r="Z126" i="3"/>
  <c r="X126" i="3"/>
  <c r="L126" i="3"/>
  <c r="N126" i="3" s="1"/>
  <c r="B126" i="3"/>
  <c r="X125" i="3"/>
  <c r="Z125" i="3" s="1"/>
  <c r="N125" i="3"/>
  <c r="L125" i="3"/>
  <c r="B125" i="3"/>
  <c r="T124" i="3"/>
  <c r="P124" i="3"/>
  <c r="X124" i="3" s="1"/>
  <c r="H124" i="3"/>
  <c r="D124" i="3"/>
  <c r="L124" i="3" s="1"/>
  <c r="N124" i="3" s="1"/>
  <c r="B124" i="3"/>
  <c r="X123" i="3"/>
  <c r="Z123" i="3" s="1"/>
  <c r="L123" i="3"/>
  <c r="N123" i="3" s="1"/>
  <c r="B123" i="3"/>
  <c r="T122" i="3"/>
  <c r="P122" i="3"/>
  <c r="X122" i="3" s="1"/>
  <c r="Z122" i="3" s="1"/>
  <c r="L122" i="3"/>
  <c r="N122" i="3" s="1"/>
  <c r="J122" i="3"/>
  <c r="H122" i="3"/>
  <c r="D122" i="3"/>
  <c r="B122" i="3"/>
  <c r="Z121" i="3"/>
  <c r="X121" i="3"/>
  <c r="L121" i="3"/>
  <c r="N121" i="3" s="1"/>
  <c r="B121" i="3"/>
  <c r="X120" i="3"/>
  <c r="Z120" i="3" s="1"/>
  <c r="T120" i="3"/>
  <c r="P120" i="3"/>
  <c r="L120" i="3"/>
  <c r="N120" i="3" s="1"/>
  <c r="H120" i="3"/>
  <c r="D120" i="3"/>
  <c r="B120" i="3"/>
  <c r="X119" i="3"/>
  <c r="Z119" i="3" s="1"/>
  <c r="L119" i="3"/>
  <c r="N119" i="3" s="1"/>
  <c r="B119" i="3"/>
  <c r="X118" i="3"/>
  <c r="T118" i="3"/>
  <c r="Z118" i="3" s="1"/>
  <c r="P118" i="3"/>
  <c r="H118" i="3"/>
  <c r="D118" i="3"/>
  <c r="L118" i="3" s="1"/>
  <c r="B118" i="3"/>
  <c r="X117" i="3"/>
  <c r="Z117" i="3" s="1"/>
  <c r="N117" i="3"/>
  <c r="L117" i="3"/>
  <c r="B117" i="3"/>
  <c r="T116" i="3"/>
  <c r="Z116" i="3" s="1"/>
  <c r="P116" i="3"/>
  <c r="X116" i="3" s="1"/>
  <c r="H116" i="3"/>
  <c r="D116" i="3"/>
  <c r="L116" i="3" s="1"/>
  <c r="N116" i="3" s="1"/>
  <c r="B116" i="3"/>
  <c r="X115" i="3"/>
  <c r="Z115" i="3" s="1"/>
  <c r="L115" i="3"/>
  <c r="N115" i="3" s="1"/>
  <c r="B115" i="3"/>
  <c r="T114" i="3"/>
  <c r="P114" i="3"/>
  <c r="X114" i="3" s="1"/>
  <c r="Z114" i="3" s="1"/>
  <c r="L114" i="3"/>
  <c r="N114" i="3" s="1"/>
  <c r="J114" i="3"/>
  <c r="H114" i="3"/>
  <c r="D114" i="3"/>
  <c r="B114" i="3"/>
  <c r="Z113" i="3"/>
  <c r="X113" i="3"/>
  <c r="L113" i="3"/>
  <c r="N113" i="3" s="1"/>
  <c r="B113" i="3"/>
  <c r="X112" i="3"/>
  <c r="Z112" i="3" s="1"/>
  <c r="T112" i="3"/>
  <c r="P112" i="3"/>
  <c r="L112" i="3"/>
  <c r="H112" i="3"/>
  <c r="N112" i="3" s="1"/>
  <c r="D112" i="3"/>
  <c r="B112" i="3"/>
  <c r="X111" i="3"/>
  <c r="Z111" i="3" s="1"/>
  <c r="L111" i="3"/>
  <c r="N111" i="3" s="1"/>
  <c r="B111" i="3"/>
  <c r="X110" i="3"/>
  <c r="Z110" i="3" s="1"/>
  <c r="N110" i="3"/>
  <c r="L110" i="3"/>
  <c r="B110" i="3"/>
  <c r="Z109" i="3"/>
  <c r="X109" i="3"/>
  <c r="L109" i="3"/>
  <c r="N109" i="3" s="1"/>
  <c r="B109" i="3"/>
  <c r="X108" i="3"/>
  <c r="Z108" i="3" s="1"/>
  <c r="T108" i="3"/>
  <c r="P108" i="3"/>
  <c r="L108" i="3"/>
  <c r="H108" i="3"/>
  <c r="N108" i="3" s="1"/>
  <c r="D108" i="3"/>
  <c r="B108" i="3"/>
  <c r="X107" i="3"/>
  <c r="Z107" i="3" s="1"/>
  <c r="L107" i="3"/>
  <c r="N107" i="3" s="1"/>
  <c r="B107" i="3"/>
  <c r="X106" i="3"/>
  <c r="Z106" i="3" s="1"/>
  <c r="N106" i="3"/>
  <c r="L106" i="3"/>
  <c r="B106" i="3"/>
  <c r="T105" i="3"/>
  <c r="P105" i="3"/>
  <c r="H105" i="3"/>
  <c r="D105" i="3"/>
  <c r="L105" i="3" s="1"/>
  <c r="B105" i="3"/>
  <c r="Z104" i="3"/>
  <c r="X104" i="3"/>
  <c r="L104" i="3"/>
  <c r="N104" i="3" s="1"/>
  <c r="J104" i="3"/>
  <c r="B104" i="3"/>
  <c r="T103" i="3"/>
  <c r="P103" i="3"/>
  <c r="X103" i="3" s="1"/>
  <c r="H103" i="3"/>
  <c r="D103" i="3"/>
  <c r="L103" i="3" s="1"/>
  <c r="B103" i="3"/>
  <c r="Z102" i="3"/>
  <c r="X102" i="3"/>
  <c r="L102" i="3"/>
  <c r="N102" i="3" s="1"/>
  <c r="B102" i="3"/>
  <c r="T101" i="3"/>
  <c r="P101" i="3"/>
  <c r="X101" i="3" s="1"/>
  <c r="L101" i="3"/>
  <c r="N101" i="3" s="1"/>
  <c r="H101" i="3"/>
  <c r="D101" i="3"/>
  <c r="B101" i="3"/>
  <c r="X100" i="3"/>
  <c r="Z100" i="3" s="1"/>
  <c r="N100" i="3"/>
  <c r="L100" i="3"/>
  <c r="B100" i="3"/>
  <c r="X99" i="3"/>
  <c r="Z99" i="3" s="1"/>
  <c r="T99" i="3"/>
  <c r="P99" i="3"/>
  <c r="H99" i="3"/>
  <c r="D99" i="3"/>
  <c r="B99" i="3"/>
  <c r="Z98" i="3"/>
  <c r="X98" i="3"/>
  <c r="N98" i="3"/>
  <c r="L98" i="3"/>
  <c r="B98" i="3"/>
  <c r="Z97" i="3"/>
  <c r="X97" i="3"/>
  <c r="N97" i="3"/>
  <c r="L97" i="3"/>
  <c r="B97" i="3"/>
  <c r="Z96" i="3"/>
  <c r="X96" i="3"/>
  <c r="T96" i="3"/>
  <c r="P96" i="3"/>
  <c r="N96" i="3"/>
  <c r="L96" i="3"/>
  <c r="H96" i="3"/>
  <c r="D96" i="3"/>
  <c r="B96" i="3"/>
  <c r="X95" i="3"/>
  <c r="Z95" i="3" s="1"/>
  <c r="L95" i="3"/>
  <c r="N95" i="3" s="1"/>
  <c r="B95" i="3"/>
  <c r="Z94" i="3"/>
  <c r="X94" i="3"/>
  <c r="N94" i="3"/>
  <c r="L94" i="3"/>
  <c r="B94" i="3"/>
  <c r="T93" i="3"/>
  <c r="P93" i="3"/>
  <c r="X93" i="3" s="1"/>
  <c r="H93" i="3"/>
  <c r="N93" i="3" s="1"/>
  <c r="D93" i="3"/>
  <c r="L93" i="3" s="1"/>
  <c r="B93" i="3"/>
  <c r="Z92" i="3"/>
  <c r="X92" i="3"/>
  <c r="L92" i="3"/>
  <c r="N92" i="3" s="1"/>
  <c r="J92" i="3"/>
  <c r="B92" i="3"/>
  <c r="T91" i="3"/>
  <c r="Z91" i="3" s="1"/>
  <c r="P91" i="3"/>
  <c r="X91" i="3" s="1"/>
  <c r="H91" i="3"/>
  <c r="D91" i="3"/>
  <c r="L91" i="3" s="1"/>
  <c r="B91" i="3"/>
  <c r="Z90" i="3"/>
  <c r="X90" i="3"/>
  <c r="L90" i="3"/>
  <c r="N90" i="3" s="1"/>
  <c r="B90" i="3"/>
  <c r="T89" i="3"/>
  <c r="Z89" i="3" s="1"/>
  <c r="P89" i="3"/>
  <c r="X89" i="3" s="1"/>
  <c r="L89" i="3"/>
  <c r="N89" i="3" s="1"/>
  <c r="H89" i="3"/>
  <c r="D89" i="3"/>
  <c r="B89" i="3"/>
  <c r="X88" i="3"/>
  <c r="Z88" i="3" s="1"/>
  <c r="N88" i="3"/>
  <c r="L88" i="3"/>
  <c r="B88" i="3"/>
  <c r="X87" i="3"/>
  <c r="Z87" i="3" s="1"/>
  <c r="T87" i="3"/>
  <c r="P87" i="3"/>
  <c r="H87" i="3"/>
  <c r="D87" i="3"/>
  <c r="B87" i="3"/>
  <c r="Z86" i="3"/>
  <c r="X86" i="3"/>
  <c r="N86" i="3"/>
  <c r="L86" i="3"/>
  <c r="B86" i="3"/>
  <c r="Z85" i="3"/>
  <c r="X85" i="3"/>
  <c r="N85" i="3"/>
  <c r="L85" i="3"/>
  <c r="B85" i="3"/>
  <c r="Z84" i="3"/>
  <c r="X84" i="3"/>
  <c r="N84" i="3"/>
  <c r="L84" i="3"/>
  <c r="B84" i="3"/>
  <c r="X83" i="3"/>
  <c r="Z83" i="3" s="1"/>
  <c r="L83" i="3"/>
  <c r="N83" i="3" s="1"/>
  <c r="B83" i="3"/>
  <c r="Z82" i="3"/>
  <c r="X82" i="3"/>
  <c r="N82" i="3"/>
  <c r="L82" i="3"/>
  <c r="B82" i="3"/>
  <c r="X81" i="3"/>
  <c r="Z81" i="3" s="1"/>
  <c r="N81" i="3"/>
  <c r="L81" i="3"/>
  <c r="B81" i="3"/>
  <c r="Z80" i="3"/>
  <c r="X80" i="3"/>
  <c r="L80" i="3"/>
  <c r="N80" i="3" s="1"/>
  <c r="J80" i="3"/>
  <c r="B80" i="3"/>
  <c r="Z79" i="3"/>
  <c r="X79" i="3"/>
  <c r="N79" i="3"/>
  <c r="L79" i="3"/>
  <c r="B79" i="3"/>
  <c r="X78" i="3"/>
  <c r="Z78" i="3" s="1"/>
  <c r="N78" i="3"/>
  <c r="L78" i="3"/>
  <c r="B78" i="3"/>
  <c r="Z77" i="3"/>
  <c r="X77" i="3"/>
  <c r="L77" i="3"/>
  <c r="N77" i="3" s="1"/>
  <c r="B77" i="3"/>
  <c r="X76" i="3"/>
  <c r="Z76" i="3" s="1"/>
  <c r="T76" i="3"/>
  <c r="P76" i="3"/>
  <c r="L76" i="3"/>
  <c r="N76" i="3" s="1"/>
  <c r="H76" i="3"/>
  <c r="D76" i="3"/>
  <c r="B76" i="3"/>
  <c r="X75" i="3"/>
  <c r="Z75" i="3" s="1"/>
  <c r="L75" i="3"/>
  <c r="N75" i="3" s="1"/>
  <c r="B75" i="3"/>
  <c r="X74" i="3"/>
  <c r="Z74" i="3" s="1"/>
  <c r="N74" i="3"/>
  <c r="L74" i="3"/>
  <c r="B74" i="3"/>
  <c r="Z73" i="3"/>
  <c r="X73" i="3"/>
  <c r="L73" i="3"/>
  <c r="N73" i="3" s="1"/>
  <c r="B73" i="3"/>
  <c r="Z72" i="3"/>
  <c r="X72" i="3"/>
  <c r="N72" i="3"/>
  <c r="L72" i="3"/>
  <c r="B72" i="3"/>
  <c r="Z71" i="3"/>
  <c r="X71" i="3"/>
  <c r="N71" i="3"/>
  <c r="L71" i="3"/>
  <c r="B71" i="3"/>
  <c r="Z70" i="3"/>
  <c r="X70" i="3"/>
  <c r="L70" i="3"/>
  <c r="N70" i="3" s="1"/>
  <c r="B70" i="3"/>
  <c r="X69" i="3"/>
  <c r="Z69" i="3" s="1"/>
  <c r="N69" i="3"/>
  <c r="L69" i="3"/>
  <c r="B69" i="3"/>
  <c r="Z68" i="3"/>
  <c r="X68" i="3"/>
  <c r="L68" i="3"/>
  <c r="N68" i="3" s="1"/>
  <c r="J68" i="3"/>
  <c r="B68" i="3"/>
  <c r="X67" i="3"/>
  <c r="Z67" i="3" s="1"/>
  <c r="L67" i="3"/>
  <c r="N67" i="3" s="1"/>
  <c r="B67" i="3"/>
  <c r="X66" i="3"/>
  <c r="Z66" i="3" s="1"/>
  <c r="N66" i="3"/>
  <c r="L66" i="3"/>
  <c r="B66" i="3"/>
  <c r="T65" i="3"/>
  <c r="P65" i="3"/>
  <c r="X65" i="3" s="1"/>
  <c r="H65" i="3"/>
  <c r="N65" i="3" s="1"/>
  <c r="D65" i="3"/>
  <c r="L65" i="3" s="1"/>
  <c r="B65" i="3"/>
  <c r="T64" i="3"/>
  <c r="P64" i="3"/>
  <c r="X64" i="3" s="1"/>
  <c r="H64" i="3"/>
  <c r="D64" i="3"/>
  <c r="L64" i="3" s="1"/>
  <c r="N64" i="3" s="1"/>
  <c r="Z60" i="3"/>
  <c r="X60" i="3"/>
  <c r="N60" i="3"/>
  <c r="L60" i="3"/>
  <c r="J60" i="3"/>
  <c r="B60" i="3"/>
  <c r="Z59" i="3"/>
  <c r="X59" i="3"/>
  <c r="N59" i="3"/>
  <c r="L59" i="3"/>
  <c r="B59" i="3"/>
  <c r="Z58" i="3"/>
  <c r="X58" i="3"/>
  <c r="N58" i="3"/>
  <c r="L58" i="3"/>
  <c r="B58" i="3"/>
  <c r="Z57" i="3"/>
  <c r="X57" i="3"/>
  <c r="N57" i="3"/>
  <c r="L57" i="3"/>
  <c r="B57" i="3"/>
  <c r="Z56" i="3"/>
  <c r="X56" i="3"/>
  <c r="N56" i="3"/>
  <c r="L56" i="3"/>
  <c r="B56" i="3"/>
  <c r="Z55" i="3"/>
  <c r="X55" i="3"/>
  <c r="N55" i="3"/>
  <c r="L55" i="3"/>
  <c r="J55" i="3"/>
  <c r="B55" i="3"/>
  <c r="Z54" i="3"/>
  <c r="X54" i="3"/>
  <c r="N54" i="3"/>
  <c r="L54" i="3"/>
  <c r="B54" i="3"/>
  <c r="Z53" i="3"/>
  <c r="X53" i="3"/>
  <c r="N53" i="3"/>
  <c r="L53" i="3"/>
  <c r="B53" i="3"/>
  <c r="Z52" i="3"/>
  <c r="X52" i="3"/>
  <c r="N52" i="3"/>
  <c r="L52" i="3"/>
  <c r="J52" i="3"/>
  <c r="B52" i="3"/>
  <c r="Z51" i="3"/>
  <c r="X51" i="3"/>
  <c r="N51" i="3"/>
  <c r="L51" i="3"/>
  <c r="B51" i="3"/>
  <c r="Z50" i="3"/>
  <c r="X50" i="3"/>
  <c r="N50" i="3"/>
  <c r="L50" i="3"/>
  <c r="B50" i="3"/>
  <c r="Z49" i="3"/>
  <c r="X49" i="3"/>
  <c r="N49" i="3"/>
  <c r="L49" i="3"/>
  <c r="B49" i="3"/>
  <c r="Z48" i="3"/>
  <c r="X48" i="3"/>
  <c r="N48" i="3"/>
  <c r="L48" i="3"/>
  <c r="B48" i="3"/>
  <c r="Z47" i="3"/>
  <c r="X47" i="3"/>
  <c r="N47" i="3"/>
  <c r="L47" i="3"/>
  <c r="J47" i="3"/>
  <c r="B47" i="3"/>
  <c r="Z46" i="3"/>
  <c r="X46" i="3"/>
  <c r="N46" i="3"/>
  <c r="L46" i="3"/>
  <c r="B46" i="3"/>
  <c r="Z45" i="3"/>
  <c r="X45" i="3"/>
  <c r="N45" i="3"/>
  <c r="L45" i="3"/>
  <c r="B45" i="3"/>
  <c r="Z44" i="3"/>
  <c r="X44" i="3"/>
  <c r="N44" i="3"/>
  <c r="L44" i="3"/>
  <c r="J44" i="3"/>
  <c r="B44" i="3"/>
  <c r="Z43" i="3"/>
  <c r="X43" i="3"/>
  <c r="N43" i="3"/>
  <c r="L43" i="3"/>
  <c r="B43" i="3"/>
  <c r="Z42" i="3"/>
  <c r="X42" i="3"/>
  <c r="N42" i="3"/>
  <c r="L42" i="3"/>
  <c r="B42" i="3"/>
  <c r="Z41" i="3"/>
  <c r="X41" i="3"/>
  <c r="N41" i="3"/>
  <c r="L41" i="3"/>
  <c r="B41" i="3"/>
  <c r="Z40" i="3"/>
  <c r="X40" i="3"/>
  <c r="N40" i="3"/>
  <c r="L40" i="3"/>
  <c r="B40" i="3"/>
  <c r="Z39" i="3"/>
  <c r="X39" i="3"/>
  <c r="N39" i="3"/>
  <c r="L39" i="3"/>
  <c r="J39" i="3"/>
  <c r="B39" i="3"/>
  <c r="Z38" i="3"/>
  <c r="X38" i="3"/>
  <c r="N38" i="3"/>
  <c r="L38" i="3"/>
  <c r="B38" i="3"/>
  <c r="Z37" i="3"/>
  <c r="X37" i="3"/>
  <c r="N37" i="3"/>
  <c r="L37" i="3"/>
  <c r="B37" i="3"/>
  <c r="Z36" i="3"/>
  <c r="X36" i="3"/>
  <c r="N36" i="3"/>
  <c r="L36" i="3"/>
  <c r="J36" i="3"/>
  <c r="B36" i="3"/>
  <c r="Z35" i="3"/>
  <c r="X35" i="3"/>
  <c r="N35" i="3"/>
  <c r="L35" i="3"/>
  <c r="B35" i="3"/>
  <c r="Z34" i="3"/>
  <c r="X34" i="3"/>
  <c r="N34" i="3"/>
  <c r="L34" i="3"/>
  <c r="B34" i="3"/>
  <c r="Z33" i="3"/>
  <c r="X33" i="3"/>
  <c r="N33" i="3"/>
  <c r="L33" i="3"/>
  <c r="B33" i="3"/>
  <c r="Z32" i="3"/>
  <c r="X32" i="3"/>
  <c r="N32" i="3"/>
  <c r="L32" i="3"/>
  <c r="B32" i="3"/>
  <c r="Z31" i="3"/>
  <c r="X31" i="3"/>
  <c r="N31" i="3"/>
  <c r="L31" i="3"/>
  <c r="J31" i="3"/>
  <c r="B31" i="3"/>
  <c r="Z30" i="3"/>
  <c r="X30" i="3"/>
  <c r="N30" i="3"/>
  <c r="L30" i="3"/>
  <c r="B30" i="3"/>
  <c r="Z29" i="3"/>
  <c r="X29" i="3"/>
  <c r="N29" i="3"/>
  <c r="L29" i="3"/>
  <c r="B29" i="3"/>
  <c r="Z28" i="3"/>
  <c r="X28" i="3"/>
  <c r="N28" i="3"/>
  <c r="L28" i="3"/>
  <c r="J28" i="3"/>
  <c r="B28" i="3"/>
  <c r="Z27" i="3"/>
  <c r="X27" i="3"/>
  <c r="N27" i="3"/>
  <c r="L27" i="3"/>
  <c r="B27" i="3"/>
  <c r="X26" i="3"/>
  <c r="Z26" i="3" s="1"/>
  <c r="N26" i="3"/>
  <c r="L26" i="3"/>
  <c r="B26" i="3"/>
  <c r="T25" i="3"/>
  <c r="P25" i="3"/>
  <c r="X25" i="3" s="1"/>
  <c r="J25" i="3"/>
  <c r="H25" i="3"/>
  <c r="D25" i="3"/>
  <c r="L25" i="3" s="1"/>
  <c r="Z23" i="3"/>
  <c r="X23" i="3"/>
  <c r="P23" i="3"/>
  <c r="N23" i="3"/>
  <c r="L23" i="3"/>
  <c r="D23" i="3"/>
  <c r="B23" i="3"/>
  <c r="Z22" i="3"/>
  <c r="P22" i="3"/>
  <c r="X22" i="3" s="1"/>
  <c r="N22" i="3"/>
  <c r="D22" i="3"/>
  <c r="L22" i="3" s="1"/>
  <c r="B22" i="3"/>
  <c r="Z21" i="3"/>
  <c r="X21" i="3"/>
  <c r="P21" i="3"/>
  <c r="N21" i="3"/>
  <c r="D21" i="3"/>
  <c r="L21" i="3" s="1"/>
  <c r="B21" i="3"/>
  <c r="Z20" i="3"/>
  <c r="P20" i="3"/>
  <c r="X20" i="3" s="1"/>
  <c r="N20" i="3"/>
  <c r="L20" i="3"/>
  <c r="D20" i="3"/>
  <c r="B20" i="3"/>
  <c r="Z19" i="3"/>
  <c r="P19" i="3"/>
  <c r="X19" i="3" s="1"/>
  <c r="N19" i="3"/>
  <c r="D19" i="3"/>
  <c r="L19" i="3" s="1"/>
  <c r="B19" i="3"/>
  <c r="Z18" i="3"/>
  <c r="X18" i="3"/>
  <c r="P18" i="3"/>
  <c r="N18" i="3"/>
  <c r="L18" i="3"/>
  <c r="D18" i="3"/>
  <c r="B18" i="3"/>
  <c r="Z17" i="3"/>
  <c r="P17" i="3"/>
  <c r="X17" i="3" s="1"/>
  <c r="N17" i="3"/>
  <c r="D17" i="3"/>
  <c r="D12" i="3" s="1"/>
  <c r="B17" i="3"/>
  <c r="P16" i="3"/>
  <c r="X16" i="3" s="1"/>
  <c r="Z16" i="3" s="1"/>
  <c r="D16" i="3"/>
  <c r="L16" i="3" s="1"/>
  <c r="N16" i="3" s="1"/>
  <c r="B16" i="3"/>
  <c r="Z15" i="3"/>
  <c r="X15" i="3"/>
  <c r="P15" i="3"/>
  <c r="N15" i="3"/>
  <c r="L15" i="3"/>
  <c r="D15" i="3"/>
  <c r="B15" i="3"/>
  <c r="Z14" i="3"/>
  <c r="P14" i="3"/>
  <c r="X14" i="3" s="1"/>
  <c r="N14" i="3"/>
  <c r="D14" i="3"/>
  <c r="L14" i="3" s="1"/>
  <c r="B14" i="3"/>
  <c r="X13" i="3"/>
  <c r="Z13" i="3" s="1"/>
  <c r="P13" i="3"/>
  <c r="D13" i="3"/>
  <c r="L13" i="3" s="1"/>
  <c r="N13" i="3" s="1"/>
  <c r="B13" i="3"/>
  <c r="T12" i="3"/>
  <c r="V167" i="3" s="1"/>
  <c r="H12" i="3"/>
  <c r="J183" i="3" s="1"/>
  <c r="D4" i="3"/>
  <c r="X24" i="49" l="1"/>
  <c r="L22" i="53"/>
  <c r="L34" i="7"/>
  <c r="X16" i="8"/>
  <c r="L24" i="8"/>
  <c r="L29" i="11"/>
  <c r="L34" i="11"/>
  <c r="X24" i="52"/>
  <c r="X21" i="53"/>
  <c r="L29" i="53"/>
  <c r="L34" i="53"/>
  <c r="X24" i="19"/>
  <c r="X16" i="5"/>
  <c r="L24" i="5"/>
  <c r="L25" i="13"/>
  <c r="L33" i="13"/>
  <c r="L16" i="16"/>
  <c r="X22" i="16"/>
  <c r="L15" i="8"/>
  <c r="L29" i="8"/>
  <c r="X15" i="10"/>
  <c r="X24" i="11"/>
  <c r="L21" i="17"/>
  <c r="L13" i="19"/>
  <c r="X21" i="24"/>
  <c r="L34" i="24"/>
  <c r="X15" i="29"/>
  <c r="X34" i="29"/>
  <c r="L20" i="30"/>
  <c r="L25" i="32"/>
  <c r="L33" i="32"/>
  <c r="X13" i="53"/>
  <c r="L21" i="53"/>
  <c r="X33" i="53"/>
  <c r="L33" i="23"/>
  <c r="L22" i="24"/>
  <c r="X15" i="27"/>
  <c r="X34" i="27"/>
  <c r="L33" i="30"/>
  <c r="X16" i="32"/>
  <c r="X13" i="41"/>
  <c r="X25" i="41"/>
  <c r="L22" i="43"/>
  <c r="X15" i="44"/>
  <c r="X13" i="50"/>
  <c r="X25" i="50"/>
  <c r="X33" i="50"/>
  <c r="X29" i="52"/>
  <c r="L34" i="19"/>
  <c r="L34" i="37"/>
  <c r="X29" i="47"/>
  <c r="L24" i="50"/>
  <c r="X24" i="33"/>
  <c r="X25" i="35"/>
  <c r="X33" i="35"/>
  <c r="X24" i="38"/>
  <c r="X24" i="41"/>
  <c r="L25" i="47"/>
  <c r="L13" i="95"/>
  <c r="L22" i="4"/>
  <c r="X34" i="5"/>
  <c r="X24" i="8"/>
  <c r="X29" i="11"/>
  <c r="L24" i="13"/>
  <c r="L21" i="14"/>
  <c r="X33" i="14"/>
  <c r="X21" i="27"/>
  <c r="L29" i="27"/>
  <c r="L34" i="27"/>
  <c r="X22" i="40"/>
  <c r="X21" i="44"/>
  <c r="L15" i="46"/>
  <c r="L34" i="46"/>
  <c r="L24" i="47"/>
  <c r="L34" i="40"/>
  <c r="L15" i="20"/>
  <c r="L25" i="44"/>
  <c r="X13" i="8"/>
  <c r="L21" i="93"/>
  <c r="L15" i="23"/>
  <c r="L20" i="29"/>
  <c r="L22" i="37"/>
  <c r="X20" i="40"/>
  <c r="X13" i="44"/>
  <c r="X25" i="44"/>
  <c r="X33" i="44"/>
  <c r="X25" i="47"/>
  <c r="X33" i="47"/>
  <c r="X13" i="52"/>
  <c r="X22" i="53"/>
  <c r="X29" i="23"/>
  <c r="L16" i="37"/>
  <c r="L29" i="44"/>
  <c r="L33" i="8"/>
  <c r="L21" i="10"/>
  <c r="L21" i="22"/>
  <c r="L25" i="24"/>
  <c r="L24" i="41"/>
  <c r="X15" i="47"/>
  <c r="L25" i="93"/>
  <c r="X25" i="8"/>
  <c r="X33" i="46"/>
  <c r="L16" i="47"/>
  <c r="L22" i="49"/>
  <c r="L33" i="53"/>
  <c r="X15" i="7"/>
  <c r="L13" i="4"/>
  <c r="L25" i="4"/>
  <c r="X20" i="7"/>
  <c r="L22" i="7"/>
  <c r="L25" i="10"/>
  <c r="L33" i="10"/>
  <c r="X21" i="13"/>
  <c r="L20" i="16"/>
  <c r="X34" i="16"/>
  <c r="P18" i="94"/>
  <c r="L16" i="35"/>
  <c r="L15" i="95"/>
  <c r="L34" i="22"/>
  <c r="X15" i="37"/>
  <c r="L21" i="43"/>
  <c r="L25" i="11"/>
  <c r="L33" i="11"/>
  <c r="X34" i="22"/>
  <c r="X25" i="52"/>
  <c r="X33" i="52"/>
  <c r="L24" i="4"/>
  <c r="L21" i="5"/>
  <c r="L21" i="7"/>
  <c r="X25" i="19"/>
  <c r="L16" i="20"/>
  <c r="L22" i="23"/>
  <c r="X29" i="24"/>
  <c r="X34" i="24"/>
  <c r="L25" i="29"/>
  <c r="L33" i="29"/>
  <c r="L21" i="32"/>
  <c r="L16" i="38"/>
  <c r="X15" i="43"/>
  <c r="X24" i="44"/>
  <c r="L20" i="46"/>
  <c r="L15" i="47"/>
  <c r="L34" i="47"/>
  <c r="X34" i="93"/>
  <c r="X20" i="4"/>
  <c r="L20" i="10"/>
  <c r="L20" i="24"/>
  <c r="L29" i="26"/>
  <c r="X34" i="43"/>
  <c r="X15" i="50"/>
  <c r="X29" i="50"/>
  <c r="L16" i="93"/>
  <c r="X12" i="14"/>
  <c r="J18" i="20"/>
  <c r="Z12" i="24"/>
  <c r="X16" i="13"/>
  <c r="L21" i="13"/>
  <c r="L22" i="26"/>
  <c r="X29" i="38"/>
  <c r="L21" i="4"/>
  <c r="L33" i="26"/>
  <c r="X20" i="27"/>
  <c r="X13" i="29"/>
  <c r="L21" i="29"/>
  <c r="X25" i="29"/>
  <c r="X22" i="30"/>
  <c r="X22" i="33"/>
  <c r="X29" i="35"/>
  <c r="X34" i="35"/>
  <c r="X16" i="37"/>
  <c r="L20" i="4"/>
  <c r="X16" i="7"/>
  <c r="L24" i="7"/>
  <c r="X25" i="11"/>
  <c r="X33" i="11"/>
  <c r="X34" i="13"/>
  <c r="X13" i="20"/>
  <c r="L25" i="22"/>
  <c r="L24" i="24"/>
  <c r="X21" i="29"/>
  <c r="R21" i="32"/>
  <c r="L13" i="35"/>
  <c r="L24" i="37"/>
  <c r="L21" i="38"/>
  <c r="X25" i="38"/>
  <c r="X33" i="38"/>
  <c r="L25" i="40"/>
  <c r="L22" i="41"/>
  <c r="L15" i="43"/>
  <c r="L34" i="43"/>
  <c r="L24" i="44"/>
  <c r="X13" i="47"/>
  <c r="X20" i="93"/>
  <c r="X24" i="94"/>
  <c r="L29" i="94"/>
  <c r="L34" i="94"/>
  <c r="X22" i="95"/>
  <c r="X13" i="7"/>
  <c r="X34" i="10"/>
  <c r="X13" i="13"/>
  <c r="L22" i="13"/>
  <c r="X15" i="20"/>
  <c r="X21" i="20"/>
  <c r="X22" i="38"/>
  <c r="L16" i="41"/>
  <c r="X20" i="41"/>
  <c r="L13" i="93"/>
  <c r="V16" i="94"/>
  <c r="L21" i="94"/>
  <c r="L25" i="94"/>
  <c r="L33" i="94"/>
  <c r="X15" i="95"/>
  <c r="X24" i="95"/>
  <c r="L13" i="5"/>
  <c r="X24" i="5"/>
  <c r="X21" i="7"/>
  <c r="L22" i="11"/>
  <c r="X33" i="16"/>
  <c r="L21" i="19"/>
  <c r="X21" i="23"/>
  <c r="L13" i="24"/>
  <c r="V36" i="27"/>
  <c r="X16" i="33"/>
  <c r="X15" i="35"/>
  <c r="L20" i="35"/>
  <c r="X24" i="35"/>
  <c r="X29" i="37"/>
  <c r="L12" i="38"/>
  <c r="X13" i="40"/>
  <c r="L22" i="40"/>
  <c r="N16" i="41"/>
  <c r="L13" i="47"/>
  <c r="J34" i="50"/>
  <c r="L15" i="53"/>
  <c r="L12" i="16"/>
  <c r="X13" i="22"/>
  <c r="V21" i="24"/>
  <c r="R18" i="26"/>
  <c r="X25" i="26"/>
  <c r="J33" i="29"/>
  <c r="X13" i="32"/>
  <c r="F15" i="38"/>
  <c r="Z12" i="43"/>
  <c r="L29" i="95"/>
  <c r="L20" i="7"/>
  <c r="L21" i="8"/>
  <c r="X33" i="13"/>
  <c r="Z12" i="14"/>
  <c r="X24" i="14"/>
  <c r="F29" i="16"/>
  <c r="X21" i="22"/>
  <c r="L13" i="23"/>
  <c r="R15" i="23"/>
  <c r="R36" i="47"/>
  <c r="L20" i="49"/>
  <c r="L33" i="52"/>
  <c r="X16" i="93"/>
  <c r="L15" i="4"/>
  <c r="X16" i="4"/>
  <c r="X24" i="10"/>
  <c r="D18" i="16"/>
  <c r="D27" i="16" s="1"/>
  <c r="Z12" i="22"/>
  <c r="L20" i="26"/>
  <c r="D18" i="29"/>
  <c r="D27" i="29" s="1"/>
  <c r="L12" i="32"/>
  <c r="F25" i="32"/>
  <c r="X25" i="37"/>
  <c r="X15" i="41"/>
  <c r="V18" i="41"/>
  <c r="J24" i="44"/>
  <c r="L22" i="14"/>
  <c r="Z12" i="16"/>
  <c r="L21" i="20"/>
  <c r="R29" i="23"/>
  <c r="J21" i="52"/>
  <c r="L24" i="93"/>
  <c r="L34" i="93"/>
  <c r="V20" i="94"/>
  <c r="L21" i="95"/>
  <c r="L25" i="95"/>
  <c r="L33" i="95"/>
  <c r="Z12" i="4"/>
  <c r="X34" i="4"/>
  <c r="L15" i="5"/>
  <c r="L25" i="7"/>
  <c r="L33" i="7"/>
  <c r="Z12" i="8"/>
  <c r="X34" i="8"/>
  <c r="L22" i="10"/>
  <c r="X21" i="11"/>
  <c r="L13" i="13"/>
  <c r="V20" i="14"/>
  <c r="R18" i="17"/>
  <c r="X21" i="17"/>
  <c r="X33" i="17"/>
  <c r="X15" i="19"/>
  <c r="X20" i="19"/>
  <c r="X29" i="19"/>
  <c r="X34" i="19"/>
  <c r="F21" i="20"/>
  <c r="X33" i="20"/>
  <c r="L25" i="23"/>
  <c r="L21" i="24"/>
  <c r="X24" i="27"/>
  <c r="L20" i="32"/>
  <c r="X25" i="32"/>
  <c r="X33" i="32"/>
  <c r="L25" i="33"/>
  <c r="L33" i="33"/>
  <c r="L20" i="37"/>
  <c r="X29" i="41"/>
  <c r="V20" i="43"/>
  <c r="X20" i="44"/>
  <c r="X29" i="44"/>
  <c r="X29" i="46"/>
  <c r="L29" i="47"/>
  <c r="L13" i="49"/>
  <c r="X21" i="50"/>
  <c r="L29" i="50"/>
  <c r="X21" i="52"/>
  <c r="L25" i="53"/>
  <c r="X24" i="93"/>
  <c r="X20" i="94"/>
  <c r="L22" i="94"/>
  <c r="X34" i="94"/>
  <c r="D18" i="4"/>
  <c r="V15" i="4"/>
  <c r="Z16" i="4"/>
  <c r="R22" i="4"/>
  <c r="Z12" i="7"/>
  <c r="R29" i="10"/>
  <c r="V21" i="14"/>
  <c r="R33" i="14"/>
  <c r="V34" i="14"/>
  <c r="L20" i="20"/>
  <c r="P18" i="5"/>
  <c r="P27" i="5" s="1"/>
  <c r="J21" i="5"/>
  <c r="F22" i="5"/>
  <c r="R15" i="7"/>
  <c r="R25" i="7"/>
  <c r="X12" i="10"/>
  <c r="V20" i="10"/>
  <c r="V33" i="10"/>
  <c r="L15" i="11"/>
  <c r="R29" i="14"/>
  <c r="R36" i="14"/>
  <c r="L24" i="16"/>
  <c r="R20" i="43"/>
  <c r="R36" i="43"/>
  <c r="R15" i="43"/>
  <c r="L12" i="4"/>
  <c r="F20" i="5"/>
  <c r="F27" i="5"/>
  <c r="L13" i="7"/>
  <c r="T18" i="8"/>
  <c r="T27" i="8" s="1"/>
  <c r="T31" i="8" s="1"/>
  <c r="Z12" i="10"/>
  <c r="V29" i="10"/>
  <c r="R36" i="10"/>
  <c r="J34" i="11"/>
  <c r="F20" i="13"/>
  <c r="V33" i="14"/>
  <c r="V36" i="14"/>
  <c r="R18" i="19"/>
  <c r="X12" i="19"/>
  <c r="V25" i="4"/>
  <c r="L29" i="7"/>
  <c r="N21" i="8"/>
  <c r="R15" i="10"/>
  <c r="V16" i="10"/>
  <c r="V25" i="10"/>
  <c r="V31" i="10"/>
  <c r="F34" i="10"/>
  <c r="V36" i="10"/>
  <c r="L20" i="11"/>
  <c r="J21" i="11"/>
  <c r="R33" i="13"/>
  <c r="V29" i="14"/>
  <c r="R15" i="16"/>
  <c r="L21" i="16"/>
  <c r="X22" i="29"/>
  <c r="Z22" i="29"/>
  <c r="V18" i="53"/>
  <c r="V21" i="53"/>
  <c r="Z12" i="53"/>
  <c r="L29" i="4"/>
  <c r="L13" i="10"/>
  <c r="R18" i="10"/>
  <c r="R22" i="10"/>
  <c r="V27" i="10"/>
  <c r="F20" i="11"/>
  <c r="F16" i="13"/>
  <c r="V16" i="14"/>
  <c r="V25" i="14"/>
  <c r="V31" i="14"/>
  <c r="F34" i="14"/>
  <c r="F34" i="16"/>
  <c r="F33" i="16"/>
  <c r="F25" i="16"/>
  <c r="F22" i="16"/>
  <c r="F20" i="16"/>
  <c r="V22" i="17"/>
  <c r="L25" i="20"/>
  <c r="L33" i="20"/>
  <c r="X24" i="22"/>
  <c r="F18" i="24"/>
  <c r="F16" i="24"/>
  <c r="F15" i="24"/>
  <c r="F20" i="24"/>
  <c r="F21" i="24"/>
  <c r="N16" i="32"/>
  <c r="L16" i="32"/>
  <c r="Z33" i="41"/>
  <c r="X33" i="41"/>
  <c r="L33" i="47"/>
  <c r="L25" i="52"/>
  <c r="F16" i="5"/>
  <c r="V15" i="10"/>
  <c r="X20" i="13"/>
  <c r="L13" i="14"/>
  <c r="R15" i="14"/>
  <c r="R18" i="14"/>
  <c r="R22" i="14"/>
  <c r="V27" i="14"/>
  <c r="L33" i="14"/>
  <c r="X13" i="16"/>
  <c r="X16" i="27"/>
  <c r="L29" i="29"/>
  <c r="L20" i="38"/>
  <c r="R15" i="4"/>
  <c r="V16" i="4"/>
  <c r="J27" i="8"/>
  <c r="V22" i="10"/>
  <c r="L16" i="11"/>
  <c r="N34" i="26"/>
  <c r="L34" i="26"/>
  <c r="J24" i="5"/>
  <c r="V29" i="7"/>
  <c r="V21" i="10"/>
  <c r="R33" i="10"/>
  <c r="V34" i="10"/>
  <c r="X13" i="11"/>
  <c r="F16" i="11"/>
  <c r="V22" i="14"/>
  <c r="L15" i="16"/>
  <c r="V34" i="32"/>
  <c r="T18" i="32"/>
  <c r="V33" i="32"/>
  <c r="Z12" i="32"/>
  <c r="V36" i="32"/>
  <c r="R21" i="37"/>
  <c r="R24" i="37"/>
  <c r="X12" i="37"/>
  <c r="R22" i="50"/>
  <c r="R24" i="50"/>
  <c r="L20" i="93"/>
  <c r="N20" i="93"/>
  <c r="J21" i="95"/>
  <c r="J24" i="95"/>
  <c r="X12" i="17"/>
  <c r="X34" i="17"/>
  <c r="L12" i="19"/>
  <c r="X33" i="19"/>
  <c r="X22" i="20"/>
  <c r="F33" i="20"/>
  <c r="L16" i="22"/>
  <c r="L22" i="22"/>
  <c r="R18" i="23"/>
  <c r="R22" i="23"/>
  <c r="L34" i="23"/>
  <c r="L21" i="26"/>
  <c r="X22" i="26"/>
  <c r="L21" i="27"/>
  <c r="L25" i="27"/>
  <c r="J18" i="29"/>
  <c r="F29" i="29"/>
  <c r="X33" i="29"/>
  <c r="L13" i="30"/>
  <c r="X20" i="30"/>
  <c r="X24" i="30"/>
  <c r="X12" i="32"/>
  <c r="L15" i="32"/>
  <c r="L24" i="32"/>
  <c r="L24" i="33"/>
  <c r="J21" i="37"/>
  <c r="X22" i="37"/>
  <c r="N12" i="38"/>
  <c r="L29" i="40"/>
  <c r="R15" i="41"/>
  <c r="R18" i="41"/>
  <c r="L21" i="41"/>
  <c r="L25" i="41"/>
  <c r="V33" i="41"/>
  <c r="F34" i="43"/>
  <c r="L13" i="44"/>
  <c r="V15" i="46"/>
  <c r="X24" i="46"/>
  <c r="R15" i="47"/>
  <c r="J21" i="47"/>
  <c r="R22" i="47"/>
  <c r="L15" i="49"/>
  <c r="L25" i="49"/>
  <c r="J31" i="50"/>
  <c r="X34" i="50"/>
  <c r="F24" i="52"/>
  <c r="X16" i="53"/>
  <c r="V15" i="93"/>
  <c r="L29" i="93"/>
  <c r="L13" i="94"/>
  <c r="R15" i="94"/>
  <c r="R22" i="94"/>
  <c r="R16" i="95"/>
  <c r="X25" i="20"/>
  <c r="X22" i="22"/>
  <c r="V16" i="24"/>
  <c r="X13" i="26"/>
  <c r="L16" i="26"/>
  <c r="F33" i="26"/>
  <c r="L24" i="27"/>
  <c r="L16" i="29"/>
  <c r="R21" i="29"/>
  <c r="F25" i="29"/>
  <c r="J24" i="32"/>
  <c r="F18" i="35"/>
  <c r="F34" i="35"/>
  <c r="X33" i="37"/>
  <c r="J31" i="41"/>
  <c r="V16" i="43"/>
  <c r="V31" i="43"/>
  <c r="L16" i="46"/>
  <c r="L22" i="46"/>
  <c r="X21" i="49"/>
  <c r="L24" i="49"/>
  <c r="L13" i="50"/>
  <c r="X20" i="50"/>
  <c r="L22" i="50"/>
  <c r="J27" i="50"/>
  <c r="L12" i="93"/>
  <c r="V22" i="94"/>
  <c r="Z12" i="95"/>
  <c r="N29" i="95"/>
  <c r="L25" i="16"/>
  <c r="F15" i="19"/>
  <c r="J21" i="22"/>
  <c r="L15" i="29"/>
  <c r="X16" i="30"/>
  <c r="R15" i="32"/>
  <c r="X24" i="32"/>
  <c r="L22" i="33"/>
  <c r="J18" i="35"/>
  <c r="F31" i="35"/>
  <c r="L13" i="40"/>
  <c r="F18" i="40"/>
  <c r="V31" i="41"/>
  <c r="L13" i="43"/>
  <c r="L20" i="43"/>
  <c r="V22" i="43"/>
  <c r="R20" i="47"/>
  <c r="R33" i="47"/>
  <c r="X16" i="52"/>
  <c r="L29" i="52"/>
  <c r="X15" i="53"/>
  <c r="N12" i="93"/>
  <c r="X22" i="93"/>
  <c r="X13" i="94"/>
  <c r="L16" i="94"/>
  <c r="L24" i="94"/>
  <c r="X33" i="94"/>
  <c r="F20" i="95"/>
  <c r="X21" i="95"/>
  <c r="X34" i="95"/>
  <c r="F25" i="19"/>
  <c r="R20" i="23"/>
  <c r="X24" i="23"/>
  <c r="R25" i="23"/>
  <c r="R36" i="23"/>
  <c r="D18" i="24"/>
  <c r="X33" i="26"/>
  <c r="F15" i="29"/>
  <c r="R20" i="29"/>
  <c r="F24" i="29"/>
  <c r="V31" i="35"/>
  <c r="L16" i="40"/>
  <c r="F21" i="40"/>
  <c r="V27" i="41"/>
  <c r="L33" i="41"/>
  <c r="X16" i="44"/>
  <c r="X22" i="46"/>
  <c r="R29" i="47"/>
  <c r="J22" i="50"/>
  <c r="X20" i="53"/>
  <c r="L24" i="53"/>
  <c r="X25" i="53"/>
  <c r="L33" i="16"/>
  <c r="L16" i="17"/>
  <c r="V18" i="19"/>
  <c r="V31" i="19"/>
  <c r="F22" i="20"/>
  <c r="R24" i="23"/>
  <c r="X33" i="23"/>
  <c r="F15" i="26"/>
  <c r="F33" i="29"/>
  <c r="R18" i="32"/>
  <c r="X29" i="32"/>
  <c r="L34" i="32"/>
  <c r="F27" i="35"/>
  <c r="F31" i="37"/>
  <c r="X15" i="38"/>
  <c r="F16" i="40"/>
  <c r="L33" i="40"/>
  <c r="X34" i="40"/>
  <c r="V21" i="41"/>
  <c r="V27" i="43"/>
  <c r="R16" i="44"/>
  <c r="X22" i="44"/>
  <c r="J34" i="44"/>
  <c r="X24" i="47"/>
  <c r="R25" i="47"/>
  <c r="L25" i="50"/>
  <c r="J34" i="52"/>
  <c r="L15" i="17"/>
  <c r="L34" i="17"/>
  <c r="L34" i="20"/>
  <c r="X16" i="23"/>
  <c r="L29" i="23"/>
  <c r="R33" i="23"/>
  <c r="X20" i="24"/>
  <c r="J25" i="24"/>
  <c r="L33" i="24"/>
  <c r="Z12" i="26"/>
  <c r="X16" i="26"/>
  <c r="V20" i="26"/>
  <c r="L22" i="27"/>
  <c r="J15" i="29"/>
  <c r="X24" i="29"/>
  <c r="Z12" i="30"/>
  <c r="X22" i="32"/>
  <c r="X34" i="32"/>
  <c r="L22" i="35"/>
  <c r="V27" i="35"/>
  <c r="J22" i="37"/>
  <c r="F27" i="37"/>
  <c r="X34" i="37"/>
  <c r="F20" i="38"/>
  <c r="X21" i="38"/>
  <c r="X21" i="40"/>
  <c r="F33" i="40"/>
  <c r="X16" i="41"/>
  <c r="Z20" i="41"/>
  <c r="V34" i="41"/>
  <c r="L16" i="43"/>
  <c r="X24" i="43"/>
  <c r="L29" i="43"/>
  <c r="J21" i="44"/>
  <c r="V16" i="46"/>
  <c r="X21" i="46"/>
  <c r="X25" i="46"/>
  <c r="R16" i="47"/>
  <c r="X34" i="49"/>
  <c r="X16" i="50"/>
  <c r="X15" i="52"/>
  <c r="L20" i="52"/>
  <c r="X21" i="93"/>
  <c r="X25" i="93"/>
  <c r="X33" i="93"/>
  <c r="X13" i="95"/>
  <c r="L22" i="95"/>
  <c r="X25" i="95"/>
  <c r="V20" i="4"/>
  <c r="X21" i="4"/>
  <c r="R15" i="5"/>
  <c r="V16" i="5"/>
  <c r="X21" i="5"/>
  <c r="R22" i="5"/>
  <c r="R25" i="5"/>
  <c r="X29" i="5"/>
  <c r="X24" i="7"/>
  <c r="J21" i="10"/>
  <c r="X25" i="10"/>
  <c r="X22" i="11"/>
  <c r="R24" i="11"/>
  <c r="R15" i="13"/>
  <c r="R16" i="13"/>
  <c r="J24" i="13"/>
  <c r="X29" i="13"/>
  <c r="R36" i="13"/>
  <c r="V15" i="14"/>
  <c r="J21" i="14"/>
  <c r="X25" i="14"/>
  <c r="F16" i="16"/>
  <c r="R18" i="16"/>
  <c r="X20" i="16"/>
  <c r="X21" i="16"/>
  <c r="J24" i="16"/>
  <c r="F36" i="16"/>
  <c r="R34" i="17"/>
  <c r="R16" i="17"/>
  <c r="R20" i="17"/>
  <c r="F27" i="17"/>
  <c r="L29" i="24"/>
  <c r="X34" i="26"/>
  <c r="V24" i="33"/>
  <c r="V31" i="33"/>
  <c r="V27" i="33"/>
  <c r="V34" i="33"/>
  <c r="V22" i="33"/>
  <c r="V15" i="33"/>
  <c r="J24" i="27"/>
  <c r="J31" i="27"/>
  <c r="J27" i="27"/>
  <c r="N12" i="27"/>
  <c r="J15" i="27"/>
  <c r="J22" i="27"/>
  <c r="J21" i="27"/>
  <c r="R18" i="4"/>
  <c r="R21" i="4"/>
  <c r="V22" i="4"/>
  <c r="R33" i="4"/>
  <c r="V20" i="5"/>
  <c r="R29" i="5"/>
  <c r="X33" i="5"/>
  <c r="V34" i="5"/>
  <c r="V15" i="7"/>
  <c r="N20" i="7"/>
  <c r="R24" i="7"/>
  <c r="V25" i="7"/>
  <c r="L13" i="8"/>
  <c r="R16" i="8"/>
  <c r="L22" i="8"/>
  <c r="J24" i="8"/>
  <c r="L25" i="8"/>
  <c r="X33" i="8"/>
  <c r="L15" i="10"/>
  <c r="L16" i="10"/>
  <c r="R25" i="10"/>
  <c r="X29" i="10"/>
  <c r="L13" i="11"/>
  <c r="R22" i="11"/>
  <c r="R29" i="13"/>
  <c r="V33" i="13"/>
  <c r="V36" i="13"/>
  <c r="R25" i="14"/>
  <c r="X29" i="14"/>
  <c r="L13" i="16"/>
  <c r="T18" i="16"/>
  <c r="T27" i="16" s="1"/>
  <c r="T31" i="16" s="1"/>
  <c r="V20" i="16"/>
  <c r="R21" i="16"/>
  <c r="R22" i="16"/>
  <c r="N24" i="16"/>
  <c r="X29" i="16"/>
  <c r="V36" i="16"/>
  <c r="V24" i="17"/>
  <c r="V27" i="17"/>
  <c r="V34" i="17"/>
  <c r="L22" i="17"/>
  <c r="X24" i="17"/>
  <c r="L29" i="17"/>
  <c r="L22" i="19"/>
  <c r="N22" i="19"/>
  <c r="X13" i="24"/>
  <c r="L16" i="30"/>
  <c r="X20" i="32"/>
  <c r="V20" i="40"/>
  <c r="V18" i="40"/>
  <c r="V22" i="40"/>
  <c r="V21" i="40"/>
  <c r="Z12" i="40"/>
  <c r="V16" i="40"/>
  <c r="V15" i="40"/>
  <c r="X21" i="47"/>
  <c r="N24" i="52"/>
  <c r="L24" i="52"/>
  <c r="R36" i="4"/>
  <c r="V22" i="5"/>
  <c r="R33" i="5"/>
  <c r="X34" i="7"/>
  <c r="R15" i="8"/>
  <c r="X29" i="8"/>
  <c r="R33" i="8"/>
  <c r="F16" i="10"/>
  <c r="X22" i="10"/>
  <c r="X33" i="10"/>
  <c r="X15" i="11"/>
  <c r="R16" i="11"/>
  <c r="R20" i="11"/>
  <c r="R36" i="11"/>
  <c r="V15" i="13"/>
  <c r="V16" i="13"/>
  <c r="R20" i="13"/>
  <c r="X25" i="13"/>
  <c r="L15" i="14"/>
  <c r="L16" i="14"/>
  <c r="X22" i="14"/>
  <c r="X15" i="16"/>
  <c r="X24" i="16"/>
  <c r="X25" i="16"/>
  <c r="V33" i="16"/>
  <c r="L29" i="20"/>
  <c r="J18" i="17"/>
  <c r="J21" i="17"/>
  <c r="R29" i="4"/>
  <c r="V33" i="4"/>
  <c r="V36" i="4"/>
  <c r="R18" i="5"/>
  <c r="J27" i="5"/>
  <c r="F31" i="5"/>
  <c r="Z13" i="7"/>
  <c r="P18" i="7"/>
  <c r="R21" i="7"/>
  <c r="V22" i="7"/>
  <c r="R33" i="7"/>
  <c r="V16" i="8"/>
  <c r="R20" i="8"/>
  <c r="R29" i="8"/>
  <c r="R36" i="8"/>
  <c r="X21" i="10"/>
  <c r="R15" i="11"/>
  <c r="R25" i="11"/>
  <c r="R29" i="11"/>
  <c r="R33" i="11"/>
  <c r="R22" i="13"/>
  <c r="X24" i="13"/>
  <c r="R25" i="13"/>
  <c r="V29" i="13"/>
  <c r="X21" i="14"/>
  <c r="V22" i="16"/>
  <c r="V29" i="16"/>
  <c r="P18" i="17"/>
  <c r="Z29" i="29"/>
  <c r="X29" i="29"/>
  <c r="N25" i="38"/>
  <c r="L25" i="38"/>
  <c r="J20" i="4"/>
  <c r="X25" i="4"/>
  <c r="X12" i="5"/>
  <c r="L22" i="5"/>
  <c r="L25" i="5"/>
  <c r="V27" i="5"/>
  <c r="J31" i="5"/>
  <c r="R36" i="5"/>
  <c r="R18" i="7"/>
  <c r="V15" i="8"/>
  <c r="R22" i="8"/>
  <c r="R25" i="8"/>
  <c r="V33" i="8"/>
  <c r="V36" i="8"/>
  <c r="F27" i="10"/>
  <c r="J18" i="11"/>
  <c r="F24" i="11"/>
  <c r="V20" i="13"/>
  <c r="R24" i="13"/>
  <c r="F27" i="14"/>
  <c r="X34" i="14"/>
  <c r="X16" i="16"/>
  <c r="V25" i="16"/>
  <c r="L13" i="17"/>
  <c r="X22" i="17"/>
  <c r="L25" i="17"/>
  <c r="R25" i="4"/>
  <c r="V29" i="4"/>
  <c r="Z12" i="5"/>
  <c r="L29" i="5"/>
  <c r="V31" i="5"/>
  <c r="L16" i="7"/>
  <c r="V18" i="7"/>
  <c r="V21" i="7"/>
  <c r="R29" i="7"/>
  <c r="V33" i="7"/>
  <c r="R36" i="7"/>
  <c r="V20" i="8"/>
  <c r="X21" i="8"/>
  <c r="R24" i="8"/>
  <c r="V29" i="8"/>
  <c r="F31" i="10"/>
  <c r="R18" i="11"/>
  <c r="J27" i="11"/>
  <c r="J31" i="11"/>
  <c r="Z12" i="13"/>
  <c r="L15" i="13"/>
  <c r="R18" i="13"/>
  <c r="R21" i="13"/>
  <c r="V22" i="13"/>
  <c r="V25" i="13"/>
  <c r="X15" i="14"/>
  <c r="L25" i="14"/>
  <c r="F31" i="14"/>
  <c r="V15" i="16"/>
  <c r="V16" i="16"/>
  <c r="L22" i="16"/>
  <c r="L29" i="16"/>
  <c r="V22" i="20"/>
  <c r="V25" i="20"/>
  <c r="T18" i="20"/>
  <c r="T27" i="20" s="1"/>
  <c r="V36" i="20"/>
  <c r="V33" i="20"/>
  <c r="V29" i="20"/>
  <c r="V15" i="20"/>
  <c r="X24" i="4"/>
  <c r="L33" i="4"/>
  <c r="L33" i="5"/>
  <c r="V36" i="7"/>
  <c r="R18" i="8"/>
  <c r="R21" i="8"/>
  <c r="V22" i="8"/>
  <c r="V25" i="8"/>
  <c r="J31" i="8"/>
  <c r="L29" i="10"/>
  <c r="J24" i="11"/>
  <c r="L29" i="13"/>
  <c r="L29" i="14"/>
  <c r="X12" i="16"/>
  <c r="Z16" i="16"/>
  <c r="F24" i="17"/>
  <c r="F34" i="17"/>
  <c r="X25" i="17"/>
  <c r="F31" i="17"/>
  <c r="X29" i="27"/>
  <c r="J34" i="27"/>
  <c r="Z24" i="37"/>
  <c r="X24" i="37"/>
  <c r="N15" i="44"/>
  <c r="L15" i="44"/>
  <c r="X29" i="17"/>
  <c r="N12" i="19"/>
  <c r="X13" i="19"/>
  <c r="D18" i="19"/>
  <c r="D27" i="19" s="1"/>
  <c r="D31" i="19" s="1"/>
  <c r="R20" i="19"/>
  <c r="X16" i="20"/>
  <c r="Z22" i="20"/>
  <c r="Z25" i="20"/>
  <c r="F36" i="20"/>
  <c r="T18" i="22"/>
  <c r="T27" i="22" s="1"/>
  <c r="V16" i="22"/>
  <c r="V21" i="22"/>
  <c r="V27" i="22"/>
  <c r="V31" i="22"/>
  <c r="F34" i="22"/>
  <c r="V36" i="22"/>
  <c r="P18" i="23"/>
  <c r="J34" i="23"/>
  <c r="H18" i="24"/>
  <c r="N18" i="24" s="1"/>
  <c r="V20" i="24"/>
  <c r="X33" i="24"/>
  <c r="V16" i="26"/>
  <c r="N20" i="26"/>
  <c r="L24" i="26"/>
  <c r="L25" i="26"/>
  <c r="X29" i="26"/>
  <c r="L15" i="27"/>
  <c r="V18" i="27"/>
  <c r="R25" i="27"/>
  <c r="V31" i="27"/>
  <c r="V34" i="27"/>
  <c r="R16" i="29"/>
  <c r="J29" i="29"/>
  <c r="F36" i="29"/>
  <c r="X21" i="30"/>
  <c r="F36" i="30"/>
  <c r="F15" i="32"/>
  <c r="F16" i="32"/>
  <c r="L22" i="32"/>
  <c r="L29" i="32"/>
  <c r="F24" i="33"/>
  <c r="F34" i="33"/>
  <c r="F31" i="33"/>
  <c r="F27" i="33"/>
  <c r="F22" i="33"/>
  <c r="L34" i="33"/>
  <c r="R18" i="38"/>
  <c r="R20" i="38"/>
  <c r="R21" i="38"/>
  <c r="L13" i="41"/>
  <c r="L33" i="43"/>
  <c r="L21" i="46"/>
  <c r="X16" i="47"/>
  <c r="X20" i="49"/>
  <c r="L33" i="50"/>
  <c r="X29" i="53"/>
  <c r="X13" i="93"/>
  <c r="N15" i="95"/>
  <c r="F18" i="19"/>
  <c r="L24" i="19"/>
  <c r="F27" i="19"/>
  <c r="V34" i="19"/>
  <c r="L12" i="20"/>
  <c r="Z15" i="20"/>
  <c r="R16" i="20"/>
  <c r="F20" i="20"/>
  <c r="L24" i="20"/>
  <c r="F25" i="20"/>
  <c r="V15" i="22"/>
  <c r="L20" i="22"/>
  <c r="F21" i="22"/>
  <c r="V22" i="22"/>
  <c r="L29" i="22"/>
  <c r="L33" i="22"/>
  <c r="J15" i="24"/>
  <c r="J18" i="24"/>
  <c r="J27" i="24"/>
  <c r="F16" i="26"/>
  <c r="X20" i="26"/>
  <c r="F24" i="26"/>
  <c r="F25" i="26"/>
  <c r="R24" i="27"/>
  <c r="L33" i="27"/>
  <c r="X20" i="29"/>
  <c r="V25" i="29"/>
  <c r="J36" i="29"/>
  <c r="F18" i="30"/>
  <c r="L29" i="30"/>
  <c r="L13" i="32"/>
  <c r="D18" i="32"/>
  <c r="D27" i="32" s="1"/>
  <c r="F22" i="32"/>
  <c r="F29" i="32"/>
  <c r="P18" i="46"/>
  <c r="X22" i="47"/>
  <c r="F18" i="53"/>
  <c r="F16" i="53"/>
  <c r="F20" i="53"/>
  <c r="F24" i="53"/>
  <c r="F21" i="53"/>
  <c r="L16" i="19"/>
  <c r="J18" i="19"/>
  <c r="F24" i="19"/>
  <c r="V27" i="19"/>
  <c r="F31" i="19"/>
  <c r="F36" i="19"/>
  <c r="F15" i="20"/>
  <c r="F24" i="20"/>
  <c r="F29" i="20"/>
  <c r="X12" i="22"/>
  <c r="F20" i="22"/>
  <c r="L20" i="23"/>
  <c r="L12" i="24"/>
  <c r="L15" i="24"/>
  <c r="X22" i="24"/>
  <c r="J31" i="24"/>
  <c r="J36" i="24"/>
  <c r="F18" i="26"/>
  <c r="X21" i="26"/>
  <c r="V25" i="27"/>
  <c r="R29" i="27"/>
  <c r="R36" i="27"/>
  <c r="L34" i="29"/>
  <c r="V36" i="29"/>
  <c r="X13" i="30"/>
  <c r="F16" i="30"/>
  <c r="R18" i="30"/>
  <c r="V21" i="30"/>
  <c r="V22" i="30"/>
  <c r="F29" i="30"/>
  <c r="F36" i="32"/>
  <c r="R20" i="33"/>
  <c r="R21" i="33"/>
  <c r="R33" i="33"/>
  <c r="R29" i="33"/>
  <c r="R25" i="33"/>
  <c r="L15" i="33"/>
  <c r="L16" i="33"/>
  <c r="V36" i="37"/>
  <c r="V31" i="37"/>
  <c r="V27" i="37"/>
  <c r="L33" i="44"/>
  <c r="J21" i="46"/>
  <c r="L16" i="49"/>
  <c r="L34" i="49"/>
  <c r="L16" i="52"/>
  <c r="J22" i="53"/>
  <c r="J33" i="53"/>
  <c r="J24" i="53"/>
  <c r="J15" i="53"/>
  <c r="J29" i="53"/>
  <c r="J21" i="53"/>
  <c r="J25" i="53"/>
  <c r="J18" i="53"/>
  <c r="H18" i="53"/>
  <c r="N18" i="53" s="1"/>
  <c r="R36" i="93"/>
  <c r="R15" i="93"/>
  <c r="R18" i="93"/>
  <c r="R24" i="93"/>
  <c r="R21" i="93"/>
  <c r="L34" i="95"/>
  <c r="X16" i="94"/>
  <c r="X22" i="94"/>
  <c r="L20" i="17"/>
  <c r="L33" i="17"/>
  <c r="L20" i="19"/>
  <c r="J22" i="19"/>
  <c r="F29" i="19"/>
  <c r="F34" i="19"/>
  <c r="J15" i="20"/>
  <c r="F16" i="20"/>
  <c r="D18" i="20"/>
  <c r="D27" i="20" s="1"/>
  <c r="F15" i="22"/>
  <c r="F16" i="22"/>
  <c r="X20" i="22"/>
  <c r="F22" i="22"/>
  <c r="X25" i="22"/>
  <c r="R16" i="23"/>
  <c r="X15" i="24"/>
  <c r="X16" i="24"/>
  <c r="J29" i="24"/>
  <c r="L13" i="26"/>
  <c r="V21" i="26"/>
  <c r="X24" i="26"/>
  <c r="R15" i="27"/>
  <c r="V22" i="27"/>
  <c r="V29" i="27"/>
  <c r="R33" i="27"/>
  <c r="T18" i="29"/>
  <c r="Z18" i="29" s="1"/>
  <c r="L24" i="29"/>
  <c r="J27" i="29"/>
  <c r="V29" i="29"/>
  <c r="J34" i="29"/>
  <c r="F15" i="30"/>
  <c r="F20" i="30"/>
  <c r="L25" i="30"/>
  <c r="V18" i="32"/>
  <c r="V20" i="32"/>
  <c r="X21" i="32"/>
  <c r="R22" i="32"/>
  <c r="X12" i="33"/>
  <c r="L29" i="33"/>
  <c r="R36" i="33"/>
  <c r="J20" i="35"/>
  <c r="J21" i="35"/>
  <c r="J24" i="35"/>
  <c r="J22" i="35"/>
  <c r="X13" i="35"/>
  <c r="Z12" i="37"/>
  <c r="V18" i="37"/>
  <c r="X34" i="38"/>
  <c r="X34" i="46"/>
  <c r="X22" i="49"/>
  <c r="L15" i="50"/>
  <c r="R34" i="52"/>
  <c r="P18" i="52"/>
  <c r="P27" i="52" s="1"/>
  <c r="R33" i="52"/>
  <c r="R29" i="52"/>
  <c r="R25" i="52"/>
  <c r="R15" i="52"/>
  <c r="R36" i="52"/>
  <c r="R22" i="52"/>
  <c r="R20" i="52"/>
  <c r="R16" i="52"/>
  <c r="L22" i="52"/>
  <c r="J36" i="53"/>
  <c r="J22" i="93"/>
  <c r="X29" i="95"/>
  <c r="X16" i="19"/>
  <c r="J21" i="19"/>
  <c r="R24" i="19"/>
  <c r="F33" i="19"/>
  <c r="L13" i="20"/>
  <c r="F18" i="20"/>
  <c r="X20" i="20"/>
  <c r="X24" i="20"/>
  <c r="L13" i="22"/>
  <c r="V34" i="22"/>
  <c r="J21" i="24"/>
  <c r="J24" i="24"/>
  <c r="J33" i="24"/>
  <c r="J34" i="24"/>
  <c r="F20" i="26"/>
  <c r="V22" i="26"/>
  <c r="F36" i="26"/>
  <c r="T18" i="27"/>
  <c r="T27" i="27" s="1"/>
  <c r="V21" i="27"/>
  <c r="J25" i="29"/>
  <c r="L21" i="30"/>
  <c r="F22" i="30"/>
  <c r="L24" i="30"/>
  <c r="F25" i="30"/>
  <c r="V15" i="32"/>
  <c r="V29" i="32"/>
  <c r="F24" i="46"/>
  <c r="F34" i="46"/>
  <c r="F31" i="46"/>
  <c r="F27" i="46"/>
  <c r="V20" i="49"/>
  <c r="V15" i="49"/>
  <c r="V22" i="49"/>
  <c r="V21" i="49"/>
  <c r="R16" i="19"/>
  <c r="X22" i="19"/>
  <c r="R20" i="20"/>
  <c r="R21" i="20"/>
  <c r="V20" i="22"/>
  <c r="V25" i="22"/>
  <c r="V29" i="22"/>
  <c r="V33" i="22"/>
  <c r="J27" i="23"/>
  <c r="J31" i="23"/>
  <c r="X25" i="24"/>
  <c r="F29" i="26"/>
  <c r="V15" i="27"/>
  <c r="V27" i="27"/>
  <c r="V33" i="27"/>
  <c r="L12" i="29"/>
  <c r="F21" i="30"/>
  <c r="F24" i="30"/>
  <c r="X34" i="30"/>
  <c r="V16" i="32"/>
  <c r="F20" i="32"/>
  <c r="V22" i="32"/>
  <c r="L13" i="33"/>
  <c r="R15" i="33"/>
  <c r="P18" i="33"/>
  <c r="L21" i="33"/>
  <c r="R21" i="35"/>
  <c r="R22" i="35"/>
  <c r="R16" i="35"/>
  <c r="R24" i="35"/>
  <c r="R15" i="35"/>
  <c r="X12" i="35"/>
  <c r="R20" i="35"/>
  <c r="V34" i="37"/>
  <c r="L33" i="38"/>
  <c r="R27" i="40"/>
  <c r="P18" i="43"/>
  <c r="L25" i="43"/>
  <c r="L20" i="44"/>
  <c r="L15" i="52"/>
  <c r="X29" i="93"/>
  <c r="F20" i="94"/>
  <c r="F22" i="94"/>
  <c r="X21" i="94"/>
  <c r="R21" i="19"/>
  <c r="X29" i="20"/>
  <c r="F27" i="22"/>
  <c r="F31" i="22"/>
  <c r="N12" i="23"/>
  <c r="X15" i="23"/>
  <c r="J18" i="23"/>
  <c r="X20" i="23"/>
  <c r="L24" i="23"/>
  <c r="F21" i="26"/>
  <c r="F22" i="26"/>
  <c r="X12" i="27"/>
  <c r="P18" i="27"/>
  <c r="P27" i="27" s="1"/>
  <c r="N12" i="29"/>
  <c r="V15" i="29"/>
  <c r="X16" i="29"/>
  <c r="J21" i="29"/>
  <c r="J22" i="29"/>
  <c r="J31" i="29"/>
  <c r="V33" i="29"/>
  <c r="L22" i="30"/>
  <c r="F33" i="30"/>
  <c r="V25" i="32"/>
  <c r="F33" i="32"/>
  <c r="R18" i="33"/>
  <c r="R20" i="46"/>
  <c r="R15" i="46"/>
  <c r="R36" i="46"/>
  <c r="R22" i="46"/>
  <c r="X12" i="46"/>
  <c r="R33" i="46"/>
  <c r="R29" i="46"/>
  <c r="R25" i="46"/>
  <c r="L34" i="50"/>
  <c r="X15" i="93"/>
  <c r="X25" i="33"/>
  <c r="X29" i="33"/>
  <c r="X33" i="33"/>
  <c r="F16" i="35"/>
  <c r="V18" i="35"/>
  <c r="F34" i="37"/>
  <c r="F16" i="38"/>
  <c r="D18" i="38"/>
  <c r="D27" i="38" s="1"/>
  <c r="F36" i="38"/>
  <c r="L20" i="41"/>
  <c r="R25" i="41"/>
  <c r="R36" i="41"/>
  <c r="R18" i="43"/>
  <c r="R20" i="44"/>
  <c r="R22" i="44"/>
  <c r="V34" i="46"/>
  <c r="J18" i="47"/>
  <c r="X16" i="49"/>
  <c r="L33" i="49"/>
  <c r="R15" i="50"/>
  <c r="L13" i="52"/>
  <c r="X22" i="52"/>
  <c r="R27" i="53"/>
  <c r="L20" i="33"/>
  <c r="L21" i="35"/>
  <c r="V34" i="35"/>
  <c r="J15" i="37"/>
  <c r="X20" i="37"/>
  <c r="F18" i="38"/>
  <c r="X20" i="38"/>
  <c r="V25" i="38"/>
  <c r="V29" i="38"/>
  <c r="V33" i="38"/>
  <c r="V36" i="38"/>
  <c r="F15" i="40"/>
  <c r="F29" i="40"/>
  <c r="N12" i="41"/>
  <c r="V15" i="41"/>
  <c r="N20" i="41"/>
  <c r="J22" i="41"/>
  <c r="J34" i="41"/>
  <c r="V36" i="41"/>
  <c r="J21" i="43"/>
  <c r="F22" i="43"/>
  <c r="X25" i="43"/>
  <c r="X29" i="43"/>
  <c r="X33" i="43"/>
  <c r="R15" i="44"/>
  <c r="R36" i="44"/>
  <c r="P18" i="47"/>
  <c r="P27" i="47" s="1"/>
  <c r="F24" i="47"/>
  <c r="J27" i="47"/>
  <c r="J31" i="47"/>
  <c r="R33" i="50"/>
  <c r="R31" i="53"/>
  <c r="Z12" i="93"/>
  <c r="F18" i="93"/>
  <c r="V22" i="93"/>
  <c r="R18" i="94"/>
  <c r="R20" i="95"/>
  <c r="R22" i="95"/>
  <c r="P18" i="35"/>
  <c r="P27" i="35" s="1"/>
  <c r="P31" i="35" s="1"/>
  <c r="F20" i="35"/>
  <c r="J18" i="38"/>
  <c r="X33" i="40"/>
  <c r="F36" i="40"/>
  <c r="X21" i="41"/>
  <c r="R24" i="41"/>
  <c r="V25" i="41"/>
  <c r="R29" i="41"/>
  <c r="R25" i="43"/>
  <c r="R29" i="43"/>
  <c r="R33" i="43"/>
  <c r="V34" i="43"/>
  <c r="J18" i="44"/>
  <c r="R25" i="44"/>
  <c r="R29" i="44"/>
  <c r="R33" i="44"/>
  <c r="Z12" i="46"/>
  <c r="R18" i="47"/>
  <c r="L21" i="49"/>
  <c r="N12" i="50"/>
  <c r="P18" i="50"/>
  <c r="P27" i="50" s="1"/>
  <c r="R29" i="50"/>
  <c r="L20" i="53"/>
  <c r="V16" i="95"/>
  <c r="X21" i="33"/>
  <c r="X22" i="35"/>
  <c r="N12" i="37"/>
  <c r="L13" i="37"/>
  <c r="T18" i="38"/>
  <c r="T27" i="38" s="1"/>
  <c r="L24" i="38"/>
  <c r="F25" i="40"/>
  <c r="Z33" i="40"/>
  <c r="R21" i="41"/>
  <c r="R33" i="41"/>
  <c r="X22" i="43"/>
  <c r="P18" i="44"/>
  <c r="P27" i="44" s="1"/>
  <c r="F24" i="44"/>
  <c r="X15" i="46"/>
  <c r="V20" i="46"/>
  <c r="V27" i="46"/>
  <c r="V31" i="46"/>
  <c r="L20" i="47"/>
  <c r="J24" i="47"/>
  <c r="J34" i="47"/>
  <c r="F21" i="49"/>
  <c r="F22" i="49"/>
  <c r="X33" i="49"/>
  <c r="R18" i="50"/>
  <c r="X24" i="50"/>
  <c r="R25" i="50"/>
  <c r="R36" i="50"/>
  <c r="J18" i="52"/>
  <c r="X20" i="52"/>
  <c r="L16" i="53"/>
  <c r="V18" i="93"/>
  <c r="L22" i="93"/>
  <c r="Z12" i="94"/>
  <c r="L16" i="95"/>
  <c r="R18" i="95"/>
  <c r="V20" i="95"/>
  <c r="X20" i="33"/>
  <c r="L34" i="35"/>
  <c r="F18" i="37"/>
  <c r="L21" i="37"/>
  <c r="X13" i="38"/>
  <c r="V15" i="38"/>
  <c r="X16" i="38"/>
  <c r="F24" i="38"/>
  <c r="F25" i="38"/>
  <c r="F29" i="38"/>
  <c r="F33" i="38"/>
  <c r="X16" i="40"/>
  <c r="F20" i="40"/>
  <c r="L21" i="40"/>
  <c r="F22" i="40"/>
  <c r="L24" i="40"/>
  <c r="X29" i="40"/>
  <c r="X12" i="41"/>
  <c r="P18" i="41"/>
  <c r="P27" i="41" s="1"/>
  <c r="V22" i="41"/>
  <c r="J27" i="41"/>
  <c r="V29" i="41"/>
  <c r="X34" i="41"/>
  <c r="X12" i="43"/>
  <c r="X21" i="43"/>
  <c r="R22" i="43"/>
  <c r="F27" i="43"/>
  <c r="F31" i="43"/>
  <c r="L16" i="44"/>
  <c r="R18" i="44"/>
  <c r="L22" i="44"/>
  <c r="J27" i="44"/>
  <c r="J31" i="44"/>
  <c r="L34" i="44"/>
  <c r="L13" i="46"/>
  <c r="V22" i="46"/>
  <c r="L25" i="46"/>
  <c r="L29" i="46"/>
  <c r="L33" i="46"/>
  <c r="X13" i="49"/>
  <c r="L29" i="49"/>
  <c r="V18" i="50"/>
  <c r="L21" i="50"/>
  <c r="J27" i="52"/>
  <c r="J31" i="52"/>
  <c r="L34" i="52"/>
  <c r="L13" i="53"/>
  <c r="F22" i="93"/>
  <c r="L15" i="94"/>
  <c r="F16" i="95"/>
  <c r="L20" i="95"/>
  <c r="L24" i="95"/>
  <c r="X33" i="95"/>
  <c r="Z25" i="3"/>
  <c r="Z65" i="3"/>
  <c r="Z93" i="3"/>
  <c r="N118" i="3"/>
  <c r="Z124" i="3"/>
  <c r="Z159" i="3"/>
  <c r="N103" i="3"/>
  <c r="Z64" i="3"/>
  <c r="Z101" i="3"/>
  <c r="Z163" i="3"/>
  <c r="F182" i="3"/>
  <c r="F173" i="3"/>
  <c r="F164" i="3"/>
  <c r="F160" i="3"/>
  <c r="F148" i="3"/>
  <c r="F143" i="3"/>
  <c r="F104" i="3"/>
  <c r="F99" i="3"/>
  <c r="F92" i="3"/>
  <c r="F87" i="3"/>
  <c r="F80" i="3"/>
  <c r="F68" i="3"/>
  <c r="D62" i="3"/>
  <c r="F60" i="3"/>
  <c r="F52" i="3"/>
  <c r="F44" i="3"/>
  <c r="F36" i="3"/>
  <c r="F28" i="3"/>
  <c r="F161" i="3"/>
  <c r="F170" i="3"/>
  <c r="F154" i="3"/>
  <c r="F147" i="3"/>
  <c r="F139" i="3"/>
  <c r="F134" i="3"/>
  <c r="F122" i="3"/>
  <c r="F119" i="3"/>
  <c r="F114" i="3"/>
  <c r="F111" i="3"/>
  <c r="F107" i="3"/>
  <c r="F95" i="3"/>
  <c r="F79" i="3"/>
  <c r="F75" i="3"/>
  <c r="F67" i="3"/>
  <c r="F59" i="3"/>
  <c r="F51" i="3"/>
  <c r="F43" i="3"/>
  <c r="F35" i="3"/>
  <c r="F27" i="3"/>
  <c r="F108" i="3"/>
  <c r="F53" i="3"/>
  <c r="F178" i="3"/>
  <c r="F167" i="3"/>
  <c r="F157" i="3"/>
  <c r="F146" i="3"/>
  <c r="F142" i="3"/>
  <c r="F138" i="3"/>
  <c r="F129" i="3"/>
  <c r="F110" i="3"/>
  <c r="F106" i="3"/>
  <c r="F101" i="3"/>
  <c r="F98" i="3"/>
  <c r="F94" i="3"/>
  <c r="F89" i="3"/>
  <c r="F86" i="3"/>
  <c r="F78" i="3"/>
  <c r="F74" i="3"/>
  <c r="F66" i="3"/>
  <c r="F58" i="3"/>
  <c r="F50" i="3"/>
  <c r="F42" i="3"/>
  <c r="F34" i="3"/>
  <c r="F26" i="3"/>
  <c r="L12" i="3"/>
  <c r="F125" i="3"/>
  <c r="F112" i="3"/>
  <c r="F69" i="3"/>
  <c r="F172" i="3"/>
  <c r="F153" i="3"/>
  <c r="F145" i="3"/>
  <c r="F141" i="3"/>
  <c r="F137" i="3"/>
  <c r="F133" i="3"/>
  <c r="F124" i="3"/>
  <c r="F121" i="3"/>
  <c r="F116" i="3"/>
  <c r="F113" i="3"/>
  <c r="F109" i="3"/>
  <c r="F97" i="3"/>
  <c r="F85" i="3"/>
  <c r="F77" i="3"/>
  <c r="F73" i="3"/>
  <c r="F64" i="3"/>
  <c r="F57" i="3"/>
  <c r="F49" i="3"/>
  <c r="F41" i="3"/>
  <c r="F33" i="3"/>
  <c r="F96" i="3"/>
  <c r="F29" i="3"/>
  <c r="F169" i="3"/>
  <c r="F163" i="3"/>
  <c r="F159" i="3"/>
  <c r="F156" i="3"/>
  <c r="F152" i="3"/>
  <c r="F144" i="3"/>
  <c r="F136" i="3"/>
  <c r="F132" i="3"/>
  <c r="F128" i="3"/>
  <c r="F103" i="3"/>
  <c r="F100" i="3"/>
  <c r="F91" i="3"/>
  <c r="F88" i="3"/>
  <c r="F84" i="3"/>
  <c r="F72" i="3"/>
  <c r="F56" i="3"/>
  <c r="F48" i="3"/>
  <c r="F40" i="3"/>
  <c r="F32" i="3"/>
  <c r="F76" i="3"/>
  <c r="F174" i="3"/>
  <c r="F155" i="3"/>
  <c r="F151" i="3"/>
  <c r="F135" i="3"/>
  <c r="F131" i="3"/>
  <c r="F127" i="3"/>
  <c r="F123" i="3"/>
  <c r="F118" i="3"/>
  <c r="F115" i="3"/>
  <c r="F83" i="3"/>
  <c r="F71" i="3"/>
  <c r="F55" i="3"/>
  <c r="F47" i="3"/>
  <c r="F39" i="3"/>
  <c r="F31" i="3"/>
  <c r="F120" i="3"/>
  <c r="F62" i="3"/>
  <c r="F45" i="3"/>
  <c r="F183" i="3"/>
  <c r="F171" i="3"/>
  <c r="F162" i="3"/>
  <c r="F158" i="3"/>
  <c r="F150" i="3"/>
  <c r="F130" i="3"/>
  <c r="F126" i="3"/>
  <c r="F105" i="3"/>
  <c r="F102" i="3"/>
  <c r="F93" i="3"/>
  <c r="F90" i="3"/>
  <c r="F82" i="3"/>
  <c r="F70" i="3"/>
  <c r="F65" i="3"/>
  <c r="F54" i="3"/>
  <c r="F46" i="3"/>
  <c r="F38" i="3"/>
  <c r="F30" i="3"/>
  <c r="F25" i="3"/>
  <c r="F168" i="3"/>
  <c r="F149" i="3"/>
  <c r="F140" i="3"/>
  <c r="F117" i="3"/>
  <c r="F81" i="3"/>
  <c r="F37" i="3"/>
  <c r="N91" i="3"/>
  <c r="Z103" i="3"/>
  <c r="N105" i="3"/>
  <c r="N25" i="3"/>
  <c r="N99" i="3"/>
  <c r="V120" i="3"/>
  <c r="V144" i="3"/>
  <c r="V152" i="3"/>
  <c r="T16" i="6"/>
  <c r="Z14" i="6"/>
  <c r="F20" i="7"/>
  <c r="F16" i="7"/>
  <c r="F34" i="7"/>
  <c r="F31" i="7"/>
  <c r="F27" i="7"/>
  <c r="F24" i="7"/>
  <c r="F21" i="7"/>
  <c r="F36" i="7"/>
  <c r="F33" i="7"/>
  <c r="F29" i="7"/>
  <c r="F25" i="7"/>
  <c r="D18" i="7"/>
  <c r="F15" i="7"/>
  <c r="L12" i="7"/>
  <c r="Z20" i="10"/>
  <c r="X20" i="10"/>
  <c r="L17" i="3"/>
  <c r="V25" i="3"/>
  <c r="J29" i="3"/>
  <c r="V33" i="3"/>
  <c r="J37" i="3"/>
  <c r="V41" i="3"/>
  <c r="J45" i="3"/>
  <c r="V49" i="3"/>
  <c r="J53" i="3"/>
  <c r="V57" i="3"/>
  <c r="H62" i="3"/>
  <c r="V65" i="3"/>
  <c r="J69" i="3"/>
  <c r="V73" i="3"/>
  <c r="V77" i="3"/>
  <c r="J81" i="3"/>
  <c r="V85" i="3"/>
  <c r="J87" i="3"/>
  <c r="V93" i="3"/>
  <c r="V97" i="3"/>
  <c r="J99" i="3"/>
  <c r="V105" i="3"/>
  <c r="V109" i="3"/>
  <c r="V113" i="3"/>
  <c r="J117" i="3"/>
  <c r="V121" i="3"/>
  <c r="J125" i="3"/>
  <c r="V133" i="3"/>
  <c r="V137" i="3"/>
  <c r="V141" i="3"/>
  <c r="J143" i="3"/>
  <c r="V145" i="3"/>
  <c r="J149" i="3"/>
  <c r="V153" i="3"/>
  <c r="J161" i="3"/>
  <c r="J168" i="3"/>
  <c r="V169" i="3"/>
  <c r="F34" i="4"/>
  <c r="F31" i="4"/>
  <c r="F27" i="4"/>
  <c r="F24" i="4"/>
  <c r="F21" i="4"/>
  <c r="F18" i="4"/>
  <c r="X15" i="4"/>
  <c r="J16" i="4"/>
  <c r="F22" i="4"/>
  <c r="X29" i="4"/>
  <c r="X13" i="5"/>
  <c r="J20" i="6"/>
  <c r="J24" i="7"/>
  <c r="J21" i="7"/>
  <c r="J18" i="7"/>
  <c r="J36" i="7"/>
  <c r="J33" i="7"/>
  <c r="J29" i="7"/>
  <c r="J25" i="7"/>
  <c r="H18" i="7"/>
  <c r="J15" i="7"/>
  <c r="J22" i="7"/>
  <c r="Z15" i="7"/>
  <c r="T18" i="7"/>
  <c r="Z16" i="10"/>
  <c r="X16" i="10"/>
  <c r="V28" i="12"/>
  <c r="N91" i="12"/>
  <c r="N123" i="12"/>
  <c r="V96" i="3"/>
  <c r="V100" i="3"/>
  <c r="D27" i="4"/>
  <c r="X105" i="12"/>
  <c r="Z105" i="12" s="1"/>
  <c r="N34" i="13"/>
  <c r="L34" i="13"/>
  <c r="V26" i="3"/>
  <c r="J30" i="3"/>
  <c r="V34" i="3"/>
  <c r="J38" i="3"/>
  <c r="V42" i="3"/>
  <c r="J46" i="3"/>
  <c r="V50" i="3"/>
  <c r="J54" i="3"/>
  <c r="V58" i="3"/>
  <c r="J62" i="3"/>
  <c r="V66" i="3"/>
  <c r="J70" i="3"/>
  <c r="V74" i="3"/>
  <c r="J76" i="3"/>
  <c r="V78" i="3"/>
  <c r="J82" i="3"/>
  <c r="V86" i="3"/>
  <c r="L87" i="3"/>
  <c r="N87" i="3" s="1"/>
  <c r="J90" i="3"/>
  <c r="V94" i="3"/>
  <c r="J96" i="3"/>
  <c r="V98" i="3"/>
  <c r="L99" i="3"/>
  <c r="J102" i="3"/>
  <c r="X105" i="3"/>
  <c r="Z105" i="3" s="1"/>
  <c r="V106" i="3"/>
  <c r="J108" i="3"/>
  <c r="V110" i="3"/>
  <c r="J112" i="3"/>
  <c r="V118" i="3"/>
  <c r="J120" i="3"/>
  <c r="J126" i="3"/>
  <c r="J130" i="3"/>
  <c r="V138" i="3"/>
  <c r="J140" i="3"/>
  <c r="V142" i="3"/>
  <c r="L143" i="3"/>
  <c r="N143" i="3" s="1"/>
  <c r="V146" i="3"/>
  <c r="J150" i="3"/>
  <c r="J158" i="3"/>
  <c r="J162" i="3"/>
  <c r="J166" i="3"/>
  <c r="J171" i="3"/>
  <c r="V172" i="3"/>
  <c r="N183" i="3"/>
  <c r="J21" i="4"/>
  <c r="J18" i="4"/>
  <c r="J36" i="4"/>
  <c r="J33" i="4"/>
  <c r="J29" i="4"/>
  <c r="J25" i="4"/>
  <c r="H18" i="4"/>
  <c r="J15" i="4"/>
  <c r="J22" i="4"/>
  <c r="N12" i="4"/>
  <c r="L16" i="4"/>
  <c r="P18" i="4"/>
  <c r="J24" i="4"/>
  <c r="F25" i="4"/>
  <c r="L16" i="5"/>
  <c r="J20" i="5"/>
  <c r="H22" i="6"/>
  <c r="L20" i="6"/>
  <c r="N12" i="7"/>
  <c r="J34" i="7"/>
  <c r="N34" i="8"/>
  <c r="L34" i="8"/>
  <c r="X57" i="9"/>
  <c r="Z57" i="9" s="1"/>
  <c r="N63" i="9"/>
  <c r="Z128" i="12"/>
  <c r="Z20" i="14"/>
  <c r="X20" i="14"/>
  <c r="Z77" i="15"/>
  <c r="V32" i="3"/>
  <c r="V156" i="3"/>
  <c r="V27" i="3"/>
  <c r="V35" i="3"/>
  <c r="V43" i="3"/>
  <c r="V51" i="3"/>
  <c r="V59" i="3"/>
  <c r="J65" i="3"/>
  <c r="V67" i="3"/>
  <c r="J71" i="3"/>
  <c r="V75" i="3"/>
  <c r="V79" i="3"/>
  <c r="J83" i="3"/>
  <c r="V91" i="3"/>
  <c r="J93" i="3"/>
  <c r="V95" i="3"/>
  <c r="V103" i="3"/>
  <c r="J105" i="3"/>
  <c r="V107" i="3"/>
  <c r="V111" i="3"/>
  <c r="J115" i="3"/>
  <c r="V119" i="3"/>
  <c r="J123" i="3"/>
  <c r="J127" i="3"/>
  <c r="J131" i="3"/>
  <c r="J135" i="3"/>
  <c r="V139" i="3"/>
  <c r="V147" i="3"/>
  <c r="J151" i="3"/>
  <c r="J155" i="3"/>
  <c r="V159" i="3"/>
  <c r="V163" i="3"/>
  <c r="J174" i="3"/>
  <c r="F22" i="7"/>
  <c r="L31" i="9"/>
  <c r="N31" i="9" s="1"/>
  <c r="V153" i="12"/>
  <c r="V147" i="12"/>
  <c r="V143" i="12"/>
  <c r="V139" i="12"/>
  <c r="V135" i="12"/>
  <c r="V127" i="12"/>
  <c r="V107" i="12"/>
  <c r="V99" i="12"/>
  <c r="V95" i="12"/>
  <c r="V87" i="12"/>
  <c r="V83" i="12"/>
  <c r="V71" i="12"/>
  <c r="V67" i="12"/>
  <c r="V59" i="12"/>
  <c r="V51" i="12"/>
  <c r="V43" i="12"/>
  <c r="V35" i="12"/>
  <c r="V27" i="12"/>
  <c r="V146" i="12"/>
  <c r="V142" i="12"/>
  <c r="V134" i="12"/>
  <c r="V130" i="12"/>
  <c r="V126" i="12"/>
  <c r="V122" i="12"/>
  <c r="V110" i="12"/>
  <c r="V102" i="12"/>
  <c r="V98" i="12"/>
  <c r="V90" i="12"/>
  <c r="V86" i="12"/>
  <c r="V78" i="12"/>
  <c r="V70" i="12"/>
  <c r="V66" i="12"/>
  <c r="V58" i="12"/>
  <c r="V50" i="12"/>
  <c r="V42" i="12"/>
  <c r="V34" i="12"/>
  <c r="V26" i="12"/>
  <c r="V155" i="12"/>
  <c r="V149" i="12"/>
  <c r="V145" i="12"/>
  <c r="V133" i="12"/>
  <c r="V129" i="12"/>
  <c r="V125" i="12"/>
  <c r="V121" i="12"/>
  <c r="V117" i="12"/>
  <c r="V109" i="12"/>
  <c r="V101" i="12"/>
  <c r="V97" i="12"/>
  <c r="V89" i="12"/>
  <c r="V85" i="12"/>
  <c r="V77" i="12"/>
  <c r="V69" i="12"/>
  <c r="V65" i="12"/>
  <c r="V57" i="12"/>
  <c r="V49" i="12"/>
  <c r="V41" i="12"/>
  <c r="V33" i="12"/>
  <c r="V25" i="12"/>
  <c r="V160" i="12"/>
  <c r="V152" i="12"/>
  <c r="V148" i="12"/>
  <c r="V144" i="12"/>
  <c r="V132" i="12"/>
  <c r="V128" i="12"/>
  <c r="V124" i="12"/>
  <c r="V120" i="12"/>
  <c r="V116" i="12"/>
  <c r="V112" i="12"/>
  <c r="V104" i="12"/>
  <c r="V100" i="12"/>
  <c r="V92" i="12"/>
  <c r="V88" i="12"/>
  <c r="V80" i="12"/>
  <c r="V76" i="12"/>
  <c r="V68" i="12"/>
  <c r="V64" i="12"/>
  <c r="V48" i="12"/>
  <c r="V40" i="12"/>
  <c r="V32" i="12"/>
  <c r="V24" i="12"/>
  <c r="V131" i="12"/>
  <c r="V123" i="12"/>
  <c r="V119" i="12"/>
  <c r="V115" i="12"/>
  <c r="V111" i="12"/>
  <c r="V103" i="12"/>
  <c r="V91" i="12"/>
  <c r="V79" i="12"/>
  <c r="V75" i="12"/>
  <c r="V63" i="12"/>
  <c r="T54" i="12"/>
  <c r="V54" i="12" s="1"/>
  <c r="V47" i="12"/>
  <c r="V39" i="12"/>
  <c r="V31" i="12"/>
  <c r="V23" i="12"/>
  <c r="V154" i="12"/>
  <c r="V138" i="12"/>
  <c r="V118" i="12"/>
  <c r="V114" i="12"/>
  <c r="V106" i="12"/>
  <c r="V94" i="12"/>
  <c r="V82" i="12"/>
  <c r="V74" i="12"/>
  <c r="V62" i="12"/>
  <c r="V46" i="12"/>
  <c r="V38" i="12"/>
  <c r="V30" i="12"/>
  <c r="V151" i="12"/>
  <c r="V141" i="12"/>
  <c r="V137" i="12"/>
  <c r="V113" i="12"/>
  <c r="V105" i="12"/>
  <c r="V93" i="12"/>
  <c r="V81" i="12"/>
  <c r="V73" i="12"/>
  <c r="V61" i="12"/>
  <c r="V45" i="12"/>
  <c r="V37" i="12"/>
  <c r="V29" i="12"/>
  <c r="V136" i="12"/>
  <c r="Z16" i="14"/>
  <c r="X16" i="14"/>
  <c r="V182" i="3"/>
  <c r="V178" i="3"/>
  <c r="V76" i="3"/>
  <c r="V128" i="3"/>
  <c r="V132" i="3"/>
  <c r="V136" i="3"/>
  <c r="V140" i="3"/>
  <c r="F20" i="8"/>
  <c r="X113" i="12"/>
  <c r="Z113" i="12" s="1"/>
  <c r="J182" i="3"/>
  <c r="V28" i="3"/>
  <c r="J32" i="3"/>
  <c r="V36" i="3"/>
  <c r="J40" i="3"/>
  <c r="V44" i="3"/>
  <c r="J48" i="3"/>
  <c r="V52" i="3"/>
  <c r="J56" i="3"/>
  <c r="V60" i="3"/>
  <c r="V64" i="3"/>
  <c r="V68" i="3"/>
  <c r="J72" i="3"/>
  <c r="V80" i="3"/>
  <c r="J84" i="3"/>
  <c r="J88" i="3"/>
  <c r="V92" i="3"/>
  <c r="J100" i="3"/>
  <c r="V104" i="3"/>
  <c r="V116" i="3"/>
  <c r="J118" i="3"/>
  <c r="V124" i="3"/>
  <c r="J128" i="3"/>
  <c r="J132" i="3"/>
  <c r="J136" i="3"/>
  <c r="J144" i="3"/>
  <c r="V148" i="3"/>
  <c r="J152" i="3"/>
  <c r="J156" i="3"/>
  <c r="V160" i="3"/>
  <c r="V164" i="3"/>
  <c r="J169" i="3"/>
  <c r="V170" i="3"/>
  <c r="T18" i="4"/>
  <c r="F33" i="4"/>
  <c r="J34" i="4"/>
  <c r="F36" i="4"/>
  <c r="Z25" i="7"/>
  <c r="X25" i="7"/>
  <c r="N19" i="9"/>
  <c r="L19" i="9"/>
  <c r="Z53" i="9"/>
  <c r="N59" i="9"/>
  <c r="L59" i="9"/>
  <c r="Z76" i="9"/>
  <c r="Z13" i="10"/>
  <c r="X13" i="10"/>
  <c r="N24" i="10"/>
  <c r="L24" i="10"/>
  <c r="Z34" i="11"/>
  <c r="X34" i="11"/>
  <c r="Z79" i="12"/>
  <c r="N93" i="12"/>
  <c r="V96" i="12"/>
  <c r="N103" i="12"/>
  <c r="N111" i="12"/>
  <c r="Z144" i="12"/>
  <c r="Z151" i="12"/>
  <c r="V156" i="12"/>
  <c r="L52" i="15"/>
  <c r="N52" i="15" s="1"/>
  <c r="N87" i="15"/>
  <c r="Z90" i="18"/>
  <c r="X90" i="18"/>
  <c r="V108" i="3"/>
  <c r="V166" i="3"/>
  <c r="F34" i="8"/>
  <c r="F31" i="8"/>
  <c r="F27" i="8"/>
  <c r="F24" i="8"/>
  <c r="F21" i="8"/>
  <c r="F18" i="8"/>
  <c r="F36" i="8"/>
  <c r="F33" i="8"/>
  <c r="F29" i="8"/>
  <c r="F25" i="8"/>
  <c r="D18" i="8"/>
  <c r="F15" i="8"/>
  <c r="L12" i="8"/>
  <c r="F22" i="8"/>
  <c r="P150" i="18"/>
  <c r="X150" i="18" s="1"/>
  <c r="X151" i="18"/>
  <c r="V29" i="3"/>
  <c r="J33" i="3"/>
  <c r="V37" i="3"/>
  <c r="J41" i="3"/>
  <c r="V45" i="3"/>
  <c r="J49" i="3"/>
  <c r="V53" i="3"/>
  <c r="J57" i="3"/>
  <c r="V69" i="3"/>
  <c r="J73" i="3"/>
  <c r="J77" i="3"/>
  <c r="V81" i="3"/>
  <c r="J85" i="3"/>
  <c r="V89" i="3"/>
  <c r="J91" i="3"/>
  <c r="J97" i="3"/>
  <c r="V101" i="3"/>
  <c r="J103" i="3"/>
  <c r="J109" i="3"/>
  <c r="J113" i="3"/>
  <c r="V117" i="3"/>
  <c r="J121" i="3"/>
  <c r="V125" i="3"/>
  <c r="V129" i="3"/>
  <c r="J133" i="3"/>
  <c r="J137" i="3"/>
  <c r="J141" i="3"/>
  <c r="J145" i="3"/>
  <c r="V149" i="3"/>
  <c r="J153" i="3"/>
  <c r="V157" i="3"/>
  <c r="J159" i="3"/>
  <c r="V161" i="3"/>
  <c r="J163" i="3"/>
  <c r="J172" i="3"/>
  <c r="V173" i="3"/>
  <c r="L34" i="4"/>
  <c r="F24" i="5"/>
  <c r="F21" i="5"/>
  <c r="F18" i="5"/>
  <c r="F36" i="5"/>
  <c r="F33" i="5"/>
  <c r="F29" i="5"/>
  <c r="F25" i="5"/>
  <c r="D18" i="5"/>
  <c r="F15" i="5"/>
  <c r="L12" i="5"/>
  <c r="F29" i="6"/>
  <c r="F26" i="6"/>
  <c r="F20" i="6"/>
  <c r="F16" i="6"/>
  <c r="F24" i="6"/>
  <c r="D16" i="6"/>
  <c r="L12" i="6"/>
  <c r="N16" i="6"/>
  <c r="L15" i="7"/>
  <c r="F18" i="7"/>
  <c r="Z29" i="7"/>
  <c r="X29" i="7"/>
  <c r="N18" i="9"/>
  <c r="L51" i="9"/>
  <c r="N51" i="9" s="1"/>
  <c r="Z63" i="9"/>
  <c r="V21" i="11"/>
  <c r="V18" i="11"/>
  <c r="V36" i="11"/>
  <c r="V33" i="11"/>
  <c r="V29" i="11"/>
  <c r="V25" i="11"/>
  <c r="T18" i="11"/>
  <c r="V15" i="11"/>
  <c r="V22" i="11"/>
  <c r="V20" i="11"/>
  <c r="V16" i="11"/>
  <c r="Z12" i="11"/>
  <c r="V34" i="11"/>
  <c r="V31" i="11"/>
  <c r="V27" i="11"/>
  <c r="X12" i="11"/>
  <c r="N21" i="11"/>
  <c r="L21" i="11"/>
  <c r="Z23" i="12"/>
  <c r="V52" i="12"/>
  <c r="N81" i="12"/>
  <c r="V84" i="12"/>
  <c r="Z85" i="12"/>
  <c r="N95" i="12"/>
  <c r="L95" i="12"/>
  <c r="Z109" i="12"/>
  <c r="N131" i="12"/>
  <c r="Z148" i="12"/>
  <c r="Z53" i="15"/>
  <c r="Z64" i="15"/>
  <c r="Z75" i="15"/>
  <c r="X75" i="15"/>
  <c r="V75" i="15"/>
  <c r="V48" i="3"/>
  <c r="V72" i="3"/>
  <c r="V112" i="3"/>
  <c r="N12" i="3"/>
  <c r="J26" i="3"/>
  <c r="V30" i="3"/>
  <c r="J34" i="3"/>
  <c r="V38" i="3"/>
  <c r="J42" i="3"/>
  <c r="V46" i="3"/>
  <c r="J50" i="3"/>
  <c r="V54" i="3"/>
  <c r="J58" i="3"/>
  <c r="J64" i="3"/>
  <c r="J66" i="3"/>
  <c r="V70" i="3"/>
  <c r="J74" i="3"/>
  <c r="J78" i="3"/>
  <c r="V82" i="3"/>
  <c r="J86" i="3"/>
  <c r="V90" i="3"/>
  <c r="J94" i="3"/>
  <c r="J98" i="3"/>
  <c r="V102" i="3"/>
  <c r="J106" i="3"/>
  <c r="J110" i="3"/>
  <c r="V114" i="3"/>
  <c r="J116" i="3"/>
  <c r="V122" i="3"/>
  <c r="J124" i="3"/>
  <c r="V126" i="3"/>
  <c r="V130" i="3"/>
  <c r="V134" i="3"/>
  <c r="J138" i="3"/>
  <c r="J142" i="3"/>
  <c r="J146" i="3"/>
  <c r="V150" i="3"/>
  <c r="V154" i="3"/>
  <c r="V158" i="3"/>
  <c r="V162" i="3"/>
  <c r="J167" i="3"/>
  <c r="V168" i="3"/>
  <c r="J178" i="3"/>
  <c r="F20" i="4"/>
  <c r="J31" i="4"/>
  <c r="X33" i="4"/>
  <c r="J18" i="5"/>
  <c r="J36" i="5"/>
  <c r="J33" i="5"/>
  <c r="J29" i="5"/>
  <c r="J25" i="5"/>
  <c r="H18" i="5"/>
  <c r="J15" i="5"/>
  <c r="J22" i="5"/>
  <c r="N12" i="5"/>
  <c r="X15" i="5"/>
  <c r="X20" i="5"/>
  <c r="X25" i="5"/>
  <c r="J34" i="5"/>
  <c r="J24" i="6"/>
  <c r="J31" i="6"/>
  <c r="J28" i="6"/>
  <c r="J22" i="6"/>
  <c r="J18" i="6"/>
  <c r="J14" i="6"/>
  <c r="N12" i="6"/>
  <c r="X14" i="6"/>
  <c r="P27" i="7"/>
  <c r="Z22" i="7"/>
  <c r="X22" i="7"/>
  <c r="J27" i="7"/>
  <c r="Z33" i="7"/>
  <c r="X33" i="7"/>
  <c r="X15" i="8"/>
  <c r="P18" i="8"/>
  <c r="Z55" i="9"/>
  <c r="Z68" i="9"/>
  <c r="Z73" i="9"/>
  <c r="Z95" i="9"/>
  <c r="X95" i="9"/>
  <c r="V56" i="12"/>
  <c r="N83" i="12"/>
  <c r="L83" i="12"/>
  <c r="X93" i="12"/>
  <c r="Z93" i="12" s="1"/>
  <c r="V108" i="12"/>
  <c r="V140" i="12"/>
  <c r="N24" i="14"/>
  <c r="L24" i="14"/>
  <c r="V40" i="3"/>
  <c r="V56" i="3"/>
  <c r="V84" i="3"/>
  <c r="V88" i="3"/>
  <c r="V174" i="3"/>
  <c r="P12" i="3"/>
  <c r="J27" i="3"/>
  <c r="V31" i="3"/>
  <c r="J35" i="3"/>
  <c r="V39" i="3"/>
  <c r="J43" i="3"/>
  <c r="V47" i="3"/>
  <c r="J51" i="3"/>
  <c r="V55" i="3"/>
  <c r="J59" i="3"/>
  <c r="T62" i="3"/>
  <c r="V62" i="3" s="1"/>
  <c r="J67" i="3"/>
  <c r="V71" i="3"/>
  <c r="J75" i="3"/>
  <c r="J79" i="3"/>
  <c r="V83" i="3"/>
  <c r="V87" i="3"/>
  <c r="J89" i="3"/>
  <c r="J95" i="3"/>
  <c r="V99" i="3"/>
  <c r="J101" i="3"/>
  <c r="J107" i="3"/>
  <c r="J111" i="3"/>
  <c r="V115" i="3"/>
  <c r="J119" i="3"/>
  <c r="V123" i="3"/>
  <c r="V127" i="3"/>
  <c r="J129" i="3"/>
  <c r="V131" i="3"/>
  <c r="V135" i="3"/>
  <c r="J139" i="3"/>
  <c r="V143" i="3"/>
  <c r="J147" i="3"/>
  <c r="V151" i="3"/>
  <c r="V155" i="3"/>
  <c r="J157" i="3"/>
  <c r="D166" i="3"/>
  <c r="L166" i="3" s="1"/>
  <c r="N166" i="3" s="1"/>
  <c r="J170" i="3"/>
  <c r="V171" i="3"/>
  <c r="Z182" i="3"/>
  <c r="V183" i="3"/>
  <c r="F15" i="4"/>
  <c r="F16" i="4"/>
  <c r="X22" i="4"/>
  <c r="F29" i="4"/>
  <c r="L20" i="5"/>
  <c r="L34" i="5"/>
  <c r="Z28" i="6"/>
  <c r="J16" i="7"/>
  <c r="J31" i="7"/>
  <c r="Z89" i="9"/>
  <c r="V44" i="12"/>
  <c r="Z68" i="12"/>
  <c r="Z81" i="12"/>
  <c r="X81" i="12"/>
  <c r="L107" i="12"/>
  <c r="N107" i="12" s="1"/>
  <c r="Z131" i="12"/>
  <c r="L139" i="12"/>
  <c r="N139" i="12" s="1"/>
  <c r="X15" i="13"/>
  <c r="P18" i="13"/>
  <c r="Z13" i="14"/>
  <c r="X13" i="14"/>
  <c r="P12" i="15"/>
  <c r="Z21" i="15"/>
  <c r="J34" i="8"/>
  <c r="J19" i="9"/>
  <c r="J25" i="9"/>
  <c r="F26" i="9"/>
  <c r="J31" i="9"/>
  <c r="J37" i="9"/>
  <c r="F38" i="9"/>
  <c r="J45" i="9"/>
  <c r="J51" i="9"/>
  <c r="F54" i="9"/>
  <c r="F57" i="9"/>
  <c r="J59" i="9"/>
  <c r="F62" i="9"/>
  <c r="J65" i="9"/>
  <c r="F66" i="9"/>
  <c r="J69" i="9"/>
  <c r="F70" i="9"/>
  <c r="F74" i="9"/>
  <c r="J77" i="9"/>
  <c r="F78" i="9"/>
  <c r="J81" i="9"/>
  <c r="F82" i="9"/>
  <c r="V85" i="9"/>
  <c r="F90" i="9"/>
  <c r="R91" i="9"/>
  <c r="J93" i="9"/>
  <c r="F95" i="9"/>
  <c r="V95" i="9"/>
  <c r="J99" i="9"/>
  <c r="F101" i="9"/>
  <c r="V101" i="9"/>
  <c r="F20" i="10"/>
  <c r="J24" i="10"/>
  <c r="F27" i="11"/>
  <c r="F31" i="11"/>
  <c r="F34" i="11"/>
  <c r="J65" i="12"/>
  <c r="J69" i="12"/>
  <c r="J77" i="12"/>
  <c r="J83" i="12"/>
  <c r="J89" i="12"/>
  <c r="J95" i="12"/>
  <c r="J101" i="12"/>
  <c r="J107" i="12"/>
  <c r="J117" i="12"/>
  <c r="J121" i="12"/>
  <c r="J125" i="12"/>
  <c r="J129" i="12"/>
  <c r="J133" i="12"/>
  <c r="J139" i="12"/>
  <c r="J145" i="12"/>
  <c r="J149" i="12"/>
  <c r="J27" i="13"/>
  <c r="J31" i="13"/>
  <c r="J34" i="13"/>
  <c r="F16" i="14"/>
  <c r="F20" i="14"/>
  <c r="J24" i="14"/>
  <c r="J22" i="15"/>
  <c r="J30" i="15"/>
  <c r="J38" i="15"/>
  <c r="J46" i="15"/>
  <c r="J52" i="15"/>
  <c r="J54" i="15"/>
  <c r="J62" i="15"/>
  <c r="J66" i="15"/>
  <c r="J74" i="15"/>
  <c r="J78" i="15"/>
  <c r="J85" i="15"/>
  <c r="J89" i="15"/>
  <c r="Z93" i="15"/>
  <c r="Z96" i="15"/>
  <c r="N99" i="15"/>
  <c r="Z101" i="15"/>
  <c r="J104" i="15"/>
  <c r="X105" i="15"/>
  <c r="J120" i="15"/>
  <c r="J135" i="15"/>
  <c r="J153" i="15"/>
  <c r="P12" i="18"/>
  <c r="N70" i="18"/>
  <c r="Z93" i="18"/>
  <c r="N138" i="18"/>
  <c r="N37" i="21"/>
  <c r="J16" i="8"/>
  <c r="J20" i="8"/>
  <c r="F14" i="9"/>
  <c r="F18" i="9"/>
  <c r="J26" i="9"/>
  <c r="F27" i="9"/>
  <c r="J38" i="9"/>
  <c r="F39" i="9"/>
  <c r="F43" i="9"/>
  <c r="F46" i="9"/>
  <c r="J48" i="9"/>
  <c r="J54" i="9"/>
  <c r="J62" i="9"/>
  <c r="J66" i="9"/>
  <c r="F67" i="9"/>
  <c r="J70" i="9"/>
  <c r="F71" i="9"/>
  <c r="J74" i="9"/>
  <c r="F75" i="9"/>
  <c r="J78" i="9"/>
  <c r="J82" i="9"/>
  <c r="F83" i="9"/>
  <c r="F87" i="9"/>
  <c r="J90" i="9"/>
  <c r="P97" i="9"/>
  <c r="P18" i="10"/>
  <c r="J27" i="10"/>
  <c r="J31" i="10"/>
  <c r="J34" i="10"/>
  <c r="J56" i="12"/>
  <c r="J58" i="12"/>
  <c r="J66" i="12"/>
  <c r="J70" i="12"/>
  <c r="J78" i="12"/>
  <c r="J86" i="12"/>
  <c r="J90" i="12"/>
  <c r="J98" i="12"/>
  <c r="J102" i="12"/>
  <c r="J110" i="12"/>
  <c r="J122" i="12"/>
  <c r="J126" i="12"/>
  <c r="J130" i="12"/>
  <c r="J134" i="12"/>
  <c r="J146" i="12"/>
  <c r="J153" i="12"/>
  <c r="J16" i="13"/>
  <c r="J20" i="13"/>
  <c r="F22" i="13"/>
  <c r="P18" i="14"/>
  <c r="J27" i="14"/>
  <c r="J31" i="14"/>
  <c r="J34" i="14"/>
  <c r="D12" i="15"/>
  <c r="J23" i="15"/>
  <c r="J31" i="15"/>
  <c r="J39" i="15"/>
  <c r="J47" i="15"/>
  <c r="T50" i="15"/>
  <c r="J55" i="15"/>
  <c r="J63" i="15"/>
  <c r="Z105" i="15"/>
  <c r="N34" i="16"/>
  <c r="L34" i="16"/>
  <c r="Z16" i="17"/>
  <c r="X16" i="17"/>
  <c r="Z20" i="17"/>
  <c r="X20" i="17"/>
  <c r="T159" i="18"/>
  <c r="Z18" i="20"/>
  <c r="Z15" i="30"/>
  <c r="X15" i="30"/>
  <c r="T75" i="31"/>
  <c r="L104" i="34"/>
  <c r="N104" i="34" s="1"/>
  <c r="L16" i="8"/>
  <c r="L20" i="8"/>
  <c r="X22" i="8"/>
  <c r="L12" i="9"/>
  <c r="X14" i="9"/>
  <c r="X18" i="9"/>
  <c r="Z18" i="9" s="1"/>
  <c r="F20" i="9"/>
  <c r="J27" i="9"/>
  <c r="F28" i="9"/>
  <c r="F32" i="9"/>
  <c r="J39" i="9"/>
  <c r="F40" i="9"/>
  <c r="J43" i="9"/>
  <c r="X46" i="9"/>
  <c r="Z46" i="9" s="1"/>
  <c r="L48" i="9"/>
  <c r="N48" i="9" s="1"/>
  <c r="F52" i="9"/>
  <c r="F55" i="9"/>
  <c r="J57" i="9"/>
  <c r="F60" i="9"/>
  <c r="F63" i="9"/>
  <c r="J67" i="9"/>
  <c r="J71" i="9"/>
  <c r="F72" i="9"/>
  <c r="J75" i="9"/>
  <c r="F79" i="9"/>
  <c r="V79" i="9"/>
  <c r="J83" i="9"/>
  <c r="F84" i="9"/>
  <c r="J87" i="9"/>
  <c r="F88" i="9"/>
  <c r="R89" i="9"/>
  <c r="F91" i="9"/>
  <c r="V91" i="9"/>
  <c r="R92" i="9"/>
  <c r="J95" i="9"/>
  <c r="R97" i="9"/>
  <c r="J101" i="9"/>
  <c r="R104" i="9"/>
  <c r="J16" i="10"/>
  <c r="J20" i="10"/>
  <c r="F22" i="10"/>
  <c r="L34" i="10"/>
  <c r="X16" i="11"/>
  <c r="P18" i="11"/>
  <c r="X20" i="11"/>
  <c r="L24" i="11"/>
  <c r="D12" i="12"/>
  <c r="J51" i="12"/>
  <c r="L56" i="12"/>
  <c r="N56" i="12" s="1"/>
  <c r="J59" i="12"/>
  <c r="J67" i="12"/>
  <c r="J71" i="12"/>
  <c r="J81" i="12"/>
  <c r="J87" i="12"/>
  <c r="J93" i="12"/>
  <c r="J99" i="12"/>
  <c r="J105" i="12"/>
  <c r="J113" i="12"/>
  <c r="X118" i="12"/>
  <c r="Z118" i="12" s="1"/>
  <c r="J127" i="12"/>
  <c r="J135" i="12"/>
  <c r="J143" i="12"/>
  <c r="J147" i="12"/>
  <c r="J151" i="12"/>
  <c r="J156" i="12"/>
  <c r="L12" i="13"/>
  <c r="F15" i="13"/>
  <c r="L16" i="13"/>
  <c r="D18" i="13"/>
  <c r="T18" i="13"/>
  <c r="L20" i="13"/>
  <c r="X22" i="13"/>
  <c r="F25" i="13"/>
  <c r="F29" i="13"/>
  <c r="F33" i="13"/>
  <c r="F36" i="13"/>
  <c r="J16" i="14"/>
  <c r="J20" i="14"/>
  <c r="F22" i="14"/>
  <c r="L34" i="14"/>
  <c r="J145" i="15"/>
  <c r="J108" i="15"/>
  <c r="J100" i="15"/>
  <c r="J141" i="15"/>
  <c r="J137" i="15"/>
  <c r="J131" i="15"/>
  <c r="J121" i="15"/>
  <c r="J117" i="15"/>
  <c r="J105" i="15"/>
  <c r="J93" i="15"/>
  <c r="J81" i="15"/>
  <c r="J147" i="15"/>
  <c r="J134" i="15"/>
  <c r="J130" i="15"/>
  <c r="J124" i="15"/>
  <c r="J112" i="15"/>
  <c r="J102" i="15"/>
  <c r="J96" i="15"/>
  <c r="J90" i="15"/>
  <c r="J84" i="15"/>
  <c r="J133" i="15"/>
  <c r="J129" i="15"/>
  <c r="J107" i="15"/>
  <c r="J99" i="15"/>
  <c r="J87" i="15"/>
  <c r="J75" i="15"/>
  <c r="J149" i="15"/>
  <c r="J144" i="15"/>
  <c r="J140" i="15"/>
  <c r="J136" i="15"/>
  <c r="J128" i="15"/>
  <c r="J146" i="15"/>
  <c r="J139" i="15"/>
  <c r="J127" i="15"/>
  <c r="J123" i="15"/>
  <c r="J119" i="15"/>
  <c r="J115" i="15"/>
  <c r="J111" i="15"/>
  <c r="J101" i="15"/>
  <c r="J95" i="15"/>
  <c r="J142" i="15"/>
  <c r="J138" i="15"/>
  <c r="J132" i="15"/>
  <c r="J126" i="15"/>
  <c r="J122" i="15"/>
  <c r="J118" i="15"/>
  <c r="J114" i="15"/>
  <c r="J110" i="15"/>
  <c r="J106" i="15"/>
  <c r="J98" i="15"/>
  <c r="J94" i="15"/>
  <c r="J86" i="15"/>
  <c r="J24" i="15"/>
  <c r="J32" i="15"/>
  <c r="J40" i="15"/>
  <c r="J48" i="15"/>
  <c r="J56" i="15"/>
  <c r="V64" i="15"/>
  <c r="J68" i="15"/>
  <c r="J79" i="15"/>
  <c r="J83" i="15"/>
  <c r="Z87" i="15"/>
  <c r="N107" i="15"/>
  <c r="Z121" i="15"/>
  <c r="N24" i="17"/>
  <c r="L24" i="17"/>
  <c r="X70" i="18"/>
  <c r="Z70" i="18" s="1"/>
  <c r="N95" i="18"/>
  <c r="Z105" i="18"/>
  <c r="Z113" i="18"/>
  <c r="N118" i="18"/>
  <c r="Z150" i="18"/>
  <c r="N15" i="19"/>
  <c r="L15" i="19"/>
  <c r="N25" i="19"/>
  <c r="L25" i="19"/>
  <c r="P12" i="21"/>
  <c r="X15" i="21"/>
  <c r="Z15" i="21" s="1"/>
  <c r="Z26" i="21"/>
  <c r="H27" i="24"/>
  <c r="V18" i="4"/>
  <c r="R24" i="4"/>
  <c r="V15" i="5"/>
  <c r="T18" i="5"/>
  <c r="R21" i="5"/>
  <c r="V25" i="5"/>
  <c r="V29" i="5"/>
  <c r="V33" i="5"/>
  <c r="V36" i="5"/>
  <c r="P16" i="6"/>
  <c r="R27" i="7"/>
  <c r="R31" i="7"/>
  <c r="R34" i="7"/>
  <c r="N12" i="8"/>
  <c r="V18" i="8"/>
  <c r="J22" i="8"/>
  <c r="N12" i="9"/>
  <c r="J14" i="9"/>
  <c r="J18" i="9"/>
  <c r="J20" i="9"/>
  <c r="F21" i="9"/>
  <c r="V24" i="9"/>
  <c r="J28" i="9"/>
  <c r="F29" i="9"/>
  <c r="J32" i="9"/>
  <c r="F33" i="9"/>
  <c r="V36" i="9"/>
  <c r="R37" i="9"/>
  <c r="J40" i="9"/>
  <c r="F41" i="9"/>
  <c r="R42" i="9"/>
  <c r="F44" i="9"/>
  <c r="V44" i="9"/>
  <c r="R45" i="9"/>
  <c r="J46" i="9"/>
  <c r="F49" i="9"/>
  <c r="J52" i="9"/>
  <c r="V56" i="9"/>
  <c r="J60" i="9"/>
  <c r="V64" i="9"/>
  <c r="R65" i="9"/>
  <c r="F68" i="9"/>
  <c r="V68" i="9"/>
  <c r="R69" i="9"/>
  <c r="J72" i="9"/>
  <c r="F76" i="9"/>
  <c r="V76" i="9"/>
  <c r="R77" i="9"/>
  <c r="V80" i="9"/>
  <c r="R81" i="9"/>
  <c r="J84" i="9"/>
  <c r="F85" i="9"/>
  <c r="R86" i="9"/>
  <c r="J88" i="9"/>
  <c r="V92" i="9"/>
  <c r="R93" i="9"/>
  <c r="R99" i="9"/>
  <c r="L12" i="10"/>
  <c r="F15" i="10"/>
  <c r="D18" i="10"/>
  <c r="T18" i="10"/>
  <c r="R21" i="10"/>
  <c r="F25" i="10"/>
  <c r="F29" i="10"/>
  <c r="F33" i="10"/>
  <c r="F36" i="10"/>
  <c r="J16" i="11"/>
  <c r="J20" i="11"/>
  <c r="F22" i="11"/>
  <c r="J28" i="12"/>
  <c r="J36" i="12"/>
  <c r="J44" i="12"/>
  <c r="J52" i="12"/>
  <c r="J60" i="12"/>
  <c r="J72" i="12"/>
  <c r="J84" i="12"/>
  <c r="J96" i="12"/>
  <c r="J108" i="12"/>
  <c r="J118" i="12"/>
  <c r="J136" i="12"/>
  <c r="J140" i="12"/>
  <c r="N12" i="13"/>
  <c r="F18" i="13"/>
  <c r="V18" i="13"/>
  <c r="J22" i="13"/>
  <c r="L12" i="14"/>
  <c r="F15" i="14"/>
  <c r="D18" i="14"/>
  <c r="T18" i="14"/>
  <c r="R21" i="14"/>
  <c r="F25" i="14"/>
  <c r="F29" i="14"/>
  <c r="F33" i="14"/>
  <c r="F36" i="14"/>
  <c r="X16" i="15"/>
  <c r="V21" i="15"/>
  <c r="J25" i="15"/>
  <c r="J33" i="15"/>
  <c r="J41" i="15"/>
  <c r="H50" i="15"/>
  <c r="V53" i="15"/>
  <c r="J57" i="15"/>
  <c r="J69" i="15"/>
  <c r="V73" i="15"/>
  <c r="L79" i="15"/>
  <c r="N79" i="15" s="1"/>
  <c r="J80" i="15"/>
  <c r="J82" i="15"/>
  <c r="V87" i="15"/>
  <c r="J97" i="15"/>
  <c r="J103" i="15"/>
  <c r="J125" i="15"/>
  <c r="Z141" i="15"/>
  <c r="N144" i="15"/>
  <c r="Z81" i="18"/>
  <c r="X102" i="18"/>
  <c r="Z102" i="18" s="1"/>
  <c r="N130" i="18"/>
  <c r="F20" i="21"/>
  <c r="V21" i="4"/>
  <c r="R27" i="4"/>
  <c r="R31" i="4"/>
  <c r="R34" i="4"/>
  <c r="V18" i="5"/>
  <c r="R24" i="5"/>
  <c r="R16" i="6"/>
  <c r="R20" i="6"/>
  <c r="R26" i="6"/>
  <c r="R16" i="7"/>
  <c r="R20" i="7"/>
  <c r="V24" i="7"/>
  <c r="J15" i="8"/>
  <c r="H18" i="8"/>
  <c r="V21" i="8"/>
  <c r="J25" i="8"/>
  <c r="R27" i="8"/>
  <c r="J29" i="8"/>
  <c r="R31" i="8"/>
  <c r="J33" i="8"/>
  <c r="J36" i="8"/>
  <c r="D16" i="9"/>
  <c r="T16" i="9"/>
  <c r="X16" i="9" s="1"/>
  <c r="R19" i="9"/>
  <c r="J21" i="9"/>
  <c r="F22" i="9"/>
  <c r="V25" i="9"/>
  <c r="R26" i="9"/>
  <c r="J29" i="9"/>
  <c r="F30" i="9"/>
  <c r="R31" i="9"/>
  <c r="J33" i="9"/>
  <c r="F34" i="9"/>
  <c r="V37" i="9"/>
  <c r="R38" i="9"/>
  <c r="J41" i="9"/>
  <c r="V45" i="9"/>
  <c r="J49" i="9"/>
  <c r="F50" i="9"/>
  <c r="R51" i="9"/>
  <c r="F53" i="9"/>
  <c r="V53" i="9"/>
  <c r="R54" i="9"/>
  <c r="J55" i="9"/>
  <c r="F58" i="9"/>
  <c r="R59" i="9"/>
  <c r="F61" i="9"/>
  <c r="V61" i="9"/>
  <c r="R62" i="9"/>
  <c r="J63" i="9"/>
  <c r="V65" i="9"/>
  <c r="R66" i="9"/>
  <c r="V69" i="9"/>
  <c r="R70" i="9"/>
  <c r="F73" i="9"/>
  <c r="V73" i="9"/>
  <c r="R74" i="9"/>
  <c r="V77" i="9"/>
  <c r="R78" i="9"/>
  <c r="J79" i="9"/>
  <c r="V81" i="9"/>
  <c r="R82" i="9"/>
  <c r="J85" i="9"/>
  <c r="F89" i="9"/>
  <c r="V89" i="9"/>
  <c r="R90" i="9"/>
  <c r="J91" i="9"/>
  <c r="V93" i="9"/>
  <c r="F97" i="9"/>
  <c r="V97" i="9"/>
  <c r="V99" i="9"/>
  <c r="F104" i="9"/>
  <c r="V104" i="9"/>
  <c r="N12" i="10"/>
  <c r="F18" i="10"/>
  <c r="V18" i="10"/>
  <c r="J22" i="10"/>
  <c r="R24" i="10"/>
  <c r="L12" i="11"/>
  <c r="F15" i="11"/>
  <c r="D18" i="11"/>
  <c r="R21" i="11"/>
  <c r="F25" i="11"/>
  <c r="F29" i="11"/>
  <c r="F33" i="11"/>
  <c r="F36" i="11"/>
  <c r="J23" i="12"/>
  <c r="J29" i="12"/>
  <c r="J37" i="12"/>
  <c r="J45" i="12"/>
  <c r="H54" i="12"/>
  <c r="J61" i="12"/>
  <c r="J73" i="12"/>
  <c r="J79" i="12"/>
  <c r="J91" i="12"/>
  <c r="J103" i="12"/>
  <c r="J111" i="12"/>
  <c r="J123" i="12"/>
  <c r="J131" i="12"/>
  <c r="J137" i="12"/>
  <c r="J141" i="12"/>
  <c r="X152" i="12"/>
  <c r="Z152" i="12" s="1"/>
  <c r="J154" i="12"/>
  <c r="J15" i="13"/>
  <c r="H18" i="13"/>
  <c r="F21" i="13"/>
  <c r="V21" i="13"/>
  <c r="J25" i="13"/>
  <c r="R27" i="13"/>
  <c r="J29" i="13"/>
  <c r="R31" i="13"/>
  <c r="J33" i="13"/>
  <c r="J36" i="13"/>
  <c r="N12" i="14"/>
  <c r="F18" i="14"/>
  <c r="V18" i="14"/>
  <c r="J22" i="14"/>
  <c r="R24" i="14"/>
  <c r="V22" i="15"/>
  <c r="J26" i="15"/>
  <c r="V30" i="15"/>
  <c r="J34" i="15"/>
  <c r="V38" i="15"/>
  <c r="J42" i="15"/>
  <c r="V46" i="15"/>
  <c r="J50" i="15"/>
  <c r="V54" i="15"/>
  <c r="J58" i="15"/>
  <c r="V62" i="15"/>
  <c r="J64" i="15"/>
  <c r="V66" i="15"/>
  <c r="J70" i="15"/>
  <c r="V74" i="15"/>
  <c r="J76" i="15"/>
  <c r="V77" i="15"/>
  <c r="V78" i="15"/>
  <c r="V89" i="15"/>
  <c r="J113" i="15"/>
  <c r="J116" i="15"/>
  <c r="Z117" i="15"/>
  <c r="V133" i="15"/>
  <c r="Z144" i="15"/>
  <c r="J148" i="15"/>
  <c r="V149" i="15"/>
  <c r="X13" i="17"/>
  <c r="N107" i="18"/>
  <c r="Z118" i="18"/>
  <c r="X118" i="18"/>
  <c r="N29" i="19"/>
  <c r="L29" i="19"/>
  <c r="Z18" i="21"/>
  <c r="Z91" i="21"/>
  <c r="X91" i="21"/>
  <c r="R16" i="4"/>
  <c r="V24" i="4"/>
  <c r="V21" i="5"/>
  <c r="R27" i="5"/>
  <c r="R31" i="5"/>
  <c r="R34" i="5"/>
  <c r="X12" i="7"/>
  <c r="V27" i="7"/>
  <c r="V31" i="7"/>
  <c r="V34" i="7"/>
  <c r="J18" i="8"/>
  <c r="Z18" i="8"/>
  <c r="V24" i="8"/>
  <c r="F16" i="9"/>
  <c r="V16" i="9"/>
  <c r="J22" i="9"/>
  <c r="F23" i="9"/>
  <c r="V26" i="9"/>
  <c r="J30" i="9"/>
  <c r="J34" i="9"/>
  <c r="F35" i="9"/>
  <c r="V38" i="9"/>
  <c r="R39" i="9"/>
  <c r="F42" i="9"/>
  <c r="V42" i="9"/>
  <c r="R43" i="9"/>
  <c r="J44" i="9"/>
  <c r="F47" i="9"/>
  <c r="R48" i="9"/>
  <c r="J50" i="9"/>
  <c r="V54" i="9"/>
  <c r="J58" i="9"/>
  <c r="V62" i="9"/>
  <c r="V66" i="9"/>
  <c r="R67" i="9"/>
  <c r="J68" i="9"/>
  <c r="V70" i="9"/>
  <c r="R71" i="9"/>
  <c r="V74" i="9"/>
  <c r="R75" i="9"/>
  <c r="J76" i="9"/>
  <c r="V78" i="9"/>
  <c r="V82" i="9"/>
  <c r="R83" i="9"/>
  <c r="F86" i="9"/>
  <c r="V86" i="9"/>
  <c r="R87" i="9"/>
  <c r="V90" i="9"/>
  <c r="J15" i="10"/>
  <c r="H18" i="10"/>
  <c r="F21" i="10"/>
  <c r="J25" i="10"/>
  <c r="R27" i="10"/>
  <c r="J29" i="10"/>
  <c r="R31" i="10"/>
  <c r="J33" i="10"/>
  <c r="R34" i="10"/>
  <c r="J36" i="10"/>
  <c r="N12" i="11"/>
  <c r="F18" i="11"/>
  <c r="J22" i="11"/>
  <c r="J30" i="12"/>
  <c r="J38" i="12"/>
  <c r="J46" i="12"/>
  <c r="J54" i="12"/>
  <c r="J62" i="12"/>
  <c r="J68" i="12"/>
  <c r="J74" i="12"/>
  <c r="J82" i="12"/>
  <c r="J88" i="12"/>
  <c r="J94" i="12"/>
  <c r="J100" i="12"/>
  <c r="J106" i="12"/>
  <c r="J114" i="12"/>
  <c r="J128" i="12"/>
  <c r="J138" i="12"/>
  <c r="J144" i="12"/>
  <c r="J148" i="12"/>
  <c r="J18" i="13"/>
  <c r="F24" i="13"/>
  <c r="V24" i="13"/>
  <c r="J15" i="14"/>
  <c r="H18" i="14"/>
  <c r="F21" i="14"/>
  <c r="J25" i="14"/>
  <c r="R27" i="14"/>
  <c r="J29" i="14"/>
  <c r="R31" i="14"/>
  <c r="J33" i="14"/>
  <c r="R34" i="14"/>
  <c r="J36" i="14"/>
  <c r="J21" i="15"/>
  <c r="J27" i="15"/>
  <c r="J35" i="15"/>
  <c r="J43" i="15"/>
  <c r="J53" i="15"/>
  <c r="J59" i="15"/>
  <c r="V67" i="15"/>
  <c r="J71" i="15"/>
  <c r="V84" i="15"/>
  <c r="L87" i="15"/>
  <c r="Z89" i="15"/>
  <c r="J92" i="15"/>
  <c r="J109" i="15"/>
  <c r="L132" i="15"/>
  <c r="N132" i="15" s="1"/>
  <c r="Z130" i="18"/>
  <c r="X130" i="18"/>
  <c r="F83" i="21"/>
  <c r="F55" i="21"/>
  <c r="F50" i="21"/>
  <c r="F47" i="21"/>
  <c r="F39" i="21"/>
  <c r="F35" i="21"/>
  <c r="F27" i="21"/>
  <c r="F19" i="21"/>
  <c r="F86" i="21"/>
  <c r="F85" i="21"/>
  <c r="F84" i="21"/>
  <c r="F77" i="21"/>
  <c r="F73" i="21"/>
  <c r="F70" i="21"/>
  <c r="F66" i="21"/>
  <c r="F61" i="21"/>
  <c r="F58" i="21"/>
  <c r="F46" i="21"/>
  <c r="F38" i="21"/>
  <c r="F34" i="21"/>
  <c r="F25" i="21"/>
  <c r="F69" i="21"/>
  <c r="F52" i="21"/>
  <c r="F49" i="21"/>
  <c r="F45" i="21"/>
  <c r="F33" i="21"/>
  <c r="F95" i="21"/>
  <c r="F76" i="21"/>
  <c r="F72" i="21"/>
  <c r="F68" i="21"/>
  <c r="F63" i="21"/>
  <c r="F60" i="21"/>
  <c r="F44" i="21"/>
  <c r="F32" i="21"/>
  <c r="F91" i="21"/>
  <c r="F89" i="21"/>
  <c r="F82" i="21"/>
  <c r="F81" i="21"/>
  <c r="F80" i="21"/>
  <c r="F79" i="21"/>
  <c r="F75" i="21"/>
  <c r="F54" i="21"/>
  <c r="F51" i="21"/>
  <c r="F43" i="21"/>
  <c r="F31" i="21"/>
  <c r="F26" i="21"/>
  <c r="F18" i="21"/>
  <c r="F78" i="21"/>
  <c r="F74" i="21"/>
  <c r="F65" i="21"/>
  <c r="F62" i="21"/>
  <c r="F57" i="21"/>
  <c r="F42" i="21"/>
  <c r="F37" i="21"/>
  <c r="F30" i="21"/>
  <c r="F88" i="21"/>
  <c r="F87" i="21"/>
  <c r="F53" i="21"/>
  <c r="F48" i="21"/>
  <c r="F41" i="21"/>
  <c r="F29" i="21"/>
  <c r="D23" i="21"/>
  <c r="F23" i="21" s="1"/>
  <c r="F21" i="21"/>
  <c r="X13" i="25"/>
  <c r="Z13" i="25" s="1"/>
  <c r="P12" i="25"/>
  <c r="X12" i="4"/>
  <c r="V27" i="4"/>
  <c r="V31" i="4"/>
  <c r="R16" i="5"/>
  <c r="V16" i="6"/>
  <c r="V20" i="6"/>
  <c r="V26" i="6"/>
  <c r="V16" i="7"/>
  <c r="X12" i="8"/>
  <c r="V27" i="8"/>
  <c r="V31" i="8"/>
  <c r="X12" i="9"/>
  <c r="H16" i="9"/>
  <c r="F19" i="9"/>
  <c r="V19" i="9"/>
  <c r="R20" i="9"/>
  <c r="J23" i="9"/>
  <c r="F24" i="9"/>
  <c r="V27" i="9"/>
  <c r="R28" i="9"/>
  <c r="F31" i="9"/>
  <c r="V31" i="9"/>
  <c r="R32" i="9"/>
  <c r="J35" i="9"/>
  <c r="F36" i="9"/>
  <c r="V39" i="9"/>
  <c r="R40" i="9"/>
  <c r="V43" i="9"/>
  <c r="J47" i="9"/>
  <c r="F51" i="9"/>
  <c r="V51" i="9"/>
  <c r="R52" i="9"/>
  <c r="J53" i="9"/>
  <c r="F56" i="9"/>
  <c r="R57" i="9"/>
  <c r="F59" i="9"/>
  <c r="V59" i="9"/>
  <c r="R60" i="9"/>
  <c r="J61" i="9"/>
  <c r="F64" i="9"/>
  <c r="V67" i="9"/>
  <c r="V71" i="9"/>
  <c r="R72" i="9"/>
  <c r="J73" i="9"/>
  <c r="V75" i="9"/>
  <c r="F80" i="9"/>
  <c r="V83" i="9"/>
  <c r="R84" i="9"/>
  <c r="R88" i="9"/>
  <c r="J89" i="9"/>
  <c r="R95" i="9"/>
  <c r="J97" i="9"/>
  <c r="R16" i="10"/>
  <c r="J15" i="11"/>
  <c r="H18" i="11"/>
  <c r="J25" i="11"/>
  <c r="R27" i="11"/>
  <c r="J29" i="11"/>
  <c r="R31" i="11"/>
  <c r="J33" i="11"/>
  <c r="P12" i="12"/>
  <c r="J31" i="12"/>
  <c r="J39" i="12"/>
  <c r="J47" i="12"/>
  <c r="J57" i="12"/>
  <c r="J63" i="12"/>
  <c r="J75" i="12"/>
  <c r="J85" i="12"/>
  <c r="J97" i="12"/>
  <c r="J109" i="12"/>
  <c r="J115" i="12"/>
  <c r="J119" i="12"/>
  <c r="X12" i="13"/>
  <c r="F27" i="13"/>
  <c r="V27" i="13"/>
  <c r="F31" i="13"/>
  <c r="V31" i="13"/>
  <c r="R16" i="14"/>
  <c r="V146" i="15"/>
  <c r="V140" i="15"/>
  <c r="V136" i="15"/>
  <c r="V132" i="15"/>
  <c r="V128" i="15"/>
  <c r="V120" i="15"/>
  <c r="V116" i="15"/>
  <c r="V104" i="15"/>
  <c r="V139" i="15"/>
  <c r="V135" i="15"/>
  <c r="V127" i="15"/>
  <c r="V123" i="15"/>
  <c r="V119" i="15"/>
  <c r="V115" i="15"/>
  <c r="V111" i="15"/>
  <c r="V103" i="15"/>
  <c r="V95" i="15"/>
  <c r="V91" i="15"/>
  <c r="V83" i="15"/>
  <c r="V79" i="15"/>
  <c r="V148" i="15"/>
  <c r="V142" i="15"/>
  <c r="V138" i="15"/>
  <c r="V126" i="15"/>
  <c r="V122" i="15"/>
  <c r="V118" i="15"/>
  <c r="V114" i="15"/>
  <c r="V110" i="15"/>
  <c r="V106" i="15"/>
  <c r="V98" i="15"/>
  <c r="V94" i="15"/>
  <c r="V86" i="15"/>
  <c r="V82" i="15"/>
  <c r="V153" i="15"/>
  <c r="V145" i="15"/>
  <c r="V141" i="15"/>
  <c r="V137" i="15"/>
  <c r="V125" i="15"/>
  <c r="V121" i="15"/>
  <c r="V117" i="15"/>
  <c r="V113" i="15"/>
  <c r="V109" i="15"/>
  <c r="V105" i="15"/>
  <c r="V97" i="15"/>
  <c r="V93" i="15"/>
  <c r="V85" i="15"/>
  <c r="V81" i="15"/>
  <c r="V124" i="15"/>
  <c r="V147" i="15"/>
  <c r="V131" i="15"/>
  <c r="V107" i="15"/>
  <c r="V99" i="15"/>
  <c r="V144" i="15"/>
  <c r="V134" i="15"/>
  <c r="V130" i="15"/>
  <c r="V102" i="15"/>
  <c r="V90" i="15"/>
  <c r="V24" i="15"/>
  <c r="J28" i="15"/>
  <c r="V32" i="15"/>
  <c r="J36" i="15"/>
  <c r="V40" i="15"/>
  <c r="J44" i="15"/>
  <c r="V48" i="15"/>
  <c r="V52" i="15"/>
  <c r="V56" i="15"/>
  <c r="J60" i="15"/>
  <c r="V68" i="15"/>
  <c r="J72" i="15"/>
  <c r="N77" i="15"/>
  <c r="V80" i="15"/>
  <c r="X81" i="15"/>
  <c r="Z81" i="15" s="1"/>
  <c r="J88" i="15"/>
  <c r="N91" i="15"/>
  <c r="L91" i="15"/>
  <c r="V129" i="15"/>
  <c r="Z21" i="19"/>
  <c r="X21" i="19"/>
  <c r="N33" i="19"/>
  <c r="L33" i="19"/>
  <c r="N22" i="20"/>
  <c r="L22" i="20"/>
  <c r="Z48" i="21"/>
  <c r="X48" i="21"/>
  <c r="N50" i="21"/>
  <c r="L50" i="21"/>
  <c r="N65" i="21"/>
  <c r="N66" i="28"/>
  <c r="X101" i="15"/>
  <c r="L103" i="15"/>
  <c r="N103" i="15" s="1"/>
  <c r="P18" i="16"/>
  <c r="R25" i="16"/>
  <c r="J27" i="16"/>
  <c r="R29" i="16"/>
  <c r="J31" i="16"/>
  <c r="R33" i="16"/>
  <c r="J34" i="16"/>
  <c r="R36" i="16"/>
  <c r="Z12" i="17"/>
  <c r="F16" i="17"/>
  <c r="V16" i="17"/>
  <c r="F20" i="17"/>
  <c r="V20" i="17"/>
  <c r="R22" i="17"/>
  <c r="J24" i="17"/>
  <c r="J22" i="18"/>
  <c r="V26" i="18"/>
  <c r="J30" i="18"/>
  <c r="V34" i="18"/>
  <c r="J38" i="18"/>
  <c r="V42" i="18"/>
  <c r="J46" i="18"/>
  <c r="V50" i="18"/>
  <c r="J54" i="18"/>
  <c r="V56" i="18"/>
  <c r="J62" i="18"/>
  <c r="V66" i="18"/>
  <c r="V70" i="18"/>
  <c r="J74" i="18"/>
  <c r="V78" i="18"/>
  <c r="V82" i="18"/>
  <c r="J86" i="18"/>
  <c r="V90" i="18"/>
  <c r="V94" i="18"/>
  <c r="J98" i="18"/>
  <c r="V102" i="18"/>
  <c r="V106" i="18"/>
  <c r="J110" i="18"/>
  <c r="V114" i="18"/>
  <c r="V118" i="18"/>
  <c r="J122" i="18"/>
  <c r="J126" i="18"/>
  <c r="V130" i="18"/>
  <c r="J134" i="18"/>
  <c r="J142" i="18"/>
  <c r="J146" i="18"/>
  <c r="J150" i="18"/>
  <c r="J155" i="18"/>
  <c r="V156" i="18"/>
  <c r="J15" i="19"/>
  <c r="H18" i="19"/>
  <c r="F21" i="19"/>
  <c r="V21" i="19"/>
  <c r="J25" i="19"/>
  <c r="R27" i="19"/>
  <c r="J29" i="19"/>
  <c r="R31" i="19"/>
  <c r="J33" i="19"/>
  <c r="R34" i="19"/>
  <c r="J36" i="19"/>
  <c r="N12" i="20"/>
  <c r="V18" i="20"/>
  <c r="J22" i="20"/>
  <c r="R24" i="20"/>
  <c r="N12" i="21"/>
  <c r="J20" i="21"/>
  <c r="T23" i="21"/>
  <c r="J28" i="21"/>
  <c r="V32" i="21"/>
  <c r="J36" i="21"/>
  <c r="J40" i="21"/>
  <c r="V44" i="21"/>
  <c r="V48" i="21"/>
  <c r="J50" i="21"/>
  <c r="J56" i="21"/>
  <c r="V60" i="21"/>
  <c r="J64" i="21"/>
  <c r="V68" i="21"/>
  <c r="V72" i="21"/>
  <c r="V76" i="21"/>
  <c r="V85" i="21"/>
  <c r="V91" i="21"/>
  <c r="L15" i="22"/>
  <c r="D18" i="22"/>
  <c r="Z15" i="22"/>
  <c r="L24" i="22"/>
  <c r="X22" i="23"/>
  <c r="Z34" i="25"/>
  <c r="N64" i="25"/>
  <c r="Z78" i="25"/>
  <c r="Z19" i="28"/>
  <c r="L42" i="28"/>
  <c r="N42" i="28" s="1"/>
  <c r="Z64" i="28"/>
  <c r="N76" i="28"/>
  <c r="X119" i="28"/>
  <c r="Z119" i="28" s="1"/>
  <c r="P117" i="28"/>
  <c r="X117" i="28" s="1"/>
  <c r="Z117" i="28" s="1"/>
  <c r="J34" i="30"/>
  <c r="J31" i="30"/>
  <c r="J27" i="30"/>
  <c r="J24" i="30"/>
  <c r="J21" i="30"/>
  <c r="J18" i="30"/>
  <c r="J36" i="30"/>
  <c r="J33" i="30"/>
  <c r="J29" i="30"/>
  <c r="J25" i="30"/>
  <c r="H18" i="30"/>
  <c r="J15" i="30"/>
  <c r="J22" i="30"/>
  <c r="N12" i="30"/>
  <c r="L12" i="30"/>
  <c r="N56" i="31"/>
  <c r="L56" i="31"/>
  <c r="J16" i="16"/>
  <c r="J20" i="16"/>
  <c r="R25" i="17"/>
  <c r="J27" i="17"/>
  <c r="R29" i="17"/>
  <c r="J31" i="17"/>
  <c r="R33" i="17"/>
  <c r="J34" i="17"/>
  <c r="R36" i="17"/>
  <c r="D12" i="18"/>
  <c r="J23" i="18"/>
  <c r="V27" i="18"/>
  <c r="J31" i="18"/>
  <c r="V35" i="18"/>
  <c r="J39" i="18"/>
  <c r="V43" i="18"/>
  <c r="J47" i="18"/>
  <c r="V51" i="18"/>
  <c r="H56" i="18"/>
  <c r="V59" i="18"/>
  <c r="J63" i="18"/>
  <c r="V67" i="18"/>
  <c r="V71" i="18"/>
  <c r="J75" i="18"/>
  <c r="V79" i="18"/>
  <c r="J81" i="18"/>
  <c r="V87" i="18"/>
  <c r="V91" i="18"/>
  <c r="J93" i="18"/>
  <c r="V99" i="18"/>
  <c r="V103" i="18"/>
  <c r="J105" i="18"/>
  <c r="V111" i="18"/>
  <c r="J113" i="18"/>
  <c r="V115" i="18"/>
  <c r="V119" i="18"/>
  <c r="V123" i="18"/>
  <c r="V127" i="18"/>
  <c r="V131" i="18"/>
  <c r="J135" i="18"/>
  <c r="J139" i="18"/>
  <c r="V143" i="18"/>
  <c r="V147" i="18"/>
  <c r="V151" i="18"/>
  <c r="V24" i="19"/>
  <c r="H18" i="20"/>
  <c r="V21" i="20"/>
  <c r="J25" i="20"/>
  <c r="R27" i="20"/>
  <c r="J29" i="20"/>
  <c r="R31" i="20"/>
  <c r="J33" i="20"/>
  <c r="R34" i="20"/>
  <c r="J36" i="20"/>
  <c r="V23" i="21"/>
  <c r="J29" i="21"/>
  <c r="V33" i="21"/>
  <c r="V37" i="21"/>
  <c r="J41" i="21"/>
  <c r="V45" i="21"/>
  <c r="V49" i="21"/>
  <c r="J53" i="21"/>
  <c r="V57" i="21"/>
  <c r="J59" i="21"/>
  <c r="V65" i="21"/>
  <c r="J67" i="21"/>
  <c r="V69" i="21"/>
  <c r="J71" i="21"/>
  <c r="J87" i="21"/>
  <c r="F21" i="23"/>
  <c r="F18" i="23"/>
  <c r="F36" i="23"/>
  <c r="F33" i="23"/>
  <c r="F29" i="23"/>
  <c r="F25" i="23"/>
  <c r="D18" i="23"/>
  <c r="F15" i="23"/>
  <c r="L12" i="23"/>
  <c r="F22" i="23"/>
  <c r="F20" i="23"/>
  <c r="F16" i="23"/>
  <c r="F34" i="23"/>
  <c r="F31" i="23"/>
  <c r="F27" i="23"/>
  <c r="L15" i="26"/>
  <c r="D18" i="26"/>
  <c r="Z66" i="28"/>
  <c r="N88" i="28"/>
  <c r="Z25" i="30"/>
  <c r="X25" i="30"/>
  <c r="J72" i="31"/>
  <c r="J68" i="31"/>
  <c r="J60" i="31"/>
  <c r="J67" i="31"/>
  <c r="J63" i="31"/>
  <c r="J59" i="31"/>
  <c r="J70" i="31"/>
  <c r="J66" i="31"/>
  <c r="J56" i="31"/>
  <c r="J65" i="31"/>
  <c r="J64" i="31"/>
  <c r="J69" i="31"/>
  <c r="J55" i="31"/>
  <c r="J49" i="31"/>
  <c r="J39" i="31"/>
  <c r="J35" i="31"/>
  <c r="J27" i="31"/>
  <c r="J25" i="31"/>
  <c r="J73" i="31"/>
  <c r="J54" i="31"/>
  <c r="J46" i="31"/>
  <c r="J38" i="31"/>
  <c r="J34" i="31"/>
  <c r="J58" i="31"/>
  <c r="J51" i="31"/>
  <c r="J45" i="31"/>
  <c r="J37" i="31"/>
  <c r="J33" i="31"/>
  <c r="J19" i="31"/>
  <c r="J48" i="31"/>
  <c r="J44" i="31"/>
  <c r="J32" i="31"/>
  <c r="J26" i="31"/>
  <c r="J53" i="31"/>
  <c r="J43" i="31"/>
  <c r="J31" i="31"/>
  <c r="J62" i="31"/>
  <c r="J57" i="31"/>
  <c r="J50" i="31"/>
  <c r="J42" i="31"/>
  <c r="J36" i="31"/>
  <c r="J30" i="31"/>
  <c r="H23" i="31"/>
  <c r="J23" i="31" s="1"/>
  <c r="J61" i="31"/>
  <c r="J47" i="31"/>
  <c r="J41" i="31"/>
  <c r="J29" i="31"/>
  <c r="J21" i="31"/>
  <c r="J28" i="31"/>
  <c r="J16" i="17"/>
  <c r="J20" i="17"/>
  <c r="J24" i="18"/>
  <c r="J32" i="18"/>
  <c r="J40" i="18"/>
  <c r="V44" i="18"/>
  <c r="J48" i="18"/>
  <c r="V52" i="18"/>
  <c r="J56" i="18"/>
  <c r="V60" i="18"/>
  <c r="J64" i="18"/>
  <c r="V68" i="18"/>
  <c r="J70" i="18"/>
  <c r="V72" i="18"/>
  <c r="J76" i="18"/>
  <c r="V80" i="18"/>
  <c r="J84" i="18"/>
  <c r="V88" i="18"/>
  <c r="J90" i="18"/>
  <c r="V92" i="18"/>
  <c r="J96" i="18"/>
  <c r="V100" i="18"/>
  <c r="J102" i="18"/>
  <c r="V104" i="18"/>
  <c r="J108" i="18"/>
  <c r="V112" i="18"/>
  <c r="V116" i="18"/>
  <c r="J118" i="18"/>
  <c r="V120" i="18"/>
  <c r="V124" i="18"/>
  <c r="V128" i="18"/>
  <c r="J130" i="18"/>
  <c r="V132" i="18"/>
  <c r="J136" i="18"/>
  <c r="J140" i="18"/>
  <c r="V144" i="18"/>
  <c r="V148" i="18"/>
  <c r="J153" i="18"/>
  <c r="V154" i="18"/>
  <c r="V24" i="20"/>
  <c r="V87" i="21"/>
  <c r="V83" i="21"/>
  <c r="V79" i="21"/>
  <c r="V95" i="21"/>
  <c r="V89" i="21"/>
  <c r="V18" i="21"/>
  <c r="V26" i="21"/>
  <c r="J30" i="21"/>
  <c r="V34" i="21"/>
  <c r="V38" i="21"/>
  <c r="J42" i="21"/>
  <c r="V46" i="21"/>
  <c r="J48" i="21"/>
  <c r="V54" i="21"/>
  <c r="V58" i="21"/>
  <c r="J62" i="21"/>
  <c r="V66" i="21"/>
  <c r="V70" i="21"/>
  <c r="J74" i="21"/>
  <c r="J78" i="21"/>
  <c r="J88" i="21"/>
  <c r="R24" i="24"/>
  <c r="R21" i="24"/>
  <c r="R18" i="24"/>
  <c r="R36" i="24"/>
  <c r="R33" i="24"/>
  <c r="R29" i="24"/>
  <c r="R25" i="24"/>
  <c r="P18" i="24"/>
  <c r="R15" i="24"/>
  <c r="R22" i="24"/>
  <c r="X12" i="24"/>
  <c r="R20" i="24"/>
  <c r="R16" i="24"/>
  <c r="R27" i="24"/>
  <c r="N60" i="25"/>
  <c r="L118" i="28"/>
  <c r="N118" i="28" s="1"/>
  <c r="D117" i="28"/>
  <c r="L117" i="28" s="1"/>
  <c r="N117" i="28" s="1"/>
  <c r="N13" i="29"/>
  <c r="L13" i="29"/>
  <c r="T27" i="29"/>
  <c r="N12" i="16"/>
  <c r="F18" i="16"/>
  <c r="V18" i="16"/>
  <c r="J22" i="16"/>
  <c r="R24" i="16"/>
  <c r="L12" i="17"/>
  <c r="F15" i="17"/>
  <c r="V15" i="17"/>
  <c r="D18" i="17"/>
  <c r="T18" i="17"/>
  <c r="R21" i="17"/>
  <c r="F25" i="17"/>
  <c r="V25" i="17"/>
  <c r="F29" i="17"/>
  <c r="V29" i="17"/>
  <c r="F33" i="17"/>
  <c r="V33" i="17"/>
  <c r="F36" i="17"/>
  <c r="V36" i="17"/>
  <c r="V21" i="18"/>
  <c r="J25" i="18"/>
  <c r="V29" i="18"/>
  <c r="J33" i="18"/>
  <c r="V37" i="18"/>
  <c r="J41" i="18"/>
  <c r="V45" i="18"/>
  <c r="J49" i="18"/>
  <c r="V53" i="18"/>
  <c r="J59" i="18"/>
  <c r="V61" i="18"/>
  <c r="J65" i="18"/>
  <c r="V69" i="18"/>
  <c r="V73" i="18"/>
  <c r="J77" i="18"/>
  <c r="V85" i="18"/>
  <c r="J87" i="18"/>
  <c r="V89" i="18"/>
  <c r="V97" i="18"/>
  <c r="J99" i="18"/>
  <c r="V101" i="18"/>
  <c r="V109" i="18"/>
  <c r="J111" i="18"/>
  <c r="V117" i="18"/>
  <c r="V121" i="18"/>
  <c r="J123" i="18"/>
  <c r="V125" i="18"/>
  <c r="J127" i="18"/>
  <c r="V129" i="18"/>
  <c r="V133" i="18"/>
  <c r="J137" i="18"/>
  <c r="V141" i="18"/>
  <c r="J143" i="18"/>
  <c r="V145" i="18"/>
  <c r="J147" i="18"/>
  <c r="J156" i="18"/>
  <c r="V157" i="18"/>
  <c r="J161" i="18"/>
  <c r="Z12" i="19"/>
  <c r="F16" i="19"/>
  <c r="V16" i="19"/>
  <c r="F20" i="19"/>
  <c r="V20" i="19"/>
  <c r="R22" i="19"/>
  <c r="J24" i="19"/>
  <c r="X12" i="20"/>
  <c r="J21" i="20"/>
  <c r="F27" i="20"/>
  <c r="V27" i="20"/>
  <c r="F31" i="20"/>
  <c r="V31" i="20"/>
  <c r="V34" i="20"/>
  <c r="V19" i="21"/>
  <c r="J23" i="21"/>
  <c r="V27" i="21"/>
  <c r="J31" i="21"/>
  <c r="V35" i="21"/>
  <c r="J37" i="21"/>
  <c r="V39" i="21"/>
  <c r="J43" i="21"/>
  <c r="V47" i="21"/>
  <c r="J51" i="21"/>
  <c r="V55" i="21"/>
  <c r="J57" i="21"/>
  <c r="V63" i="21"/>
  <c r="J65" i="21"/>
  <c r="J75" i="21"/>
  <c r="J79" i="21"/>
  <c r="J80" i="21"/>
  <c r="J81" i="21"/>
  <c r="J82" i="21"/>
  <c r="J89" i="21"/>
  <c r="J18" i="22"/>
  <c r="J36" i="22"/>
  <c r="J33" i="22"/>
  <c r="J29" i="22"/>
  <c r="J25" i="22"/>
  <c r="H18" i="22"/>
  <c r="J22" i="22"/>
  <c r="N12" i="22"/>
  <c r="J34" i="22"/>
  <c r="J31" i="22"/>
  <c r="J27" i="22"/>
  <c r="J24" i="22"/>
  <c r="J15" i="22"/>
  <c r="N72" i="28"/>
  <c r="Z79" i="28"/>
  <c r="Z82" i="28"/>
  <c r="F96" i="28"/>
  <c r="Z100" i="28"/>
  <c r="L15" i="30"/>
  <c r="D18" i="30"/>
  <c r="J20" i="31"/>
  <c r="Z49" i="31"/>
  <c r="X145" i="15"/>
  <c r="Z145" i="15" s="1"/>
  <c r="J15" i="16"/>
  <c r="H18" i="16"/>
  <c r="F21" i="16"/>
  <c r="V21" i="16"/>
  <c r="J25" i="16"/>
  <c r="R27" i="16"/>
  <c r="J29" i="16"/>
  <c r="R31" i="16"/>
  <c r="J33" i="16"/>
  <c r="R34" i="16"/>
  <c r="J36" i="16"/>
  <c r="N12" i="17"/>
  <c r="F18" i="17"/>
  <c r="V18" i="17"/>
  <c r="J22" i="17"/>
  <c r="R24" i="17"/>
  <c r="P27" i="17"/>
  <c r="X15" i="18"/>
  <c r="V22" i="18"/>
  <c r="J26" i="18"/>
  <c r="V30" i="18"/>
  <c r="J34" i="18"/>
  <c r="V38" i="18"/>
  <c r="J42" i="18"/>
  <c r="V46" i="18"/>
  <c r="J50" i="18"/>
  <c r="V54" i="18"/>
  <c r="V58" i="18"/>
  <c r="L59" i="18"/>
  <c r="N59" i="18" s="1"/>
  <c r="V62" i="18"/>
  <c r="J66" i="18"/>
  <c r="V74" i="18"/>
  <c r="J78" i="18"/>
  <c r="J82" i="18"/>
  <c r="X85" i="18"/>
  <c r="Z85" i="18" s="1"/>
  <c r="V86" i="18"/>
  <c r="L87" i="18"/>
  <c r="N87" i="18" s="1"/>
  <c r="J94" i="18"/>
  <c r="X97" i="18"/>
  <c r="Z97" i="18" s="1"/>
  <c r="V98" i="18"/>
  <c r="L99" i="18"/>
  <c r="N99" i="18" s="1"/>
  <c r="J106" i="18"/>
  <c r="X109" i="18"/>
  <c r="Z109" i="18" s="1"/>
  <c r="V110" i="18"/>
  <c r="L111" i="18"/>
  <c r="N111" i="18" s="1"/>
  <c r="J114" i="18"/>
  <c r="V122" i="18"/>
  <c r="L123" i="18"/>
  <c r="N123" i="18" s="1"/>
  <c r="V126" i="18"/>
  <c r="L127" i="18"/>
  <c r="N127" i="18" s="1"/>
  <c r="V134" i="18"/>
  <c r="V138" i="18"/>
  <c r="X141" i="18"/>
  <c r="V142" i="18"/>
  <c r="L143" i="18"/>
  <c r="N143" i="18" s="1"/>
  <c r="V146" i="18"/>
  <c r="L147" i="18"/>
  <c r="N147" i="18" s="1"/>
  <c r="J151" i="18"/>
  <c r="V152" i="18"/>
  <c r="R15" i="19"/>
  <c r="P18" i="19"/>
  <c r="R25" i="19"/>
  <c r="J27" i="19"/>
  <c r="R29" i="19"/>
  <c r="J31" i="19"/>
  <c r="R33" i="19"/>
  <c r="J34" i="19"/>
  <c r="R36" i="19"/>
  <c r="Z12" i="20"/>
  <c r="V16" i="20"/>
  <c r="V20" i="20"/>
  <c r="R22" i="20"/>
  <c r="J24" i="20"/>
  <c r="J18" i="21"/>
  <c r="V20" i="21"/>
  <c r="J26" i="21"/>
  <c r="V28" i="21"/>
  <c r="J32" i="21"/>
  <c r="V36" i="21"/>
  <c r="V40" i="21"/>
  <c r="J44" i="21"/>
  <c r="V52" i="21"/>
  <c r="J54" i="21"/>
  <c r="V56" i="21"/>
  <c r="J60" i="21"/>
  <c r="V64" i="21"/>
  <c r="J68" i="21"/>
  <c r="J72" i="21"/>
  <c r="J76" i="21"/>
  <c r="X88" i="21"/>
  <c r="J91" i="21"/>
  <c r="H93" i="21"/>
  <c r="J95" i="21"/>
  <c r="L12" i="22"/>
  <c r="X29" i="22"/>
  <c r="P27" i="23"/>
  <c r="F24" i="23"/>
  <c r="R31" i="24"/>
  <c r="X60" i="25"/>
  <c r="Z60" i="25" s="1"/>
  <c r="L62" i="25"/>
  <c r="Z67" i="25"/>
  <c r="N69" i="25"/>
  <c r="X15" i="26"/>
  <c r="F28" i="28"/>
  <c r="X72" i="28"/>
  <c r="N84" i="28"/>
  <c r="L86" i="28"/>
  <c r="N86" i="28" s="1"/>
  <c r="N93" i="28"/>
  <c r="L114" i="28"/>
  <c r="N114" i="28" s="1"/>
  <c r="N22" i="29"/>
  <c r="L22" i="29"/>
  <c r="J16" i="30"/>
  <c r="X33" i="30"/>
  <c r="D12" i="31"/>
  <c r="L13" i="31"/>
  <c r="N13" i="31" s="1"/>
  <c r="Z25" i="31"/>
  <c r="Z51" i="31"/>
  <c r="N53" i="31"/>
  <c r="R16" i="16"/>
  <c r="J18" i="16"/>
  <c r="F24" i="16"/>
  <c r="V24" i="16"/>
  <c r="J15" i="17"/>
  <c r="H18" i="17"/>
  <c r="F21" i="17"/>
  <c r="V21" i="17"/>
  <c r="J25" i="17"/>
  <c r="R27" i="17"/>
  <c r="J29" i="17"/>
  <c r="R31" i="17"/>
  <c r="J33" i="17"/>
  <c r="J36" i="17"/>
  <c r="J21" i="18"/>
  <c r="V23" i="18"/>
  <c r="J27" i="18"/>
  <c r="V31" i="18"/>
  <c r="J35" i="18"/>
  <c r="V39" i="18"/>
  <c r="J43" i="18"/>
  <c r="V47" i="18"/>
  <c r="J51" i="18"/>
  <c r="V63" i="18"/>
  <c r="J67" i="18"/>
  <c r="J71" i="18"/>
  <c r="V75" i="18"/>
  <c r="J79" i="18"/>
  <c r="V83" i="18"/>
  <c r="J85" i="18"/>
  <c r="J91" i="18"/>
  <c r="V95" i="18"/>
  <c r="J97" i="18"/>
  <c r="J103" i="18"/>
  <c r="V107" i="18"/>
  <c r="J109" i="18"/>
  <c r="J115" i="18"/>
  <c r="J119" i="18"/>
  <c r="J131" i="18"/>
  <c r="V135" i="18"/>
  <c r="V139" i="18"/>
  <c r="J141" i="18"/>
  <c r="D150" i="18"/>
  <c r="L150" i="18" s="1"/>
  <c r="N150" i="18" s="1"/>
  <c r="J154" i="18"/>
  <c r="V155" i="18"/>
  <c r="J16" i="19"/>
  <c r="V22" i="19"/>
  <c r="R15" i="20"/>
  <c r="P18" i="20"/>
  <c r="R25" i="20"/>
  <c r="J27" i="20"/>
  <c r="R29" i="20"/>
  <c r="J31" i="20"/>
  <c r="R33" i="20"/>
  <c r="J34" i="20"/>
  <c r="R36" i="20"/>
  <c r="V21" i="21"/>
  <c r="V25" i="21"/>
  <c r="V29" i="21"/>
  <c r="J33" i="21"/>
  <c r="V41" i="21"/>
  <c r="J45" i="21"/>
  <c r="J49" i="21"/>
  <c r="V53" i="21"/>
  <c r="V61" i="21"/>
  <c r="J63" i="21"/>
  <c r="J69" i="21"/>
  <c r="V73" i="21"/>
  <c r="V77" i="21"/>
  <c r="V86" i="21"/>
  <c r="R20" i="22"/>
  <c r="R16" i="22"/>
  <c r="R34" i="22"/>
  <c r="R31" i="22"/>
  <c r="R27" i="22"/>
  <c r="R24" i="22"/>
  <c r="R21" i="22"/>
  <c r="R36" i="22"/>
  <c r="R33" i="22"/>
  <c r="R29" i="22"/>
  <c r="R25" i="22"/>
  <c r="P18" i="22"/>
  <c r="R15" i="22"/>
  <c r="R22" i="22"/>
  <c r="X15" i="22"/>
  <c r="J16" i="22"/>
  <c r="X33" i="22"/>
  <c r="V21" i="23"/>
  <c r="V18" i="23"/>
  <c r="V36" i="23"/>
  <c r="V33" i="23"/>
  <c r="V29" i="23"/>
  <c r="V25" i="23"/>
  <c r="T18" i="23"/>
  <c r="X18" i="23" s="1"/>
  <c r="V15" i="23"/>
  <c r="V22" i="23"/>
  <c r="V20" i="23"/>
  <c r="V16" i="23"/>
  <c r="Z12" i="23"/>
  <c r="V34" i="23"/>
  <c r="V31" i="23"/>
  <c r="V27" i="23"/>
  <c r="X12" i="23"/>
  <c r="L16" i="23"/>
  <c r="L34" i="25"/>
  <c r="N34" i="25" s="1"/>
  <c r="N62" i="25"/>
  <c r="L78" i="25"/>
  <c r="L20" i="27"/>
  <c r="F120" i="28"/>
  <c r="F114" i="28"/>
  <c r="F107" i="28"/>
  <c r="F99" i="28"/>
  <c r="F95" i="28"/>
  <c r="F91" i="28"/>
  <c r="F86" i="28"/>
  <c r="F83" i="28"/>
  <c r="F74" i="28"/>
  <c r="F71" i="28"/>
  <c r="F66" i="28"/>
  <c r="F63" i="28"/>
  <c r="F55" i="28"/>
  <c r="F51" i="28"/>
  <c r="F42" i="28"/>
  <c r="F35" i="28"/>
  <c r="F27" i="28"/>
  <c r="F110" i="28"/>
  <c r="F106" i="28"/>
  <c r="F102" i="28"/>
  <c r="F98" i="28"/>
  <c r="F94" i="28"/>
  <c r="F62" i="28"/>
  <c r="F54" i="28"/>
  <c r="F50" i="28"/>
  <c r="F34" i="28"/>
  <c r="F26" i="28"/>
  <c r="F113" i="28"/>
  <c r="F105" i="28"/>
  <c r="F101" i="28"/>
  <c r="F88" i="28"/>
  <c r="F85" i="28"/>
  <c r="F76" i="28"/>
  <c r="F73" i="28"/>
  <c r="F68" i="28"/>
  <c r="F65" i="28"/>
  <c r="F61" i="28"/>
  <c r="F49" i="28"/>
  <c r="F33" i="28"/>
  <c r="F25" i="28"/>
  <c r="F124" i="28"/>
  <c r="F119" i="28"/>
  <c r="F117" i="28"/>
  <c r="F112" i="28"/>
  <c r="F104" i="28"/>
  <c r="F79" i="28"/>
  <c r="F60" i="28"/>
  <c r="F48" i="28"/>
  <c r="F43" i="28"/>
  <c r="F32" i="28"/>
  <c r="F24" i="28"/>
  <c r="F19" i="28"/>
  <c r="F115" i="28"/>
  <c r="F90" i="28"/>
  <c r="F87" i="28"/>
  <c r="F82" i="28"/>
  <c r="F75" i="28"/>
  <c r="F70" i="28"/>
  <c r="F67" i="28"/>
  <c r="F59" i="28"/>
  <c r="F47" i="28"/>
  <c r="F40" i="28"/>
  <c r="F31" i="28"/>
  <c r="F23" i="28"/>
  <c r="F109" i="28"/>
  <c r="F97" i="28"/>
  <c r="F93" i="28"/>
  <c r="F78" i="28"/>
  <c r="F58" i="28"/>
  <c r="F53" i="28"/>
  <c r="F46" i="28"/>
  <c r="D40" i="28"/>
  <c r="F38" i="28"/>
  <c r="F30" i="28"/>
  <c r="F22" i="28"/>
  <c r="L12" i="28"/>
  <c r="N12" i="28" s="1"/>
  <c r="F118" i="28"/>
  <c r="F100" i="28"/>
  <c r="F89" i="28"/>
  <c r="F84" i="28"/>
  <c r="F81" i="28"/>
  <c r="F77" i="28"/>
  <c r="F72" i="28"/>
  <c r="F69" i="28"/>
  <c r="F64" i="28"/>
  <c r="F57" i="28"/>
  <c r="F45" i="28"/>
  <c r="F37" i="28"/>
  <c r="F29" i="28"/>
  <c r="F21" i="28"/>
  <c r="Z72" i="28"/>
  <c r="F80" i="28"/>
  <c r="X84" i="28"/>
  <c r="F103" i="28"/>
  <c r="P12" i="31"/>
  <c r="X16" i="31"/>
  <c r="L47" i="31"/>
  <c r="N47" i="31" s="1"/>
  <c r="J34" i="40"/>
  <c r="J31" i="40"/>
  <c r="J27" i="40"/>
  <c r="J24" i="40"/>
  <c r="J21" i="40"/>
  <c r="J18" i="40"/>
  <c r="J22" i="40"/>
  <c r="N12" i="40"/>
  <c r="L12" i="40"/>
  <c r="J29" i="40"/>
  <c r="H18" i="40"/>
  <c r="J16" i="40"/>
  <c r="J25" i="40"/>
  <c r="J20" i="40"/>
  <c r="J15" i="40"/>
  <c r="J36" i="40"/>
  <c r="J33" i="40"/>
  <c r="F27" i="16"/>
  <c r="V27" i="16"/>
  <c r="F31" i="16"/>
  <c r="V31" i="16"/>
  <c r="V24" i="18"/>
  <c r="J28" i="18"/>
  <c r="V32" i="18"/>
  <c r="J36" i="18"/>
  <c r="V40" i="18"/>
  <c r="J44" i="18"/>
  <c r="V48" i="18"/>
  <c r="J52" i="18"/>
  <c r="J58" i="18"/>
  <c r="J60" i="18"/>
  <c r="V64" i="18"/>
  <c r="J68" i="18"/>
  <c r="J72" i="18"/>
  <c r="V76" i="18"/>
  <c r="J80" i="18"/>
  <c r="V84" i="18"/>
  <c r="J88" i="18"/>
  <c r="J92" i="18"/>
  <c r="V96" i="18"/>
  <c r="J100" i="18"/>
  <c r="J104" i="18"/>
  <c r="V108" i="18"/>
  <c r="J112" i="18"/>
  <c r="J116" i="18"/>
  <c r="J120" i="18"/>
  <c r="J124" i="18"/>
  <c r="J128" i="18"/>
  <c r="J132" i="18"/>
  <c r="V136" i="18"/>
  <c r="J138" i="18"/>
  <c r="V140" i="18"/>
  <c r="J144" i="18"/>
  <c r="J148" i="18"/>
  <c r="V15" i="19"/>
  <c r="T18" i="19"/>
  <c r="V25" i="19"/>
  <c r="V29" i="19"/>
  <c r="V33" i="19"/>
  <c r="J16" i="20"/>
  <c r="J93" i="21"/>
  <c r="J85" i="21"/>
  <c r="V30" i="21"/>
  <c r="J34" i="21"/>
  <c r="J38" i="21"/>
  <c r="V42" i="21"/>
  <c r="J46" i="21"/>
  <c r="V50" i="21"/>
  <c r="J52" i="21"/>
  <c r="J58" i="21"/>
  <c r="V62" i="21"/>
  <c r="J66" i="21"/>
  <c r="J70" i="21"/>
  <c r="V74" i="21"/>
  <c r="V78" i="21"/>
  <c r="V80" i="21"/>
  <c r="V81" i="21"/>
  <c r="J84" i="21"/>
  <c r="X16" i="22"/>
  <c r="L21" i="23"/>
  <c r="X34" i="23"/>
  <c r="X24" i="24"/>
  <c r="J34" i="25"/>
  <c r="N78" i="25"/>
  <c r="J34" i="26"/>
  <c r="J31" i="26"/>
  <c r="J27" i="26"/>
  <c r="J24" i="26"/>
  <c r="J21" i="26"/>
  <c r="J18" i="26"/>
  <c r="J36" i="26"/>
  <c r="J33" i="26"/>
  <c r="J29" i="26"/>
  <c r="J25" i="26"/>
  <c r="H18" i="26"/>
  <c r="J15" i="26"/>
  <c r="J22" i="26"/>
  <c r="N12" i="26"/>
  <c r="L12" i="26"/>
  <c r="J20" i="26"/>
  <c r="F20" i="27"/>
  <c r="F16" i="27"/>
  <c r="F34" i="27"/>
  <c r="F31" i="27"/>
  <c r="F27" i="27"/>
  <c r="F24" i="27"/>
  <c r="F21" i="27"/>
  <c r="F18" i="27"/>
  <c r="F36" i="27"/>
  <c r="F33" i="27"/>
  <c r="F29" i="27"/>
  <c r="F25" i="27"/>
  <c r="D18" i="27"/>
  <c r="F15" i="27"/>
  <c r="L12" i="27"/>
  <c r="F22" i="27"/>
  <c r="L16" i="27"/>
  <c r="X22" i="27"/>
  <c r="L66" i="28"/>
  <c r="Z84" i="28"/>
  <c r="Z114" i="28"/>
  <c r="X29" i="30"/>
  <c r="J52" i="31"/>
  <c r="Z53" i="31"/>
  <c r="X53" i="31"/>
  <c r="N15" i="37"/>
  <c r="L15" i="37"/>
  <c r="H18" i="37"/>
  <c r="J21" i="23"/>
  <c r="F24" i="24"/>
  <c r="V24" i="24"/>
  <c r="V20" i="25"/>
  <c r="V28" i="25"/>
  <c r="V36" i="25"/>
  <c r="J40" i="25"/>
  <c r="V44" i="25"/>
  <c r="V48" i="25"/>
  <c r="J52" i="25"/>
  <c r="V60" i="25"/>
  <c r="J62" i="25"/>
  <c r="J68" i="25"/>
  <c r="V72" i="25"/>
  <c r="V76" i="25"/>
  <c r="J78" i="25"/>
  <c r="V80" i="25"/>
  <c r="D87" i="25"/>
  <c r="L87" i="25" s="1"/>
  <c r="N87" i="25" s="1"/>
  <c r="J91" i="25"/>
  <c r="V15" i="26"/>
  <c r="T18" i="26"/>
  <c r="R21" i="26"/>
  <c r="V25" i="26"/>
  <c r="V29" i="26"/>
  <c r="V33" i="26"/>
  <c r="V36" i="26"/>
  <c r="J16" i="27"/>
  <c r="R18" i="27"/>
  <c r="J20" i="27"/>
  <c r="J20" i="28"/>
  <c r="J28" i="28"/>
  <c r="J36" i="28"/>
  <c r="J42" i="28"/>
  <c r="J44" i="28"/>
  <c r="V48" i="28"/>
  <c r="J52" i="28"/>
  <c r="J56" i="28"/>
  <c r="V60" i="28"/>
  <c r="V64" i="28"/>
  <c r="J66" i="28"/>
  <c r="V72" i="28"/>
  <c r="J74" i="28"/>
  <c r="J80" i="28"/>
  <c r="V84" i="28"/>
  <c r="J86" i="28"/>
  <c r="J92" i="28"/>
  <c r="J96" i="28"/>
  <c r="V100" i="28"/>
  <c r="V104" i="28"/>
  <c r="J108" i="28"/>
  <c r="V112" i="28"/>
  <c r="J114" i="28"/>
  <c r="V124" i="28"/>
  <c r="F18" i="29"/>
  <c r="V18" i="29"/>
  <c r="R24" i="29"/>
  <c r="V15" i="30"/>
  <c r="T18" i="30"/>
  <c r="R21" i="30"/>
  <c r="V25" i="30"/>
  <c r="V29" i="30"/>
  <c r="V33" i="30"/>
  <c r="V36" i="30"/>
  <c r="V23" i="31"/>
  <c r="V33" i="31"/>
  <c r="V37" i="31"/>
  <c r="V45" i="31"/>
  <c r="V53" i="31"/>
  <c r="N62" i="31"/>
  <c r="V68" i="31"/>
  <c r="V73" i="31"/>
  <c r="J21" i="32"/>
  <c r="J18" i="32"/>
  <c r="J36" i="32"/>
  <c r="J33" i="32"/>
  <c r="J29" i="32"/>
  <c r="J25" i="32"/>
  <c r="H18" i="32"/>
  <c r="J15" i="32"/>
  <c r="J22" i="32"/>
  <c r="N12" i="32"/>
  <c r="J20" i="32"/>
  <c r="J16" i="32"/>
  <c r="J34" i="32"/>
  <c r="J31" i="32"/>
  <c r="J27" i="32"/>
  <c r="X15" i="32"/>
  <c r="P18" i="32"/>
  <c r="J18" i="33"/>
  <c r="J36" i="33"/>
  <c r="J33" i="33"/>
  <c r="J29" i="33"/>
  <c r="J25" i="33"/>
  <c r="H18" i="33"/>
  <c r="J15" i="33"/>
  <c r="J22" i="33"/>
  <c r="N12" i="33"/>
  <c r="J34" i="33"/>
  <c r="J31" i="33"/>
  <c r="J27" i="33"/>
  <c r="J24" i="33"/>
  <c r="Z13" i="33"/>
  <c r="X13" i="33"/>
  <c r="Z44" i="34"/>
  <c r="N70" i="34"/>
  <c r="Z122" i="34"/>
  <c r="L59" i="36"/>
  <c r="N59" i="36" s="1"/>
  <c r="Z92" i="36"/>
  <c r="L103" i="36"/>
  <c r="N103" i="36" s="1"/>
  <c r="Z21" i="37"/>
  <c r="X21" i="37"/>
  <c r="L70" i="39"/>
  <c r="N70" i="39" s="1"/>
  <c r="X25" i="40"/>
  <c r="Z25" i="40"/>
  <c r="P22" i="54"/>
  <c r="X16" i="54"/>
  <c r="J24" i="23"/>
  <c r="F27" i="24"/>
  <c r="V27" i="24"/>
  <c r="F31" i="24"/>
  <c r="V31" i="24"/>
  <c r="F34" i="24"/>
  <c r="V34" i="24"/>
  <c r="J19" i="25"/>
  <c r="V21" i="25"/>
  <c r="V29" i="25"/>
  <c r="V33" i="25"/>
  <c r="V37" i="25"/>
  <c r="J41" i="25"/>
  <c r="V49" i="25"/>
  <c r="J53" i="25"/>
  <c r="J57" i="25"/>
  <c r="V61" i="25"/>
  <c r="J65" i="25"/>
  <c r="V69" i="25"/>
  <c r="J71" i="25"/>
  <c r="V73" i="25"/>
  <c r="J75" i="25"/>
  <c r="V77" i="25"/>
  <c r="J85" i="25"/>
  <c r="V87" i="25"/>
  <c r="V95" i="25"/>
  <c r="V18" i="26"/>
  <c r="R24" i="26"/>
  <c r="R21" i="27"/>
  <c r="J21" i="28"/>
  <c r="J29" i="28"/>
  <c r="J37" i="28"/>
  <c r="T40" i="28"/>
  <c r="J45" i="28"/>
  <c r="V49" i="28"/>
  <c r="V53" i="28"/>
  <c r="J57" i="28"/>
  <c r="V61" i="28"/>
  <c r="V65" i="28"/>
  <c r="J69" i="28"/>
  <c r="V73" i="28"/>
  <c r="J77" i="28"/>
  <c r="J81" i="28"/>
  <c r="V85" i="28"/>
  <c r="J89" i="28"/>
  <c r="V93" i="28"/>
  <c r="V97" i="28"/>
  <c r="V101" i="28"/>
  <c r="J103" i="28"/>
  <c r="V105" i="28"/>
  <c r="V109" i="28"/>
  <c r="J111" i="28"/>
  <c r="V113" i="28"/>
  <c r="J118" i="28"/>
  <c r="V119" i="28"/>
  <c r="H18" i="29"/>
  <c r="F21" i="29"/>
  <c r="V21" i="29"/>
  <c r="R27" i="29"/>
  <c r="R31" i="29"/>
  <c r="R34" i="29"/>
  <c r="V18" i="30"/>
  <c r="R24" i="30"/>
  <c r="V26" i="31"/>
  <c r="V34" i="31"/>
  <c r="V38" i="31"/>
  <c r="V46" i="31"/>
  <c r="V54" i="31"/>
  <c r="V55" i="31"/>
  <c r="V58" i="31"/>
  <c r="V63" i="31"/>
  <c r="Z72" i="31"/>
  <c r="N72" i="34"/>
  <c r="L72" i="34"/>
  <c r="L100" i="34"/>
  <c r="N100" i="34" s="1"/>
  <c r="Z104" i="34"/>
  <c r="Z21" i="35"/>
  <c r="X21" i="35"/>
  <c r="X14" i="36"/>
  <c r="P12" i="36"/>
  <c r="Z27" i="36"/>
  <c r="Z89" i="36"/>
  <c r="N25" i="37"/>
  <c r="L25" i="37"/>
  <c r="N22" i="38"/>
  <c r="L22" i="38"/>
  <c r="X20" i="39"/>
  <c r="Z20" i="39" s="1"/>
  <c r="X56" i="39"/>
  <c r="Z56" i="39" s="1"/>
  <c r="Z68" i="39"/>
  <c r="X68" i="39"/>
  <c r="V50" i="25"/>
  <c r="V58" i="25"/>
  <c r="V70" i="25"/>
  <c r="V74" i="25"/>
  <c r="J82" i="25"/>
  <c r="J89" i="25"/>
  <c r="V90" i="25"/>
  <c r="R27" i="26"/>
  <c r="R31" i="26"/>
  <c r="R34" i="26"/>
  <c r="J38" i="28"/>
  <c r="J46" i="28"/>
  <c r="J58" i="28"/>
  <c r="J64" i="28"/>
  <c r="J72" i="28"/>
  <c r="J78" i="28"/>
  <c r="V82" i="28"/>
  <c r="J84" i="28"/>
  <c r="V90" i="28"/>
  <c r="V94" i="28"/>
  <c r="V98" i="28"/>
  <c r="J100" i="28"/>
  <c r="V102" i="28"/>
  <c r="V106" i="28"/>
  <c r="V110" i="28"/>
  <c r="V24" i="29"/>
  <c r="R27" i="30"/>
  <c r="R31" i="30"/>
  <c r="R34" i="30"/>
  <c r="V51" i="31"/>
  <c r="T27" i="32"/>
  <c r="Z18" i="32"/>
  <c r="X70" i="34"/>
  <c r="Z70" i="34" s="1"/>
  <c r="N29" i="37"/>
  <c r="L29" i="37"/>
  <c r="F25" i="22"/>
  <c r="F29" i="22"/>
  <c r="F33" i="22"/>
  <c r="F36" i="22"/>
  <c r="J16" i="23"/>
  <c r="J20" i="23"/>
  <c r="D12" i="25"/>
  <c r="V23" i="25"/>
  <c r="J33" i="25"/>
  <c r="V39" i="25"/>
  <c r="J47" i="25"/>
  <c r="V51" i="25"/>
  <c r="J55" i="25"/>
  <c r="V59" i="25"/>
  <c r="J63" i="25"/>
  <c r="V67" i="25"/>
  <c r="J69" i="25"/>
  <c r="J79" i="25"/>
  <c r="J83" i="25"/>
  <c r="J87" i="25"/>
  <c r="R16" i="26"/>
  <c r="R20" i="26"/>
  <c r="V24" i="26"/>
  <c r="H18" i="27"/>
  <c r="J25" i="27"/>
  <c r="R27" i="27"/>
  <c r="J29" i="27"/>
  <c r="R31" i="27"/>
  <c r="J33" i="27"/>
  <c r="R34" i="27"/>
  <c r="J36" i="27"/>
  <c r="P12" i="28"/>
  <c r="V19" i="28"/>
  <c r="J23" i="28"/>
  <c r="J31" i="28"/>
  <c r="H40" i="28"/>
  <c r="V43" i="28"/>
  <c r="J47" i="28"/>
  <c r="V51" i="28"/>
  <c r="J53" i="28"/>
  <c r="V55" i="28"/>
  <c r="J59" i="28"/>
  <c r="V63" i="28"/>
  <c r="J67" i="28"/>
  <c r="V71" i="28"/>
  <c r="J75" i="28"/>
  <c r="V79" i="28"/>
  <c r="V83" i="28"/>
  <c r="J87" i="28"/>
  <c r="V91" i="28"/>
  <c r="J93" i="28"/>
  <c r="V95" i="28"/>
  <c r="J97" i="28"/>
  <c r="V99" i="28"/>
  <c r="V107" i="28"/>
  <c r="J109" i="28"/>
  <c r="J115" i="28"/>
  <c r="V117" i="28"/>
  <c r="X12" i="29"/>
  <c r="F27" i="29"/>
  <c r="V27" i="29"/>
  <c r="F31" i="29"/>
  <c r="V31" i="29"/>
  <c r="F34" i="29"/>
  <c r="V34" i="29"/>
  <c r="R16" i="30"/>
  <c r="R20" i="30"/>
  <c r="V24" i="30"/>
  <c r="V64" i="31"/>
  <c r="V72" i="31"/>
  <c r="V77" i="31"/>
  <c r="V75" i="31"/>
  <c r="V61" i="31"/>
  <c r="V70" i="31"/>
  <c r="V66" i="31"/>
  <c r="V62" i="31"/>
  <c r="V20" i="31"/>
  <c r="V28" i="31"/>
  <c r="V40" i="31"/>
  <c r="V52" i="31"/>
  <c r="N58" i="31"/>
  <c r="V67" i="31"/>
  <c r="N34" i="32"/>
  <c r="J16" i="33"/>
  <c r="J21" i="33"/>
  <c r="N24" i="33"/>
  <c r="H127" i="34"/>
  <c r="Z82" i="34"/>
  <c r="X82" i="34"/>
  <c r="Z56" i="36"/>
  <c r="N83" i="36"/>
  <c r="N33" i="37"/>
  <c r="L33" i="37"/>
  <c r="Z39" i="39"/>
  <c r="N21" i="47"/>
  <c r="L21" i="47"/>
  <c r="F18" i="22"/>
  <c r="V18" i="22"/>
  <c r="R21" i="23"/>
  <c r="J16" i="24"/>
  <c r="J20" i="24"/>
  <c r="F22" i="24"/>
  <c r="V22" i="24"/>
  <c r="J20" i="25"/>
  <c r="V24" i="25"/>
  <c r="J28" i="25"/>
  <c r="T31" i="25"/>
  <c r="V31" i="25" s="1"/>
  <c r="J36" i="25"/>
  <c r="V40" i="25"/>
  <c r="J44" i="25"/>
  <c r="J48" i="25"/>
  <c r="V52" i="25"/>
  <c r="V56" i="25"/>
  <c r="J58" i="25"/>
  <c r="V64" i="25"/>
  <c r="V68" i="25"/>
  <c r="J72" i="25"/>
  <c r="J76" i="25"/>
  <c r="J80" i="25"/>
  <c r="V84" i="25"/>
  <c r="V88" i="25"/>
  <c r="X12" i="26"/>
  <c r="F27" i="26"/>
  <c r="V27" i="26"/>
  <c r="F31" i="26"/>
  <c r="V31" i="26"/>
  <c r="R16" i="27"/>
  <c r="J18" i="27"/>
  <c r="R20" i="27"/>
  <c r="V24" i="27"/>
  <c r="V20" i="28"/>
  <c r="J24" i="28"/>
  <c r="V28" i="28"/>
  <c r="J32" i="28"/>
  <c r="V36" i="28"/>
  <c r="J40" i="28"/>
  <c r="V44" i="28"/>
  <c r="J48" i="28"/>
  <c r="V52" i="28"/>
  <c r="V56" i="28"/>
  <c r="J60" i="28"/>
  <c r="V68" i="28"/>
  <c r="J70" i="28"/>
  <c r="V76" i="28"/>
  <c r="V80" i="28"/>
  <c r="J82" i="28"/>
  <c r="V88" i="28"/>
  <c r="J90" i="28"/>
  <c r="V92" i="28"/>
  <c r="V96" i="28"/>
  <c r="J104" i="28"/>
  <c r="V108" i="28"/>
  <c r="J112" i="28"/>
  <c r="J119" i="28"/>
  <c r="V120" i="28"/>
  <c r="J124" i="28"/>
  <c r="Z12" i="29"/>
  <c r="F16" i="29"/>
  <c r="V16" i="29"/>
  <c r="F20" i="29"/>
  <c r="V20" i="29"/>
  <c r="R22" i="29"/>
  <c r="J24" i="29"/>
  <c r="X12" i="30"/>
  <c r="F27" i="30"/>
  <c r="V27" i="30"/>
  <c r="F31" i="30"/>
  <c r="V31" i="30"/>
  <c r="V34" i="30"/>
  <c r="V21" i="31"/>
  <c r="V25" i="31"/>
  <c r="V29" i="31"/>
  <c r="V41" i="31"/>
  <c r="V49" i="31"/>
  <c r="X15" i="33"/>
  <c r="J20" i="33"/>
  <c r="N114" i="34"/>
  <c r="H120" i="36"/>
  <c r="N39" i="36"/>
  <c r="Z52" i="36"/>
  <c r="N61" i="36"/>
  <c r="X65" i="36"/>
  <c r="Z68" i="36"/>
  <c r="N50" i="39"/>
  <c r="L50" i="39"/>
  <c r="F59" i="39"/>
  <c r="J22" i="23"/>
  <c r="V15" i="24"/>
  <c r="T18" i="24"/>
  <c r="F25" i="24"/>
  <c r="V25" i="24"/>
  <c r="F29" i="24"/>
  <c r="V29" i="24"/>
  <c r="F33" i="24"/>
  <c r="V33" i="24"/>
  <c r="F36" i="24"/>
  <c r="V36" i="24"/>
  <c r="V25" i="25"/>
  <c r="V41" i="25"/>
  <c r="V45" i="25"/>
  <c r="V53" i="25"/>
  <c r="V57" i="25"/>
  <c r="V65" i="25"/>
  <c r="J67" i="25"/>
  <c r="J73" i="25"/>
  <c r="J77" i="25"/>
  <c r="V81" i="25"/>
  <c r="V85" i="25"/>
  <c r="J90" i="25"/>
  <c r="V91" i="25"/>
  <c r="J95" i="25"/>
  <c r="R22" i="26"/>
  <c r="J43" i="28"/>
  <c r="J49" i="28"/>
  <c r="V57" i="28"/>
  <c r="J61" i="28"/>
  <c r="J65" i="28"/>
  <c r="V69" i="28"/>
  <c r="J73" i="28"/>
  <c r="V77" i="28"/>
  <c r="J79" i="28"/>
  <c r="V81" i="28"/>
  <c r="J85" i="28"/>
  <c r="V89" i="28"/>
  <c r="J101" i="28"/>
  <c r="J105" i="28"/>
  <c r="J113" i="28"/>
  <c r="J117" i="28"/>
  <c r="R15" i="29"/>
  <c r="P18" i="29"/>
  <c r="R25" i="29"/>
  <c r="R29" i="29"/>
  <c r="R33" i="29"/>
  <c r="R36" i="29"/>
  <c r="V16" i="30"/>
  <c r="R22" i="30"/>
  <c r="V30" i="31"/>
  <c r="V42" i="31"/>
  <c r="V50" i="31"/>
  <c r="V56" i="31"/>
  <c r="V57" i="31"/>
  <c r="V60" i="31"/>
  <c r="N69" i="31"/>
  <c r="N96" i="34"/>
  <c r="L96" i="34"/>
  <c r="L116" i="34"/>
  <c r="N116" i="34" s="1"/>
  <c r="N15" i="35"/>
  <c r="L15" i="35"/>
  <c r="N25" i="35"/>
  <c r="L25" i="35"/>
  <c r="N29" i="35"/>
  <c r="L29" i="35"/>
  <c r="N33" i="35"/>
  <c r="L33" i="35"/>
  <c r="Z65" i="36"/>
  <c r="X28" i="39"/>
  <c r="Z28" i="39" s="1"/>
  <c r="N24" i="43"/>
  <c r="L24" i="43"/>
  <c r="J15" i="23"/>
  <c r="H18" i="23"/>
  <c r="J25" i="23"/>
  <c r="R27" i="23"/>
  <c r="J29" i="23"/>
  <c r="R31" i="23"/>
  <c r="J33" i="23"/>
  <c r="N12" i="24"/>
  <c r="J22" i="25"/>
  <c r="V26" i="25"/>
  <c r="H31" i="25"/>
  <c r="V34" i="25"/>
  <c r="J38" i="25"/>
  <c r="V42" i="25"/>
  <c r="V46" i="25"/>
  <c r="J50" i="25"/>
  <c r="V54" i="25"/>
  <c r="J56" i="25"/>
  <c r="V62" i="25"/>
  <c r="J64" i="25"/>
  <c r="V66" i="25"/>
  <c r="J70" i="25"/>
  <c r="J74" i="25"/>
  <c r="V78" i="25"/>
  <c r="R15" i="26"/>
  <c r="P18" i="26"/>
  <c r="R25" i="26"/>
  <c r="R29" i="26"/>
  <c r="R33" i="26"/>
  <c r="Z12" i="27"/>
  <c r="V16" i="27"/>
  <c r="V22" i="28"/>
  <c r="J26" i="28"/>
  <c r="V30" i="28"/>
  <c r="J34" i="28"/>
  <c r="V38" i="28"/>
  <c r="V42" i="28"/>
  <c r="V46" i="28"/>
  <c r="J50" i="28"/>
  <c r="J54" i="28"/>
  <c r="V58" i="28"/>
  <c r="J62" i="28"/>
  <c r="V66" i="28"/>
  <c r="J68" i="28"/>
  <c r="V74" i="28"/>
  <c r="J76" i="28"/>
  <c r="V78" i="28"/>
  <c r="V86" i="28"/>
  <c r="J88" i="28"/>
  <c r="J94" i="28"/>
  <c r="J98" i="28"/>
  <c r="J102" i="28"/>
  <c r="J106" i="28"/>
  <c r="J110" i="28"/>
  <c r="V114" i="28"/>
  <c r="J16" i="29"/>
  <c r="R15" i="30"/>
  <c r="P18" i="30"/>
  <c r="R25" i="30"/>
  <c r="R29" i="30"/>
  <c r="R33" i="30"/>
  <c r="V31" i="31"/>
  <c r="V43" i="31"/>
  <c r="V47" i="31"/>
  <c r="Z15" i="33"/>
  <c r="T18" i="33"/>
  <c r="Z16" i="33"/>
  <c r="N44" i="34"/>
  <c r="Z66" i="34"/>
  <c r="Z114" i="34"/>
  <c r="X114" i="34"/>
  <c r="N122" i="34"/>
  <c r="Z39" i="36"/>
  <c r="N13" i="38"/>
  <c r="L13" i="38"/>
  <c r="F110" i="39"/>
  <c r="F104" i="39"/>
  <c r="F101" i="39"/>
  <c r="F97" i="39"/>
  <c r="F89" i="39"/>
  <c r="F81" i="39"/>
  <c r="F100" i="39"/>
  <c r="F96" i="39"/>
  <c r="F117" i="39"/>
  <c r="F112" i="39"/>
  <c r="F106" i="39"/>
  <c r="F103" i="39"/>
  <c r="F95" i="39"/>
  <c r="F86" i="39"/>
  <c r="F94" i="39"/>
  <c r="F111" i="39"/>
  <c r="F109" i="39"/>
  <c r="F99" i="39"/>
  <c r="F107" i="39"/>
  <c r="F102" i="39"/>
  <c r="F93" i="39"/>
  <c r="F74" i="39"/>
  <c r="F70" i="39"/>
  <c r="F67" i="39"/>
  <c r="F55" i="39"/>
  <c r="F50" i="39"/>
  <c r="F43" i="39"/>
  <c r="F31" i="39"/>
  <c r="D25" i="39"/>
  <c r="F23" i="39"/>
  <c r="F90" i="39"/>
  <c r="F77" i="39"/>
  <c r="F76" i="39"/>
  <c r="F75" i="39"/>
  <c r="F73" i="39"/>
  <c r="F61" i="39"/>
  <c r="F58" i="39"/>
  <c r="F42" i="39"/>
  <c r="F38" i="39"/>
  <c r="F30" i="39"/>
  <c r="F22" i="39"/>
  <c r="F69" i="39"/>
  <c r="F57" i="39"/>
  <c r="F52" i="39"/>
  <c r="F49" i="39"/>
  <c r="F41" i="39"/>
  <c r="F37" i="39"/>
  <c r="F29" i="39"/>
  <c r="F21" i="39"/>
  <c r="F113" i="39"/>
  <c r="F91" i="39"/>
  <c r="F72" i="39"/>
  <c r="F63" i="39"/>
  <c r="F60" i="39"/>
  <c r="F48" i="39"/>
  <c r="F40" i="39"/>
  <c r="F36" i="39"/>
  <c r="F27" i="39"/>
  <c r="F105" i="39"/>
  <c r="F71" i="39"/>
  <c r="F66" i="39"/>
  <c r="F54" i="39"/>
  <c r="F51" i="39"/>
  <c r="F47" i="39"/>
  <c r="F35" i="39"/>
  <c r="F92" i="39"/>
  <c r="F82" i="39"/>
  <c r="F62" i="39"/>
  <c r="F46" i="39"/>
  <c r="F34" i="39"/>
  <c r="F98" i="39"/>
  <c r="F87" i="39"/>
  <c r="F84" i="39"/>
  <c r="F83" i="39"/>
  <c r="F80" i="39"/>
  <c r="F68" i="39"/>
  <c r="F65" i="39"/>
  <c r="F56" i="39"/>
  <c r="F53" i="39"/>
  <c r="F45" i="39"/>
  <c r="F33" i="39"/>
  <c r="F28" i="39"/>
  <c r="F20" i="39"/>
  <c r="N20" i="39"/>
  <c r="F78" i="39"/>
  <c r="X15" i="40"/>
  <c r="T18" i="40"/>
  <c r="Z15" i="40"/>
  <c r="X22" i="41"/>
  <c r="Z22" i="41"/>
  <c r="V70" i="48"/>
  <c r="V73" i="48"/>
  <c r="V69" i="48"/>
  <c r="V53" i="48"/>
  <c r="V59" i="48"/>
  <c r="V55" i="48"/>
  <c r="V77" i="48"/>
  <c r="V65" i="48"/>
  <c r="V61" i="48"/>
  <c r="V57" i="48"/>
  <c r="V68" i="48"/>
  <c r="V64" i="48"/>
  <c r="V51" i="48"/>
  <c r="V43" i="48"/>
  <c r="V39" i="48"/>
  <c r="V31" i="48"/>
  <c r="V27" i="48"/>
  <c r="V17" i="48"/>
  <c r="V42" i="48"/>
  <c r="V38" i="48"/>
  <c r="V26" i="48"/>
  <c r="T17" i="48"/>
  <c r="V72" i="48"/>
  <c r="V67" i="48"/>
  <c r="V60" i="48"/>
  <c r="V45" i="48"/>
  <c r="V37" i="48"/>
  <c r="V25" i="48"/>
  <c r="V63" i="48"/>
  <c r="V44" i="48"/>
  <c r="V36" i="48"/>
  <c r="V24" i="48"/>
  <c r="V66" i="48"/>
  <c r="V47" i="48"/>
  <c r="V35" i="48"/>
  <c r="V23" i="48"/>
  <c r="V19" i="48"/>
  <c r="V15" i="48"/>
  <c r="V62" i="48"/>
  <c r="V50" i="48"/>
  <c r="V46" i="48"/>
  <c r="V34" i="48"/>
  <c r="V30" i="48"/>
  <c r="V22" i="48"/>
  <c r="V56" i="48"/>
  <c r="V54" i="48"/>
  <c r="V49" i="48"/>
  <c r="V41" i="48"/>
  <c r="V33" i="48"/>
  <c r="V29" i="48"/>
  <c r="V21" i="48"/>
  <c r="X12" i="48"/>
  <c r="Z12" i="48" s="1"/>
  <c r="V20" i="48"/>
  <c r="V58" i="48"/>
  <c r="V48" i="48"/>
  <c r="V52" i="48"/>
  <c r="V40" i="48"/>
  <c r="V28" i="48"/>
  <c r="V32" i="48"/>
  <c r="R25" i="32"/>
  <c r="R29" i="32"/>
  <c r="R33" i="32"/>
  <c r="R36" i="32"/>
  <c r="Z12" i="33"/>
  <c r="F16" i="33"/>
  <c r="V16" i="33"/>
  <c r="F20" i="33"/>
  <c r="V20" i="33"/>
  <c r="R22" i="33"/>
  <c r="V22" i="34"/>
  <c r="J26" i="34"/>
  <c r="V30" i="34"/>
  <c r="J34" i="34"/>
  <c r="V38" i="34"/>
  <c r="J42" i="34"/>
  <c r="V46" i="34"/>
  <c r="J50" i="34"/>
  <c r="V54" i="34"/>
  <c r="V58" i="34"/>
  <c r="J62" i="34"/>
  <c r="V70" i="34"/>
  <c r="J72" i="34"/>
  <c r="V74" i="34"/>
  <c r="J78" i="34"/>
  <c r="V82" i="34"/>
  <c r="V86" i="34"/>
  <c r="J90" i="34"/>
  <c r="V94" i="34"/>
  <c r="J96" i="34"/>
  <c r="V98" i="34"/>
  <c r="J100" i="34"/>
  <c r="V102" i="34"/>
  <c r="J104" i="34"/>
  <c r="V106" i="34"/>
  <c r="V110" i="34"/>
  <c r="V114" i="34"/>
  <c r="J116" i="34"/>
  <c r="V118" i="34"/>
  <c r="J123" i="34"/>
  <c r="V124" i="34"/>
  <c r="J15" i="35"/>
  <c r="H18" i="35"/>
  <c r="F21" i="35"/>
  <c r="V21" i="35"/>
  <c r="J25" i="35"/>
  <c r="R27" i="35"/>
  <c r="J29" i="35"/>
  <c r="R31" i="35"/>
  <c r="J33" i="35"/>
  <c r="R34" i="35"/>
  <c r="J36" i="35"/>
  <c r="V21" i="36"/>
  <c r="J25" i="36"/>
  <c r="V29" i="36"/>
  <c r="J33" i="36"/>
  <c r="V37" i="36"/>
  <c r="J39" i="36"/>
  <c r="V41" i="36"/>
  <c r="J45" i="36"/>
  <c r="V49" i="36"/>
  <c r="J53" i="36"/>
  <c r="V57" i="36"/>
  <c r="J59" i="36"/>
  <c r="V65" i="36"/>
  <c r="V69" i="36"/>
  <c r="J73" i="36"/>
  <c r="V77" i="36"/>
  <c r="V81" i="36"/>
  <c r="J83" i="36"/>
  <c r="V85" i="36"/>
  <c r="V89" i="36"/>
  <c r="V93" i="36"/>
  <c r="J97" i="36"/>
  <c r="V101" i="36"/>
  <c r="J103" i="36"/>
  <c r="V105" i="36"/>
  <c r="J109" i="36"/>
  <c r="J116" i="36"/>
  <c r="V117" i="36"/>
  <c r="F21" i="37"/>
  <c r="V21" i="37"/>
  <c r="J25" i="37"/>
  <c r="R27" i="37"/>
  <c r="J29" i="37"/>
  <c r="R31" i="37"/>
  <c r="J33" i="37"/>
  <c r="R34" i="37"/>
  <c r="J36" i="37"/>
  <c r="V18" i="38"/>
  <c r="J22" i="38"/>
  <c r="R24" i="38"/>
  <c r="V20" i="39"/>
  <c r="H25" i="39"/>
  <c r="V28" i="39"/>
  <c r="J32" i="39"/>
  <c r="V36" i="39"/>
  <c r="X39" i="39"/>
  <c r="V40" i="39"/>
  <c r="J44" i="39"/>
  <c r="V48" i="39"/>
  <c r="J50" i="39"/>
  <c r="V56" i="39"/>
  <c r="X59" i="39"/>
  <c r="Z59" i="39" s="1"/>
  <c r="V60" i="39"/>
  <c r="L61" i="39"/>
  <c r="N61" i="39" s="1"/>
  <c r="J64" i="39"/>
  <c r="V68" i="39"/>
  <c r="J70" i="39"/>
  <c r="J78" i="39"/>
  <c r="J79" i="39"/>
  <c r="J85" i="39"/>
  <c r="N88" i="39"/>
  <c r="J101" i="39"/>
  <c r="N102" i="39"/>
  <c r="J111" i="39"/>
  <c r="V112" i="39"/>
  <c r="R36" i="40"/>
  <c r="R33" i="40"/>
  <c r="R29" i="40"/>
  <c r="R25" i="40"/>
  <c r="P18" i="40"/>
  <c r="R15" i="40"/>
  <c r="R22" i="40"/>
  <c r="X12" i="40"/>
  <c r="R20" i="40"/>
  <c r="R16" i="40"/>
  <c r="R24" i="40"/>
  <c r="R21" i="40"/>
  <c r="R34" i="40"/>
  <c r="L15" i="41"/>
  <c r="Z19" i="42"/>
  <c r="N54" i="42"/>
  <c r="N66" i="42"/>
  <c r="Z13" i="43"/>
  <c r="X13" i="43"/>
  <c r="R52" i="45"/>
  <c r="Z58" i="45"/>
  <c r="N60" i="45"/>
  <c r="R72" i="45"/>
  <c r="Z13" i="46"/>
  <c r="X13" i="46"/>
  <c r="N24" i="46"/>
  <c r="L24" i="46"/>
  <c r="H75" i="48"/>
  <c r="J17" i="48"/>
  <c r="D12" i="34"/>
  <c r="J27" i="34"/>
  <c r="J35" i="34"/>
  <c r="J45" i="34"/>
  <c r="V47" i="34"/>
  <c r="J51" i="34"/>
  <c r="V59" i="34"/>
  <c r="J63" i="34"/>
  <c r="J67" i="34"/>
  <c r="V71" i="34"/>
  <c r="V79" i="34"/>
  <c r="V83" i="34"/>
  <c r="J85" i="34"/>
  <c r="V91" i="34"/>
  <c r="J93" i="34"/>
  <c r="V95" i="34"/>
  <c r="V99" i="34"/>
  <c r="V103" i="34"/>
  <c r="V111" i="34"/>
  <c r="V115" i="34"/>
  <c r="J127" i="34"/>
  <c r="F24" i="35"/>
  <c r="V24" i="35"/>
  <c r="V22" i="36"/>
  <c r="J28" i="36"/>
  <c r="V30" i="36"/>
  <c r="J34" i="36"/>
  <c r="V38" i="36"/>
  <c r="V42" i="36"/>
  <c r="J46" i="36"/>
  <c r="V54" i="36"/>
  <c r="J56" i="36"/>
  <c r="V58" i="36"/>
  <c r="J62" i="36"/>
  <c r="V66" i="36"/>
  <c r="J68" i="36"/>
  <c r="V74" i="36"/>
  <c r="J76" i="36"/>
  <c r="V78" i="36"/>
  <c r="V82" i="36"/>
  <c r="V86" i="36"/>
  <c r="V90" i="36"/>
  <c r="J92" i="36"/>
  <c r="V94" i="36"/>
  <c r="J98" i="36"/>
  <c r="V102" i="36"/>
  <c r="J110" i="36"/>
  <c r="J114" i="36"/>
  <c r="J120" i="36"/>
  <c r="R16" i="37"/>
  <c r="J18" i="37"/>
  <c r="R20" i="37"/>
  <c r="F24" i="37"/>
  <c r="V24" i="37"/>
  <c r="J15" i="38"/>
  <c r="H18" i="38"/>
  <c r="F21" i="38"/>
  <c r="V21" i="38"/>
  <c r="J25" i="38"/>
  <c r="R27" i="38"/>
  <c r="J29" i="38"/>
  <c r="R31" i="38"/>
  <c r="J33" i="38"/>
  <c r="R34" i="38"/>
  <c r="J36" i="38"/>
  <c r="P12" i="39"/>
  <c r="V21" i="39"/>
  <c r="V29" i="39"/>
  <c r="J33" i="39"/>
  <c r="V37" i="39"/>
  <c r="J39" i="39"/>
  <c r="V41" i="39"/>
  <c r="J45" i="39"/>
  <c r="V49" i="39"/>
  <c r="J53" i="39"/>
  <c r="V57" i="39"/>
  <c r="J59" i="39"/>
  <c r="J65" i="39"/>
  <c r="V69" i="39"/>
  <c r="Z72" i="39"/>
  <c r="V75" i="39"/>
  <c r="N80" i="39"/>
  <c r="J81" i="39"/>
  <c r="J83" i="39"/>
  <c r="J84" i="39"/>
  <c r="J87" i="39"/>
  <c r="J97" i="39"/>
  <c r="Z99" i="39"/>
  <c r="J102" i="39"/>
  <c r="Z48" i="42"/>
  <c r="X48" i="42"/>
  <c r="N31" i="48"/>
  <c r="L31" i="48"/>
  <c r="J31" i="48"/>
  <c r="J20" i="34"/>
  <c r="J28" i="34"/>
  <c r="J36" i="34"/>
  <c r="J52" i="34"/>
  <c r="J56" i="34"/>
  <c r="J64" i="34"/>
  <c r="J70" i="34"/>
  <c r="J76" i="34"/>
  <c r="V80" i="34"/>
  <c r="J82" i="34"/>
  <c r="V84" i="34"/>
  <c r="J88" i="34"/>
  <c r="V92" i="34"/>
  <c r="J108" i="34"/>
  <c r="V112" i="34"/>
  <c r="J114" i="34"/>
  <c r="J120" i="34"/>
  <c r="V122" i="34"/>
  <c r="V67" i="36"/>
  <c r="V75" i="36"/>
  <c r="V79" i="36"/>
  <c r="V87" i="36"/>
  <c r="J89" i="36"/>
  <c r="V91" i="36"/>
  <c r="V95" i="36"/>
  <c r="J99" i="36"/>
  <c r="J107" i="36"/>
  <c r="V111" i="36"/>
  <c r="V115" i="36"/>
  <c r="V24" i="38"/>
  <c r="V104" i="39"/>
  <c r="V92" i="39"/>
  <c r="V84" i="39"/>
  <c r="V76" i="39"/>
  <c r="V113" i="39"/>
  <c r="V107" i="39"/>
  <c r="V91" i="39"/>
  <c r="V87" i="39"/>
  <c r="V110" i="39"/>
  <c r="V106" i="39"/>
  <c r="V98" i="39"/>
  <c r="V90" i="39"/>
  <c r="V86" i="39"/>
  <c r="V82" i="39"/>
  <c r="V78" i="39"/>
  <c r="V74" i="39"/>
  <c r="V101" i="39"/>
  <c r="V97" i="39"/>
  <c r="V89" i="39"/>
  <c r="V117" i="39"/>
  <c r="V109" i="39"/>
  <c r="V103" i="39"/>
  <c r="V99" i="39"/>
  <c r="V95" i="39"/>
  <c r="V102" i="39"/>
  <c r="V94" i="39"/>
  <c r="V22" i="39"/>
  <c r="V30" i="39"/>
  <c r="V38" i="39"/>
  <c r="V42" i="39"/>
  <c r="V54" i="39"/>
  <c r="J56" i="39"/>
  <c r="V58" i="39"/>
  <c r="J62" i="39"/>
  <c r="V66" i="39"/>
  <c r="J68" i="39"/>
  <c r="V72" i="39"/>
  <c r="V73" i="39"/>
  <c r="J82" i="39"/>
  <c r="J92" i="39"/>
  <c r="J110" i="39"/>
  <c r="V111" i="39"/>
  <c r="L15" i="40"/>
  <c r="D18" i="40"/>
  <c r="P31" i="41"/>
  <c r="N50" i="42"/>
  <c r="L50" i="42"/>
  <c r="Z64" i="51"/>
  <c r="X64" i="51"/>
  <c r="F18" i="32"/>
  <c r="R24" i="32"/>
  <c r="L12" i="33"/>
  <c r="F15" i="33"/>
  <c r="D18" i="33"/>
  <c r="F25" i="33"/>
  <c r="V25" i="33"/>
  <c r="F29" i="33"/>
  <c r="V29" i="33"/>
  <c r="F33" i="33"/>
  <c r="V33" i="33"/>
  <c r="F36" i="33"/>
  <c r="V36" i="33"/>
  <c r="J21" i="34"/>
  <c r="J29" i="34"/>
  <c r="J37" i="34"/>
  <c r="V49" i="34"/>
  <c r="J53" i="34"/>
  <c r="J57" i="34"/>
  <c r="V61" i="34"/>
  <c r="J65" i="34"/>
  <c r="V69" i="34"/>
  <c r="J73" i="34"/>
  <c r="V77" i="34"/>
  <c r="J79" i="34"/>
  <c r="V81" i="34"/>
  <c r="V89" i="34"/>
  <c r="J91" i="34"/>
  <c r="J97" i="34"/>
  <c r="J101" i="34"/>
  <c r="J105" i="34"/>
  <c r="J109" i="34"/>
  <c r="V113" i="34"/>
  <c r="J117" i="34"/>
  <c r="J124" i="34"/>
  <c r="V125" i="34"/>
  <c r="J129" i="34"/>
  <c r="Z12" i="35"/>
  <c r="V16" i="35"/>
  <c r="V20" i="35"/>
  <c r="V32" i="36"/>
  <c r="J36" i="36"/>
  <c r="J40" i="36"/>
  <c r="V44" i="36"/>
  <c r="J48" i="36"/>
  <c r="V52" i="36"/>
  <c r="J54" i="36"/>
  <c r="J60" i="36"/>
  <c r="V64" i="36"/>
  <c r="V72" i="36"/>
  <c r="J74" i="36"/>
  <c r="V80" i="36"/>
  <c r="J84" i="36"/>
  <c r="V88" i="36"/>
  <c r="V96" i="36"/>
  <c r="J100" i="36"/>
  <c r="J104" i="36"/>
  <c r="V108" i="36"/>
  <c r="V112" i="36"/>
  <c r="X115" i="36"/>
  <c r="Z115" i="36" s="1"/>
  <c r="J117" i="36"/>
  <c r="V118" i="36"/>
  <c r="J122" i="36"/>
  <c r="X13" i="37"/>
  <c r="F16" i="37"/>
  <c r="V16" i="37"/>
  <c r="F20" i="37"/>
  <c r="V20" i="37"/>
  <c r="R22" i="37"/>
  <c r="J24" i="37"/>
  <c r="X12" i="38"/>
  <c r="J21" i="38"/>
  <c r="F27" i="38"/>
  <c r="V27" i="38"/>
  <c r="F31" i="38"/>
  <c r="V31" i="38"/>
  <c r="F34" i="38"/>
  <c r="V34" i="38"/>
  <c r="V23" i="39"/>
  <c r="V27" i="39"/>
  <c r="V31" i="39"/>
  <c r="J35" i="39"/>
  <c r="V43" i="39"/>
  <c r="J47" i="39"/>
  <c r="J51" i="39"/>
  <c r="V55" i="39"/>
  <c r="V63" i="39"/>
  <c r="V67" i="39"/>
  <c r="J71" i="39"/>
  <c r="V79" i="39"/>
  <c r="V85" i="39"/>
  <c r="Z88" i="39"/>
  <c r="R31" i="40"/>
  <c r="F20" i="41"/>
  <c r="F16" i="41"/>
  <c r="F34" i="41"/>
  <c r="F31" i="41"/>
  <c r="F27" i="41"/>
  <c r="F24" i="41"/>
  <c r="F21" i="41"/>
  <c r="F36" i="41"/>
  <c r="F33" i="41"/>
  <c r="F29" i="41"/>
  <c r="F25" i="41"/>
  <c r="D18" i="41"/>
  <c r="F15" i="41"/>
  <c r="L12" i="41"/>
  <c r="F22" i="41"/>
  <c r="N68" i="42"/>
  <c r="Z16" i="43"/>
  <c r="X16" i="43"/>
  <c r="Z20" i="43"/>
  <c r="X20" i="43"/>
  <c r="R97" i="45"/>
  <c r="R90" i="45"/>
  <c r="R86" i="45"/>
  <c r="R79" i="45"/>
  <c r="R46" i="45"/>
  <c r="R38" i="45"/>
  <c r="R34" i="45"/>
  <c r="R89" i="45"/>
  <c r="R85" i="45"/>
  <c r="R65" i="45"/>
  <c r="R62" i="45"/>
  <c r="R57" i="45"/>
  <c r="R54" i="45"/>
  <c r="R49" i="45"/>
  <c r="R45" i="45"/>
  <c r="R33" i="45"/>
  <c r="R26" i="45"/>
  <c r="R18" i="45"/>
  <c r="R92" i="45"/>
  <c r="R84" i="45"/>
  <c r="R76" i="45"/>
  <c r="R44" i="45"/>
  <c r="R37" i="45"/>
  <c r="R32" i="45"/>
  <c r="R101" i="45"/>
  <c r="R95" i="45"/>
  <c r="R88" i="45"/>
  <c r="R83" i="45"/>
  <c r="R75" i="45"/>
  <c r="R71" i="45"/>
  <c r="R67" i="45"/>
  <c r="R64" i="45"/>
  <c r="R59" i="45"/>
  <c r="R56" i="45"/>
  <c r="R51" i="45"/>
  <c r="R48" i="45"/>
  <c r="R43" i="45"/>
  <c r="R31" i="45"/>
  <c r="P23" i="45"/>
  <c r="R23" i="45" s="1"/>
  <c r="R94" i="45"/>
  <c r="R91" i="45"/>
  <c r="R82" i="45"/>
  <c r="R78" i="45"/>
  <c r="R74" i="45"/>
  <c r="R70" i="45"/>
  <c r="R42" i="45"/>
  <c r="R30" i="45"/>
  <c r="R81" i="45"/>
  <c r="R73" i="45"/>
  <c r="R69" i="45"/>
  <c r="R66" i="45"/>
  <c r="R61" i="45"/>
  <c r="R58" i="45"/>
  <c r="R53" i="45"/>
  <c r="R50" i="45"/>
  <c r="R41" i="45"/>
  <c r="R29" i="45"/>
  <c r="R21" i="45"/>
  <c r="R93" i="45"/>
  <c r="R80" i="45"/>
  <c r="R77" i="45"/>
  <c r="R40" i="45"/>
  <c r="R36" i="45"/>
  <c r="R28" i="45"/>
  <c r="R25" i="45"/>
  <c r="R20" i="45"/>
  <c r="X12" i="45"/>
  <c r="Z25" i="45"/>
  <c r="R39" i="45"/>
  <c r="R55" i="45"/>
  <c r="R68" i="45"/>
  <c r="Z97" i="45"/>
  <c r="X97" i="45"/>
  <c r="N19" i="48"/>
  <c r="L51" i="48"/>
  <c r="N51" i="48" s="1"/>
  <c r="F66" i="51"/>
  <c r="F63" i="51"/>
  <c r="F58" i="51"/>
  <c r="F55" i="51"/>
  <c r="F47" i="51"/>
  <c r="F43" i="51"/>
  <c r="F35" i="51"/>
  <c r="F27" i="51"/>
  <c r="F75" i="51"/>
  <c r="F54" i="51"/>
  <c r="F46" i="51"/>
  <c r="F42" i="51"/>
  <c r="F33" i="51"/>
  <c r="F26" i="51"/>
  <c r="F68" i="51"/>
  <c r="F65" i="51"/>
  <c r="F60" i="51"/>
  <c r="F57" i="51"/>
  <c r="F53" i="51"/>
  <c r="F41" i="51"/>
  <c r="F25" i="51"/>
  <c r="F77" i="51"/>
  <c r="F71" i="51"/>
  <c r="F52" i="51"/>
  <c r="F40" i="51"/>
  <c r="F24" i="51"/>
  <c r="F19" i="51"/>
  <c r="F67" i="51"/>
  <c r="F62" i="51"/>
  <c r="F59" i="51"/>
  <c r="F51" i="51"/>
  <c r="F39" i="51"/>
  <c r="F34" i="51"/>
  <c r="F23" i="51"/>
  <c r="F70" i="51"/>
  <c r="F50" i="51"/>
  <c r="F45" i="51"/>
  <c r="F38" i="51"/>
  <c r="F22" i="51"/>
  <c r="L12" i="51"/>
  <c r="N12" i="51" s="1"/>
  <c r="F81" i="51"/>
  <c r="F76" i="51"/>
  <c r="F74" i="51"/>
  <c r="F69" i="51"/>
  <c r="F64" i="51"/>
  <c r="F61" i="51"/>
  <c r="F56" i="51"/>
  <c r="F49" i="51"/>
  <c r="F37" i="51"/>
  <c r="D31" i="51"/>
  <c r="F31" i="51" s="1"/>
  <c r="F29" i="51"/>
  <c r="F21" i="51"/>
  <c r="F36" i="51"/>
  <c r="F72" i="51"/>
  <c r="F44" i="51"/>
  <c r="F20" i="51"/>
  <c r="F48" i="51"/>
  <c r="F21" i="32"/>
  <c r="V21" i="32"/>
  <c r="R27" i="32"/>
  <c r="R31" i="32"/>
  <c r="R34" i="32"/>
  <c r="F18" i="33"/>
  <c r="V18" i="33"/>
  <c r="R24" i="33"/>
  <c r="P27" i="33"/>
  <c r="J22" i="34"/>
  <c r="V26" i="34"/>
  <c r="J30" i="34"/>
  <c r="V34" i="34"/>
  <c r="J38" i="34"/>
  <c r="J44" i="34"/>
  <c r="J46" i="34"/>
  <c r="V50" i="34"/>
  <c r="J54" i="34"/>
  <c r="J58" i="34"/>
  <c r="V62" i="34"/>
  <c r="V66" i="34"/>
  <c r="J68" i="34"/>
  <c r="J74" i="34"/>
  <c r="X77" i="34"/>
  <c r="V78" i="34"/>
  <c r="L79" i="34"/>
  <c r="N79" i="34" s="1"/>
  <c r="J86" i="34"/>
  <c r="X89" i="34"/>
  <c r="Z89" i="34" s="1"/>
  <c r="V90" i="34"/>
  <c r="L91" i="34"/>
  <c r="N91" i="34" s="1"/>
  <c r="J94" i="34"/>
  <c r="J98" i="34"/>
  <c r="J102" i="34"/>
  <c r="J106" i="34"/>
  <c r="J110" i="34"/>
  <c r="J118" i="34"/>
  <c r="J122" i="34"/>
  <c r="X16" i="35"/>
  <c r="X20" i="35"/>
  <c r="L24" i="35"/>
  <c r="R25" i="35"/>
  <c r="J27" i="35"/>
  <c r="R29" i="35"/>
  <c r="J31" i="35"/>
  <c r="R33" i="35"/>
  <c r="J34" i="35"/>
  <c r="R36" i="35"/>
  <c r="D12" i="36"/>
  <c r="J27" i="36"/>
  <c r="J29" i="36"/>
  <c r="V33" i="36"/>
  <c r="J37" i="36"/>
  <c r="J41" i="36"/>
  <c r="V45" i="36"/>
  <c r="J49" i="36"/>
  <c r="X52" i="36"/>
  <c r="V53" i="36"/>
  <c r="L54" i="36"/>
  <c r="N54" i="36" s="1"/>
  <c r="J57" i="36"/>
  <c r="V61" i="36"/>
  <c r="J63" i="36"/>
  <c r="J69" i="36"/>
  <c r="X72" i="36"/>
  <c r="Z72" i="36" s="1"/>
  <c r="V73" i="36"/>
  <c r="L74" i="36"/>
  <c r="N74" i="36" s="1"/>
  <c r="J77" i="36"/>
  <c r="J85" i="36"/>
  <c r="J93" i="36"/>
  <c r="V97" i="36"/>
  <c r="J101" i="36"/>
  <c r="J105" i="36"/>
  <c r="V109" i="36"/>
  <c r="J111" i="36"/>
  <c r="R15" i="37"/>
  <c r="P18" i="37"/>
  <c r="R25" i="37"/>
  <c r="J27" i="37"/>
  <c r="R29" i="37"/>
  <c r="J31" i="37"/>
  <c r="R33" i="37"/>
  <c r="J34" i="37"/>
  <c r="R36" i="37"/>
  <c r="Z12" i="38"/>
  <c r="V16" i="38"/>
  <c r="V20" i="38"/>
  <c r="R22" i="38"/>
  <c r="J24" i="38"/>
  <c r="V32" i="39"/>
  <c r="J36" i="39"/>
  <c r="J40" i="39"/>
  <c r="V44" i="39"/>
  <c r="J48" i="39"/>
  <c r="V52" i="39"/>
  <c r="J54" i="39"/>
  <c r="J60" i="39"/>
  <c r="V64" i="39"/>
  <c r="J66" i="39"/>
  <c r="V77" i="39"/>
  <c r="V83" i="39"/>
  <c r="V88" i="39"/>
  <c r="J91" i="39"/>
  <c r="Z102" i="39"/>
  <c r="N104" i="39"/>
  <c r="N109" i="39"/>
  <c r="D12" i="42"/>
  <c r="V18" i="45"/>
  <c r="R63" i="45"/>
  <c r="Z16" i="46"/>
  <c r="X16" i="46"/>
  <c r="Z20" i="46"/>
  <c r="X20" i="46"/>
  <c r="X19" i="48"/>
  <c r="Z19" i="48" s="1"/>
  <c r="R19" i="48"/>
  <c r="N21" i="52"/>
  <c r="L21" i="52"/>
  <c r="R16" i="32"/>
  <c r="F24" i="32"/>
  <c r="V24" i="32"/>
  <c r="F21" i="33"/>
  <c r="V21" i="33"/>
  <c r="R27" i="33"/>
  <c r="R31" i="33"/>
  <c r="R34" i="33"/>
  <c r="P12" i="34"/>
  <c r="V19" i="34"/>
  <c r="J23" i="34"/>
  <c r="V27" i="34"/>
  <c r="J31" i="34"/>
  <c r="V35" i="34"/>
  <c r="J39" i="34"/>
  <c r="T42" i="34"/>
  <c r="V42" i="34" s="1"/>
  <c r="J47" i="34"/>
  <c r="V51" i="34"/>
  <c r="V55" i="34"/>
  <c r="J59" i="34"/>
  <c r="V63" i="34"/>
  <c r="V67" i="34"/>
  <c r="J71" i="34"/>
  <c r="V75" i="34"/>
  <c r="J77" i="34"/>
  <c r="J83" i="34"/>
  <c r="V87" i="34"/>
  <c r="J89" i="34"/>
  <c r="J95" i="34"/>
  <c r="J99" i="34"/>
  <c r="J103" i="34"/>
  <c r="V107" i="34"/>
  <c r="J111" i="34"/>
  <c r="J115" i="34"/>
  <c r="V119" i="34"/>
  <c r="V123" i="34"/>
  <c r="J16" i="35"/>
  <c r="R18" i="35"/>
  <c r="F22" i="35"/>
  <c r="V22" i="35"/>
  <c r="J22" i="36"/>
  <c r="T25" i="36"/>
  <c r="J30" i="36"/>
  <c r="V34" i="36"/>
  <c r="J38" i="36"/>
  <c r="J42" i="36"/>
  <c r="V46" i="36"/>
  <c r="V50" i="36"/>
  <c r="J52" i="36"/>
  <c r="J58" i="36"/>
  <c r="V62" i="36"/>
  <c r="J66" i="36"/>
  <c r="V70" i="36"/>
  <c r="J72" i="36"/>
  <c r="J78" i="36"/>
  <c r="J82" i="36"/>
  <c r="J86" i="36"/>
  <c r="J90" i="36"/>
  <c r="J94" i="36"/>
  <c r="V98" i="36"/>
  <c r="J102" i="36"/>
  <c r="V106" i="36"/>
  <c r="J108" i="36"/>
  <c r="V110" i="36"/>
  <c r="J115" i="36"/>
  <c r="V116" i="36"/>
  <c r="J16" i="37"/>
  <c r="R18" i="37"/>
  <c r="F22" i="37"/>
  <c r="V22" i="37"/>
  <c r="R15" i="38"/>
  <c r="P18" i="38"/>
  <c r="R25" i="38"/>
  <c r="J27" i="38"/>
  <c r="R29" i="38"/>
  <c r="J31" i="38"/>
  <c r="R33" i="38"/>
  <c r="J34" i="38"/>
  <c r="R36" i="38"/>
  <c r="J21" i="39"/>
  <c r="J27" i="39"/>
  <c r="J29" i="39"/>
  <c r="V33" i="39"/>
  <c r="J37" i="39"/>
  <c r="J41" i="39"/>
  <c r="V45" i="39"/>
  <c r="J49" i="39"/>
  <c r="V53" i="39"/>
  <c r="J57" i="39"/>
  <c r="V61" i="39"/>
  <c r="J63" i="39"/>
  <c r="V65" i="39"/>
  <c r="Z80" i="39"/>
  <c r="V81" i="39"/>
  <c r="Z86" i="39"/>
  <c r="L99" i="39"/>
  <c r="V100" i="39"/>
  <c r="V105" i="39"/>
  <c r="P109" i="39"/>
  <c r="X109" i="39" s="1"/>
  <c r="Z109" i="39" s="1"/>
  <c r="X110" i="39"/>
  <c r="Z110" i="39" s="1"/>
  <c r="L26" i="42"/>
  <c r="N26" i="42" s="1"/>
  <c r="N70" i="42"/>
  <c r="L70" i="42"/>
  <c r="V21" i="44"/>
  <c r="V18" i="44"/>
  <c r="V36" i="44"/>
  <c r="V33" i="44"/>
  <c r="V29" i="44"/>
  <c r="V25" i="44"/>
  <c r="T18" i="44"/>
  <c r="V15" i="44"/>
  <c r="V22" i="44"/>
  <c r="V20" i="44"/>
  <c r="V16" i="44"/>
  <c r="Z12" i="44"/>
  <c r="V34" i="44"/>
  <c r="V31" i="44"/>
  <c r="V27" i="44"/>
  <c r="X12" i="44"/>
  <c r="Z34" i="44"/>
  <c r="X34" i="44"/>
  <c r="V89" i="45"/>
  <c r="V85" i="45"/>
  <c r="V65" i="45"/>
  <c r="V57" i="45"/>
  <c r="V49" i="45"/>
  <c r="V45" i="45"/>
  <c r="V37" i="45"/>
  <c r="V33" i="45"/>
  <c r="V92" i="45"/>
  <c r="V88" i="45"/>
  <c r="V84" i="45"/>
  <c r="V76" i="45"/>
  <c r="V64" i="45"/>
  <c r="V56" i="45"/>
  <c r="V48" i="45"/>
  <c r="V44" i="45"/>
  <c r="V32" i="45"/>
  <c r="T23" i="45"/>
  <c r="V23" i="45" s="1"/>
  <c r="V101" i="45"/>
  <c r="V95" i="45"/>
  <c r="V91" i="45"/>
  <c r="V83" i="45"/>
  <c r="V75" i="45"/>
  <c r="V71" i="45"/>
  <c r="V67" i="45"/>
  <c r="V59" i="45"/>
  <c r="V51" i="45"/>
  <c r="V43" i="45"/>
  <c r="V31" i="45"/>
  <c r="V94" i="45"/>
  <c r="V82" i="45"/>
  <c r="V78" i="45"/>
  <c r="V74" i="45"/>
  <c r="V70" i="45"/>
  <c r="V66" i="45"/>
  <c r="V58" i="45"/>
  <c r="V50" i="45"/>
  <c r="V42" i="45"/>
  <c r="V30" i="45"/>
  <c r="V93" i="45"/>
  <c r="V81" i="45"/>
  <c r="V77" i="45"/>
  <c r="V73" i="45"/>
  <c r="V69" i="45"/>
  <c r="V61" i="45"/>
  <c r="V53" i="45"/>
  <c r="V41" i="45"/>
  <c r="V29" i="45"/>
  <c r="V25" i="45"/>
  <c r="V21" i="45"/>
  <c r="V80" i="45"/>
  <c r="V72" i="45"/>
  <c r="V68" i="45"/>
  <c r="V60" i="45"/>
  <c r="V52" i="45"/>
  <c r="V40" i="45"/>
  <c r="V36" i="45"/>
  <c r="V28" i="45"/>
  <c r="V20" i="45"/>
  <c r="Z12" i="45"/>
  <c r="V97" i="45"/>
  <c r="V87" i="45"/>
  <c r="V79" i="45"/>
  <c r="V63" i="45"/>
  <c r="V55" i="45"/>
  <c r="V47" i="45"/>
  <c r="V39" i="45"/>
  <c r="V35" i="45"/>
  <c r="V27" i="45"/>
  <c r="V19" i="45"/>
  <c r="R35" i="45"/>
  <c r="V38" i="45"/>
  <c r="Z50" i="45"/>
  <c r="V54" i="45"/>
  <c r="X79" i="45"/>
  <c r="Z79" i="45" s="1"/>
  <c r="Z44" i="48"/>
  <c r="F27" i="32"/>
  <c r="V27" i="32"/>
  <c r="F31" i="32"/>
  <c r="V31" i="32"/>
  <c r="R16" i="33"/>
  <c r="V20" i="34"/>
  <c r="J24" i="34"/>
  <c r="V28" i="34"/>
  <c r="J32" i="34"/>
  <c r="V36" i="34"/>
  <c r="J40" i="34"/>
  <c r="J48" i="34"/>
  <c r="V52" i="34"/>
  <c r="V56" i="34"/>
  <c r="J60" i="34"/>
  <c r="V64" i="34"/>
  <c r="J66" i="34"/>
  <c r="V72" i="34"/>
  <c r="V76" i="34"/>
  <c r="J80" i="34"/>
  <c r="J84" i="34"/>
  <c r="V88" i="34"/>
  <c r="J92" i="34"/>
  <c r="V96" i="34"/>
  <c r="V100" i="34"/>
  <c r="V104" i="34"/>
  <c r="V108" i="34"/>
  <c r="J112" i="34"/>
  <c r="V116" i="34"/>
  <c r="L12" i="35"/>
  <c r="F15" i="35"/>
  <c r="V15" i="35"/>
  <c r="D18" i="35"/>
  <c r="T18" i="35"/>
  <c r="F25" i="35"/>
  <c r="V25" i="35"/>
  <c r="F29" i="35"/>
  <c r="V29" i="35"/>
  <c r="F33" i="35"/>
  <c r="V33" i="35"/>
  <c r="J23" i="36"/>
  <c r="V25" i="36"/>
  <c r="J31" i="36"/>
  <c r="V35" i="36"/>
  <c r="V39" i="36"/>
  <c r="J43" i="36"/>
  <c r="V47" i="36"/>
  <c r="V51" i="36"/>
  <c r="J55" i="36"/>
  <c r="V59" i="36"/>
  <c r="J61" i="36"/>
  <c r="J67" i="36"/>
  <c r="V71" i="36"/>
  <c r="J75" i="36"/>
  <c r="J79" i="36"/>
  <c r="V83" i="36"/>
  <c r="J87" i="36"/>
  <c r="J91" i="36"/>
  <c r="J95" i="36"/>
  <c r="V99" i="36"/>
  <c r="V103" i="36"/>
  <c r="D114" i="36"/>
  <c r="L114" i="36" s="1"/>
  <c r="N114" i="36" s="1"/>
  <c r="L12" i="37"/>
  <c r="F15" i="37"/>
  <c r="V15" i="37"/>
  <c r="D18" i="37"/>
  <c r="T18" i="37"/>
  <c r="F25" i="37"/>
  <c r="V25" i="37"/>
  <c r="F29" i="37"/>
  <c r="V29" i="37"/>
  <c r="F33" i="37"/>
  <c r="V33" i="37"/>
  <c r="J16" i="38"/>
  <c r="J106" i="39"/>
  <c r="J100" i="39"/>
  <c r="J96" i="39"/>
  <c r="J86" i="39"/>
  <c r="J117" i="39"/>
  <c r="J112" i="39"/>
  <c r="J103" i="39"/>
  <c r="J95" i="39"/>
  <c r="J94" i="39"/>
  <c r="J88" i="39"/>
  <c r="J80" i="39"/>
  <c r="J72" i="39"/>
  <c r="J109" i="39"/>
  <c r="J105" i="39"/>
  <c r="J99" i="39"/>
  <c r="J93" i="39"/>
  <c r="J107" i="39"/>
  <c r="J113" i="39"/>
  <c r="J104" i="39"/>
  <c r="J98" i="39"/>
  <c r="J22" i="39"/>
  <c r="T25" i="39"/>
  <c r="J30" i="39"/>
  <c r="V34" i="39"/>
  <c r="J38" i="39"/>
  <c r="J42" i="39"/>
  <c r="V46" i="39"/>
  <c r="V50" i="39"/>
  <c r="J52" i="39"/>
  <c r="J58" i="39"/>
  <c r="V62" i="39"/>
  <c r="V70" i="39"/>
  <c r="V71" i="39"/>
  <c r="J73" i="39"/>
  <c r="J75" i="39"/>
  <c r="J76" i="39"/>
  <c r="V80" i="39"/>
  <c r="J89" i="39"/>
  <c r="J90" i="39"/>
  <c r="V96" i="39"/>
  <c r="N99" i="39"/>
  <c r="X68" i="42"/>
  <c r="Z68" i="42" s="1"/>
  <c r="N21" i="44"/>
  <c r="L21" i="44"/>
  <c r="H99" i="45"/>
  <c r="J23" i="45"/>
  <c r="L37" i="45"/>
  <c r="N37" i="45" s="1"/>
  <c r="J37" i="45"/>
  <c r="V21" i="47"/>
  <c r="V18" i="47"/>
  <c r="V36" i="47"/>
  <c r="V33" i="47"/>
  <c r="V29" i="47"/>
  <c r="V25" i="47"/>
  <c r="T18" i="47"/>
  <c r="X18" i="47" s="1"/>
  <c r="V15" i="47"/>
  <c r="V22" i="47"/>
  <c r="V20" i="47"/>
  <c r="V16" i="47"/>
  <c r="Z12" i="47"/>
  <c r="V34" i="47"/>
  <c r="V31" i="47"/>
  <c r="V27" i="47"/>
  <c r="X12" i="47"/>
  <c r="Z34" i="47"/>
  <c r="X34" i="47"/>
  <c r="P17" i="48"/>
  <c r="R17" i="48" s="1"/>
  <c r="X15" i="48"/>
  <c r="R15" i="48"/>
  <c r="V21" i="55"/>
  <c r="T16" i="55"/>
  <c r="X16" i="55" s="1"/>
  <c r="V24" i="55"/>
  <c r="V38" i="55"/>
  <c r="V33" i="55"/>
  <c r="V31" i="55"/>
  <c r="V27" i="55"/>
  <c r="V23" i="55"/>
  <c r="V26" i="55"/>
  <c r="V18" i="55"/>
  <c r="V14" i="55"/>
  <c r="V25" i="55"/>
  <c r="V20" i="55"/>
  <c r="Z12" i="55"/>
  <c r="V35" i="55"/>
  <c r="V29" i="55"/>
  <c r="V19" i="55"/>
  <c r="X12" i="55"/>
  <c r="V16" i="55"/>
  <c r="V22" i="55"/>
  <c r="V25" i="40"/>
  <c r="V29" i="40"/>
  <c r="V33" i="40"/>
  <c r="V36" i="40"/>
  <c r="J16" i="41"/>
  <c r="J20" i="41"/>
  <c r="J20" i="42"/>
  <c r="J26" i="42"/>
  <c r="J28" i="42"/>
  <c r="J36" i="42"/>
  <c r="J40" i="42"/>
  <c r="V48" i="42"/>
  <c r="J50" i="42"/>
  <c r="J56" i="42"/>
  <c r="V60" i="42"/>
  <c r="V68" i="42"/>
  <c r="J70" i="42"/>
  <c r="V72" i="42"/>
  <c r="V76" i="42"/>
  <c r="V80" i="42"/>
  <c r="V84" i="42"/>
  <c r="V88" i="42"/>
  <c r="J92" i="42"/>
  <c r="J100" i="42"/>
  <c r="V104" i="42"/>
  <c r="J109" i="42"/>
  <c r="V110" i="42"/>
  <c r="J114" i="42"/>
  <c r="F16" i="43"/>
  <c r="F20" i="43"/>
  <c r="J24" i="43"/>
  <c r="F27" i="44"/>
  <c r="F31" i="44"/>
  <c r="F34" i="44"/>
  <c r="F32" i="45"/>
  <c r="F44" i="45"/>
  <c r="J51" i="45"/>
  <c r="J59" i="45"/>
  <c r="J67" i="45"/>
  <c r="J71" i="45"/>
  <c r="J75" i="45"/>
  <c r="F76" i="45"/>
  <c r="F79" i="45"/>
  <c r="J83" i="45"/>
  <c r="F84" i="45"/>
  <c r="F92" i="45"/>
  <c r="J95" i="45"/>
  <c r="F97" i="45"/>
  <c r="J101" i="45"/>
  <c r="F16" i="46"/>
  <c r="F20" i="46"/>
  <c r="J24" i="46"/>
  <c r="F27" i="47"/>
  <c r="F31" i="47"/>
  <c r="F34" i="47"/>
  <c r="F26" i="48"/>
  <c r="J37" i="48"/>
  <c r="F38" i="48"/>
  <c r="J45" i="48"/>
  <c r="R50" i="48"/>
  <c r="J51" i="48"/>
  <c r="R57" i="48"/>
  <c r="R68" i="48"/>
  <c r="N45" i="51"/>
  <c r="N74" i="51"/>
  <c r="H35" i="55"/>
  <c r="Z19" i="55"/>
  <c r="N21" i="55"/>
  <c r="N18" i="56"/>
  <c r="T18" i="41"/>
  <c r="X18" i="41" s="1"/>
  <c r="T24" i="42"/>
  <c r="J29" i="42"/>
  <c r="J41" i="42"/>
  <c r="J53" i="42"/>
  <c r="V57" i="42"/>
  <c r="J59" i="42"/>
  <c r="J65" i="42"/>
  <c r="V69" i="42"/>
  <c r="V73" i="42"/>
  <c r="J75" i="42"/>
  <c r="V81" i="42"/>
  <c r="J83" i="42"/>
  <c r="V89" i="42"/>
  <c r="J93" i="42"/>
  <c r="J97" i="42"/>
  <c r="V101" i="42"/>
  <c r="J103" i="42"/>
  <c r="J27" i="43"/>
  <c r="J31" i="43"/>
  <c r="J34" i="43"/>
  <c r="F16" i="44"/>
  <c r="F20" i="44"/>
  <c r="F33" i="45"/>
  <c r="F45" i="45"/>
  <c r="F49" i="45"/>
  <c r="F52" i="45"/>
  <c r="J54" i="45"/>
  <c r="F57" i="45"/>
  <c r="F60" i="45"/>
  <c r="J62" i="45"/>
  <c r="F65" i="45"/>
  <c r="F68" i="45"/>
  <c r="F72" i="45"/>
  <c r="J76" i="45"/>
  <c r="J84" i="45"/>
  <c r="F85" i="45"/>
  <c r="F89" i="45"/>
  <c r="J92" i="45"/>
  <c r="J27" i="46"/>
  <c r="J31" i="46"/>
  <c r="J34" i="46"/>
  <c r="F16" i="47"/>
  <c r="F20" i="47"/>
  <c r="J20" i="48"/>
  <c r="F27" i="48"/>
  <c r="J38" i="48"/>
  <c r="F39" i="48"/>
  <c r="F43" i="48"/>
  <c r="F46" i="48"/>
  <c r="R47" i="48"/>
  <c r="Z55" i="48"/>
  <c r="Z57" i="48"/>
  <c r="N61" i="48"/>
  <c r="Z15" i="49"/>
  <c r="X15" i="49"/>
  <c r="T18" i="49"/>
  <c r="H83" i="51"/>
  <c r="Z71" i="51"/>
  <c r="J79" i="51"/>
  <c r="J78" i="42"/>
  <c r="J86" i="42"/>
  <c r="J94" i="42"/>
  <c r="J98" i="42"/>
  <c r="V102" i="42"/>
  <c r="J107" i="42"/>
  <c r="V108" i="42"/>
  <c r="J16" i="43"/>
  <c r="J20" i="43"/>
  <c r="F25" i="45"/>
  <c r="F34" i="45"/>
  <c r="F38" i="45"/>
  <c r="F46" i="45"/>
  <c r="F77" i="45"/>
  <c r="F86" i="45"/>
  <c r="J89" i="45"/>
  <c r="F90" i="45"/>
  <c r="F93" i="45"/>
  <c r="J97" i="45"/>
  <c r="J16" i="46"/>
  <c r="J20" i="46"/>
  <c r="F69" i="48"/>
  <c r="F66" i="48"/>
  <c r="F62" i="48"/>
  <c r="F58" i="48"/>
  <c r="F77" i="48"/>
  <c r="F65" i="48"/>
  <c r="F68" i="48"/>
  <c r="F64" i="48"/>
  <c r="F55" i="48"/>
  <c r="F70" i="48"/>
  <c r="F61" i="48"/>
  <c r="F57" i="48"/>
  <c r="F54" i="48"/>
  <c r="F15" i="48"/>
  <c r="F19" i="48"/>
  <c r="F28" i="48"/>
  <c r="F32" i="48"/>
  <c r="F40" i="48"/>
  <c r="F52" i="48"/>
  <c r="Z29" i="49"/>
  <c r="X29" i="49"/>
  <c r="D26" i="54"/>
  <c r="L22" i="54"/>
  <c r="X18" i="56"/>
  <c r="Z18" i="56" s="1"/>
  <c r="T71" i="59"/>
  <c r="F24" i="40"/>
  <c r="V24" i="40"/>
  <c r="J15" i="41"/>
  <c r="H18" i="41"/>
  <c r="J25" i="41"/>
  <c r="R27" i="41"/>
  <c r="J29" i="41"/>
  <c r="R31" i="41"/>
  <c r="J33" i="41"/>
  <c r="R34" i="41"/>
  <c r="J36" i="41"/>
  <c r="P12" i="42"/>
  <c r="V19" i="42"/>
  <c r="H24" i="42"/>
  <c r="J24" i="42" s="1"/>
  <c r="V27" i="42"/>
  <c r="J31" i="42"/>
  <c r="V35" i="42"/>
  <c r="J37" i="42"/>
  <c r="V39" i="42"/>
  <c r="J43" i="42"/>
  <c r="V47" i="42"/>
  <c r="J51" i="42"/>
  <c r="V55" i="42"/>
  <c r="J57" i="42"/>
  <c r="J63" i="42"/>
  <c r="V67" i="42"/>
  <c r="J71" i="42"/>
  <c r="J79" i="42"/>
  <c r="J87" i="42"/>
  <c r="V91" i="42"/>
  <c r="J95" i="42"/>
  <c r="V99" i="42"/>
  <c r="J101" i="42"/>
  <c r="D106" i="42"/>
  <c r="L106" i="42" s="1"/>
  <c r="N106" i="42" s="1"/>
  <c r="J110" i="42"/>
  <c r="L12" i="43"/>
  <c r="F15" i="43"/>
  <c r="V15" i="43"/>
  <c r="D18" i="43"/>
  <c r="T18" i="43"/>
  <c r="X18" i="43" s="1"/>
  <c r="R21" i="43"/>
  <c r="F25" i="43"/>
  <c r="V25" i="43"/>
  <c r="F29" i="43"/>
  <c r="V29" i="43"/>
  <c r="F33" i="43"/>
  <c r="V33" i="43"/>
  <c r="F36" i="43"/>
  <c r="V36" i="43"/>
  <c r="J16" i="44"/>
  <c r="J20" i="44"/>
  <c r="F22" i="44"/>
  <c r="F19" i="45"/>
  <c r="F27" i="45"/>
  <c r="J34" i="45"/>
  <c r="F35" i="45"/>
  <c r="J38" i="45"/>
  <c r="F39" i="45"/>
  <c r="J46" i="45"/>
  <c r="F47" i="45"/>
  <c r="F50" i="45"/>
  <c r="J52" i="45"/>
  <c r="F55" i="45"/>
  <c r="F58" i="45"/>
  <c r="J60" i="45"/>
  <c r="F63" i="45"/>
  <c r="F66" i="45"/>
  <c r="J68" i="45"/>
  <c r="J72" i="45"/>
  <c r="J86" i="45"/>
  <c r="F87" i="45"/>
  <c r="J90" i="45"/>
  <c r="L12" i="46"/>
  <c r="F15" i="46"/>
  <c r="D18" i="46"/>
  <c r="T18" i="46"/>
  <c r="R21" i="46"/>
  <c r="F25" i="46"/>
  <c r="V25" i="46"/>
  <c r="F29" i="46"/>
  <c r="V29" i="46"/>
  <c r="F33" i="46"/>
  <c r="V33" i="46"/>
  <c r="F36" i="46"/>
  <c r="V36" i="46"/>
  <c r="J16" i="47"/>
  <c r="J20" i="47"/>
  <c r="F22" i="47"/>
  <c r="J66" i="48"/>
  <c r="J62" i="48"/>
  <c r="J77" i="48"/>
  <c r="J65" i="48"/>
  <c r="J55" i="48"/>
  <c r="J72" i="48"/>
  <c r="J68" i="48"/>
  <c r="J64" i="48"/>
  <c r="J75" i="48"/>
  <c r="J61" i="48"/>
  <c r="J57" i="48"/>
  <c r="J67" i="48"/>
  <c r="J63" i="48"/>
  <c r="J73" i="48"/>
  <c r="J60" i="48"/>
  <c r="F21" i="48"/>
  <c r="R25" i="48"/>
  <c r="J28" i="48"/>
  <c r="F29" i="48"/>
  <c r="J32" i="48"/>
  <c r="F33" i="48"/>
  <c r="R37" i="48"/>
  <c r="J40" i="48"/>
  <c r="F41" i="48"/>
  <c r="R42" i="48"/>
  <c r="F44" i="48"/>
  <c r="R45" i="48"/>
  <c r="J46" i="48"/>
  <c r="F49" i="48"/>
  <c r="J52" i="48"/>
  <c r="F59" i="48"/>
  <c r="Z67" i="48"/>
  <c r="J70" i="48"/>
  <c r="J34" i="49"/>
  <c r="J31" i="49"/>
  <c r="J27" i="49"/>
  <c r="J24" i="49"/>
  <c r="J21" i="49"/>
  <c r="J18" i="49"/>
  <c r="J36" i="49"/>
  <c r="J33" i="49"/>
  <c r="J29" i="49"/>
  <c r="J25" i="49"/>
  <c r="H18" i="49"/>
  <c r="J22" i="49"/>
  <c r="N12" i="49"/>
  <c r="N16" i="50"/>
  <c r="L16" i="50"/>
  <c r="N56" i="51"/>
  <c r="N62" i="51"/>
  <c r="H75" i="56"/>
  <c r="N16" i="56"/>
  <c r="F27" i="40"/>
  <c r="V27" i="40"/>
  <c r="F31" i="40"/>
  <c r="V31" i="40"/>
  <c r="V34" i="40"/>
  <c r="R16" i="41"/>
  <c r="J18" i="41"/>
  <c r="R20" i="41"/>
  <c r="V24" i="41"/>
  <c r="V20" i="42"/>
  <c r="V28" i="42"/>
  <c r="J32" i="42"/>
  <c r="V36" i="42"/>
  <c r="V40" i="42"/>
  <c r="J44" i="42"/>
  <c r="V52" i="42"/>
  <c r="J54" i="42"/>
  <c r="V56" i="42"/>
  <c r="J60" i="42"/>
  <c r="V64" i="42"/>
  <c r="J66" i="42"/>
  <c r="J72" i="42"/>
  <c r="J76" i="42"/>
  <c r="J80" i="42"/>
  <c r="J84" i="42"/>
  <c r="J88" i="42"/>
  <c r="V92" i="42"/>
  <c r="V96" i="42"/>
  <c r="V100" i="42"/>
  <c r="J104" i="42"/>
  <c r="V106" i="42"/>
  <c r="V114" i="42"/>
  <c r="N12" i="43"/>
  <c r="F18" i="43"/>
  <c r="V18" i="43"/>
  <c r="J22" i="43"/>
  <c r="R24" i="43"/>
  <c r="P27" i="43"/>
  <c r="L12" i="44"/>
  <c r="F15" i="44"/>
  <c r="D18" i="44"/>
  <c r="R21" i="44"/>
  <c r="F25" i="44"/>
  <c r="F29" i="44"/>
  <c r="F33" i="44"/>
  <c r="F36" i="44"/>
  <c r="L12" i="45"/>
  <c r="N12" i="45" s="1"/>
  <c r="X16" i="45"/>
  <c r="J19" i="45"/>
  <c r="F20" i="45"/>
  <c r="J25" i="45"/>
  <c r="J27" i="45"/>
  <c r="F28" i="45"/>
  <c r="J35" i="45"/>
  <c r="F36" i="45"/>
  <c r="J39" i="45"/>
  <c r="F40" i="45"/>
  <c r="J47" i="45"/>
  <c r="J55" i="45"/>
  <c r="J63" i="45"/>
  <c r="J77" i="45"/>
  <c r="F80" i="45"/>
  <c r="J87" i="45"/>
  <c r="F91" i="45"/>
  <c r="J93" i="45"/>
  <c r="N12" i="46"/>
  <c r="F18" i="46"/>
  <c r="V18" i="46"/>
  <c r="J22" i="46"/>
  <c r="R24" i="46"/>
  <c r="P27" i="46"/>
  <c r="L12" i="47"/>
  <c r="F15" i="47"/>
  <c r="D18" i="47"/>
  <c r="R21" i="47"/>
  <c r="F25" i="47"/>
  <c r="F29" i="47"/>
  <c r="F33" i="47"/>
  <c r="F36" i="47"/>
  <c r="L12" i="48"/>
  <c r="N12" i="48" s="1"/>
  <c r="J15" i="48"/>
  <c r="J19" i="48"/>
  <c r="J21" i="48"/>
  <c r="F22" i="48"/>
  <c r="R26" i="48"/>
  <c r="J29" i="48"/>
  <c r="F30" i="48"/>
  <c r="R31" i="48"/>
  <c r="J33" i="48"/>
  <c r="F34" i="48"/>
  <c r="R38" i="48"/>
  <c r="J41" i="48"/>
  <c r="J49" i="48"/>
  <c r="F50" i="48"/>
  <c r="R51" i="48"/>
  <c r="F53" i="48"/>
  <c r="F56" i="48"/>
  <c r="J58" i="48"/>
  <c r="J59" i="48"/>
  <c r="R61" i="48"/>
  <c r="R36" i="49"/>
  <c r="R33" i="49"/>
  <c r="R29" i="49"/>
  <c r="R25" i="49"/>
  <c r="P18" i="49"/>
  <c r="R15" i="49"/>
  <c r="R22" i="49"/>
  <c r="X12" i="49"/>
  <c r="R20" i="49"/>
  <c r="R16" i="49"/>
  <c r="R34" i="49"/>
  <c r="R31" i="49"/>
  <c r="R27" i="49"/>
  <c r="R24" i="49"/>
  <c r="R21" i="49"/>
  <c r="N20" i="50"/>
  <c r="L20" i="50"/>
  <c r="Z22" i="50"/>
  <c r="X22" i="50"/>
  <c r="N34" i="51"/>
  <c r="N58" i="51"/>
  <c r="L58" i="51"/>
  <c r="Z60" i="51"/>
  <c r="Z68" i="51"/>
  <c r="H26" i="54"/>
  <c r="N22" i="54"/>
  <c r="P31" i="55"/>
  <c r="Z25" i="55"/>
  <c r="X29" i="55"/>
  <c r="J21" i="41"/>
  <c r="J19" i="42"/>
  <c r="J27" i="42"/>
  <c r="V29" i="42"/>
  <c r="J33" i="42"/>
  <c r="V41" i="42"/>
  <c r="J45" i="42"/>
  <c r="J49" i="42"/>
  <c r="V53" i="42"/>
  <c r="V61" i="42"/>
  <c r="V65" i="42"/>
  <c r="J69" i="42"/>
  <c r="J73" i="42"/>
  <c r="V77" i="42"/>
  <c r="J81" i="42"/>
  <c r="V85" i="42"/>
  <c r="J89" i="42"/>
  <c r="V93" i="42"/>
  <c r="V97" i="42"/>
  <c r="J99" i="42"/>
  <c r="J108" i="42"/>
  <c r="V109" i="42"/>
  <c r="J15" i="43"/>
  <c r="H18" i="43"/>
  <c r="F21" i="43"/>
  <c r="V21" i="43"/>
  <c r="J25" i="43"/>
  <c r="R27" i="43"/>
  <c r="J29" i="43"/>
  <c r="R31" i="43"/>
  <c r="J33" i="43"/>
  <c r="R34" i="43"/>
  <c r="J36" i="43"/>
  <c r="N12" i="44"/>
  <c r="F18" i="44"/>
  <c r="J22" i="44"/>
  <c r="R24" i="44"/>
  <c r="J20" i="45"/>
  <c r="F21" i="45"/>
  <c r="D23" i="45"/>
  <c r="J28" i="45"/>
  <c r="F29" i="45"/>
  <c r="J36" i="45"/>
  <c r="J40" i="45"/>
  <c r="F41" i="45"/>
  <c r="F48" i="45"/>
  <c r="J50" i="45"/>
  <c r="F53" i="45"/>
  <c r="F56" i="45"/>
  <c r="J58" i="45"/>
  <c r="F61" i="45"/>
  <c r="F64" i="45"/>
  <c r="J66" i="45"/>
  <c r="F69" i="45"/>
  <c r="F73" i="45"/>
  <c r="J80" i="45"/>
  <c r="F81" i="45"/>
  <c r="F88" i="45"/>
  <c r="J15" i="46"/>
  <c r="H18" i="46"/>
  <c r="F21" i="46"/>
  <c r="V21" i="46"/>
  <c r="J25" i="46"/>
  <c r="R27" i="46"/>
  <c r="J29" i="46"/>
  <c r="R31" i="46"/>
  <c r="J33" i="46"/>
  <c r="R34" i="46"/>
  <c r="J36" i="46"/>
  <c r="N12" i="47"/>
  <c r="F18" i="47"/>
  <c r="J22" i="47"/>
  <c r="R24" i="47"/>
  <c r="D17" i="48"/>
  <c r="J22" i="48"/>
  <c r="F23" i="48"/>
  <c r="R27" i="48"/>
  <c r="J30" i="48"/>
  <c r="J34" i="48"/>
  <c r="F35" i="48"/>
  <c r="R39" i="48"/>
  <c r="F42" i="48"/>
  <c r="R43" i="48"/>
  <c r="J44" i="48"/>
  <c r="F47" i="48"/>
  <c r="R48" i="48"/>
  <c r="J50" i="48"/>
  <c r="N53" i="48"/>
  <c r="J54" i="48"/>
  <c r="J56" i="48"/>
  <c r="N57" i="48"/>
  <c r="Z25" i="49"/>
  <c r="X25" i="49"/>
  <c r="X56" i="51"/>
  <c r="Z56" i="51" s="1"/>
  <c r="Z34" i="52"/>
  <c r="X34" i="52"/>
  <c r="Z24" i="53"/>
  <c r="X24" i="53"/>
  <c r="Z14" i="57"/>
  <c r="X14" i="57"/>
  <c r="Z12" i="41"/>
  <c r="V16" i="41"/>
  <c r="V22" i="42"/>
  <c r="V26" i="42"/>
  <c r="V30" i="42"/>
  <c r="J34" i="42"/>
  <c r="J38" i="42"/>
  <c r="V42" i="42"/>
  <c r="J46" i="42"/>
  <c r="V50" i="42"/>
  <c r="J52" i="42"/>
  <c r="J58" i="42"/>
  <c r="V62" i="42"/>
  <c r="J64" i="42"/>
  <c r="V70" i="42"/>
  <c r="J74" i="42"/>
  <c r="V78" i="42"/>
  <c r="J82" i="42"/>
  <c r="V86" i="42"/>
  <c r="J90" i="42"/>
  <c r="V94" i="42"/>
  <c r="J96" i="42"/>
  <c r="J102" i="42"/>
  <c r="J106" i="42"/>
  <c r="R16" i="43"/>
  <c r="J15" i="44"/>
  <c r="H18" i="44"/>
  <c r="J25" i="44"/>
  <c r="R27" i="44"/>
  <c r="J29" i="44"/>
  <c r="R31" i="44"/>
  <c r="J33" i="44"/>
  <c r="J21" i="45"/>
  <c r="F23" i="45"/>
  <c r="J29" i="45"/>
  <c r="F30" i="45"/>
  <c r="F37" i="45"/>
  <c r="J41" i="45"/>
  <c r="F42" i="45"/>
  <c r="J53" i="45"/>
  <c r="J61" i="45"/>
  <c r="J69" i="45"/>
  <c r="F70" i="45"/>
  <c r="J73" i="45"/>
  <c r="F74" i="45"/>
  <c r="F78" i="45"/>
  <c r="J81" i="45"/>
  <c r="F82" i="45"/>
  <c r="J91" i="45"/>
  <c r="R16" i="46"/>
  <c r="J15" i="47"/>
  <c r="H18" i="47"/>
  <c r="J25" i="47"/>
  <c r="R27" i="47"/>
  <c r="J29" i="47"/>
  <c r="R31" i="47"/>
  <c r="J33" i="47"/>
  <c r="R70" i="48"/>
  <c r="R67" i="48"/>
  <c r="R63" i="48"/>
  <c r="R54" i="48"/>
  <c r="R73" i="48"/>
  <c r="R69" i="48"/>
  <c r="R60" i="48"/>
  <c r="R56" i="48"/>
  <c r="R53" i="48"/>
  <c r="R66" i="48"/>
  <c r="R62" i="48"/>
  <c r="R58" i="48"/>
  <c r="R55" i="48"/>
  <c r="R77" i="48"/>
  <c r="R72" i="48"/>
  <c r="R65" i="48"/>
  <c r="F17" i="48"/>
  <c r="J23" i="48"/>
  <c r="F24" i="48"/>
  <c r="R28" i="48"/>
  <c r="F31" i="48"/>
  <c r="R32" i="48"/>
  <c r="J35" i="48"/>
  <c r="F36" i="48"/>
  <c r="R40" i="48"/>
  <c r="J47" i="48"/>
  <c r="F51" i="48"/>
  <c r="R52" i="48"/>
  <c r="J53" i="48"/>
  <c r="R59" i="48"/>
  <c r="F63" i="48"/>
  <c r="J69" i="48"/>
  <c r="J15" i="49"/>
  <c r="J16" i="49"/>
  <c r="J20" i="49"/>
  <c r="F20" i="50"/>
  <c r="F16" i="50"/>
  <c r="F34" i="50"/>
  <c r="F31" i="50"/>
  <c r="F27" i="50"/>
  <c r="F24" i="50"/>
  <c r="F21" i="50"/>
  <c r="F18" i="50"/>
  <c r="F36" i="50"/>
  <c r="F33" i="50"/>
  <c r="F29" i="50"/>
  <c r="F25" i="50"/>
  <c r="D18" i="50"/>
  <c r="F15" i="50"/>
  <c r="L12" i="50"/>
  <c r="F22" i="50"/>
  <c r="Z34" i="51"/>
  <c r="L66" i="51"/>
  <c r="N66" i="51" s="1"/>
  <c r="P74" i="51"/>
  <c r="X74" i="51" s="1"/>
  <c r="Z74" i="51" s="1"/>
  <c r="V21" i="52"/>
  <c r="V18" i="52"/>
  <c r="V36" i="52"/>
  <c r="V33" i="52"/>
  <c r="V29" i="52"/>
  <c r="V25" i="52"/>
  <c r="T18" i="52"/>
  <c r="V15" i="52"/>
  <c r="V22" i="52"/>
  <c r="V20" i="52"/>
  <c r="V16" i="52"/>
  <c r="Z12" i="52"/>
  <c r="V34" i="52"/>
  <c r="V31" i="52"/>
  <c r="V27" i="52"/>
  <c r="X12" i="52"/>
  <c r="R24" i="53"/>
  <c r="R21" i="53"/>
  <c r="R18" i="53"/>
  <c r="R36" i="53"/>
  <c r="R33" i="53"/>
  <c r="R29" i="53"/>
  <c r="R25" i="53"/>
  <c r="P18" i="53"/>
  <c r="R15" i="53"/>
  <c r="R22" i="53"/>
  <c r="X12" i="53"/>
  <c r="R20" i="53"/>
  <c r="R16" i="53"/>
  <c r="T31" i="54"/>
  <c r="Z26" i="54"/>
  <c r="L12" i="49"/>
  <c r="F15" i="49"/>
  <c r="D18" i="49"/>
  <c r="F25" i="49"/>
  <c r="V25" i="49"/>
  <c r="F29" i="49"/>
  <c r="V29" i="49"/>
  <c r="F33" i="49"/>
  <c r="V33" i="49"/>
  <c r="F36" i="49"/>
  <c r="V36" i="49"/>
  <c r="J16" i="50"/>
  <c r="J20" i="50"/>
  <c r="V22" i="50"/>
  <c r="J20" i="51"/>
  <c r="V24" i="51"/>
  <c r="J28" i="51"/>
  <c r="T31" i="51"/>
  <c r="J36" i="51"/>
  <c r="V40" i="51"/>
  <c r="J44" i="51"/>
  <c r="J48" i="51"/>
  <c r="V52" i="51"/>
  <c r="V56" i="51"/>
  <c r="J58" i="51"/>
  <c r="V64" i="51"/>
  <c r="J66" i="51"/>
  <c r="J72" i="51"/>
  <c r="V74" i="51"/>
  <c r="F27" i="52"/>
  <c r="F31" i="52"/>
  <c r="F34" i="52"/>
  <c r="V24" i="53"/>
  <c r="F19" i="55"/>
  <c r="F24" i="55"/>
  <c r="F29" i="55"/>
  <c r="J33" i="55"/>
  <c r="F35" i="55"/>
  <c r="Z40" i="56"/>
  <c r="R65" i="56"/>
  <c r="R70" i="56"/>
  <c r="F26" i="57"/>
  <c r="N53" i="58"/>
  <c r="L53" i="58"/>
  <c r="J30" i="59"/>
  <c r="D58" i="60"/>
  <c r="D72" i="48"/>
  <c r="L72" i="48" s="1"/>
  <c r="N72" i="48" s="1"/>
  <c r="F18" i="49"/>
  <c r="V18" i="49"/>
  <c r="V15" i="50"/>
  <c r="T18" i="50"/>
  <c r="R21" i="50"/>
  <c r="V25" i="50"/>
  <c r="V29" i="50"/>
  <c r="V33" i="50"/>
  <c r="V36" i="50"/>
  <c r="J21" i="51"/>
  <c r="V25" i="51"/>
  <c r="J29" i="51"/>
  <c r="V31" i="51"/>
  <c r="J37" i="51"/>
  <c r="V41" i="51"/>
  <c r="V45" i="51"/>
  <c r="J49" i="51"/>
  <c r="V53" i="51"/>
  <c r="V57" i="51"/>
  <c r="J61" i="51"/>
  <c r="V65" i="51"/>
  <c r="J69" i="51"/>
  <c r="J76" i="51"/>
  <c r="V77" i="51"/>
  <c r="J81" i="51"/>
  <c r="F16" i="52"/>
  <c r="F20" i="52"/>
  <c r="J24" i="52"/>
  <c r="F27" i="53"/>
  <c r="V27" i="53"/>
  <c r="F31" i="53"/>
  <c r="V31" i="53"/>
  <c r="F34" i="53"/>
  <c r="V34" i="53"/>
  <c r="V16" i="54"/>
  <c r="V20" i="54"/>
  <c r="J24" i="54"/>
  <c r="V26" i="54"/>
  <c r="V29" i="54"/>
  <c r="J24" i="55"/>
  <c r="F79" i="56"/>
  <c r="F73" i="56"/>
  <c r="F63" i="56"/>
  <c r="F60" i="56"/>
  <c r="F56" i="56"/>
  <c r="F32" i="56"/>
  <c r="F28" i="56"/>
  <c r="F77" i="56"/>
  <c r="F71" i="56"/>
  <c r="F66" i="56"/>
  <c r="F59" i="56"/>
  <c r="F55" i="56"/>
  <c r="F50" i="56"/>
  <c r="F47" i="56"/>
  <c r="F42" i="56"/>
  <c r="F39" i="56"/>
  <c r="F31" i="56"/>
  <c r="F27" i="56"/>
  <c r="F62" i="56"/>
  <c r="F38" i="56"/>
  <c r="F30" i="56"/>
  <c r="F26" i="56"/>
  <c r="F68" i="56"/>
  <c r="F65" i="56"/>
  <c r="F52" i="56"/>
  <c r="F49" i="56"/>
  <c r="F44" i="56"/>
  <c r="F41" i="56"/>
  <c r="F37" i="56"/>
  <c r="F25" i="56"/>
  <c r="F82" i="56"/>
  <c r="F75" i="56"/>
  <c r="F64" i="56"/>
  <c r="F36" i="56"/>
  <c r="F24" i="56"/>
  <c r="F70" i="56"/>
  <c r="F67" i="56"/>
  <c r="F58" i="56"/>
  <c r="F54" i="56"/>
  <c r="F51" i="56"/>
  <c r="F46" i="56"/>
  <c r="F43" i="56"/>
  <c r="F35" i="56"/>
  <c r="F23" i="56"/>
  <c r="F61" i="56"/>
  <c r="F34" i="56"/>
  <c r="F29" i="56"/>
  <c r="F22" i="56"/>
  <c r="F18" i="56"/>
  <c r="R20" i="56"/>
  <c r="Z48" i="56"/>
  <c r="Z70" i="56"/>
  <c r="Z44" i="57"/>
  <c r="J67" i="58"/>
  <c r="J47" i="58"/>
  <c r="J37" i="58"/>
  <c r="J25" i="58"/>
  <c r="J19" i="58"/>
  <c r="J78" i="58"/>
  <c r="J72" i="58"/>
  <c r="J62" i="58"/>
  <c r="J56" i="58"/>
  <c r="J52" i="58"/>
  <c r="J44" i="58"/>
  <c r="J36" i="58"/>
  <c r="J30" i="58"/>
  <c r="J24" i="58"/>
  <c r="J16" i="58"/>
  <c r="J69" i="58"/>
  <c r="J59" i="58"/>
  <c r="J55" i="58"/>
  <c r="J49" i="58"/>
  <c r="J41" i="58"/>
  <c r="J35" i="58"/>
  <c r="J23" i="58"/>
  <c r="H16" i="58"/>
  <c r="J83" i="58"/>
  <c r="J76" i="58"/>
  <c r="J66" i="58"/>
  <c r="J58" i="58"/>
  <c r="J54" i="58"/>
  <c r="J46" i="58"/>
  <c r="J34" i="58"/>
  <c r="J22" i="58"/>
  <c r="J71" i="58"/>
  <c r="J65" i="58"/>
  <c r="J61" i="58"/>
  <c r="J51" i="58"/>
  <c r="J43" i="58"/>
  <c r="J33" i="58"/>
  <c r="J29" i="58"/>
  <c r="J21" i="58"/>
  <c r="J68" i="58"/>
  <c r="J64" i="58"/>
  <c r="J48" i="58"/>
  <c r="J40" i="58"/>
  <c r="J32" i="58"/>
  <c r="J28" i="58"/>
  <c r="J20" i="58"/>
  <c r="J18" i="58"/>
  <c r="J14" i="58"/>
  <c r="N12" i="58"/>
  <c r="J63" i="58"/>
  <c r="J57" i="58"/>
  <c r="J53" i="58"/>
  <c r="J45" i="58"/>
  <c r="J39" i="58"/>
  <c r="J31" i="58"/>
  <c r="J27" i="58"/>
  <c r="Z16" i="58"/>
  <c r="T76" i="58"/>
  <c r="Z18" i="58"/>
  <c r="Z51" i="58"/>
  <c r="N16" i="60"/>
  <c r="H58" i="60"/>
  <c r="J38" i="51"/>
  <c r="V42" i="51"/>
  <c r="V46" i="51"/>
  <c r="J50" i="51"/>
  <c r="V54" i="51"/>
  <c r="J56" i="51"/>
  <c r="V62" i="51"/>
  <c r="J64" i="51"/>
  <c r="J70" i="51"/>
  <c r="J74" i="51"/>
  <c r="V16" i="53"/>
  <c r="V20" i="53"/>
  <c r="X34" i="53"/>
  <c r="X12" i="54"/>
  <c r="X20" i="54"/>
  <c r="X29" i="54"/>
  <c r="Z29" i="54" s="1"/>
  <c r="F22" i="55"/>
  <c r="F25" i="55"/>
  <c r="J29" i="55"/>
  <c r="J35" i="55"/>
  <c r="J77" i="56"/>
  <c r="J71" i="56"/>
  <c r="J59" i="56"/>
  <c r="J55" i="56"/>
  <c r="J47" i="56"/>
  <c r="J39" i="56"/>
  <c r="J31" i="56"/>
  <c r="J27" i="56"/>
  <c r="J68" i="56"/>
  <c r="J62" i="56"/>
  <c r="J52" i="56"/>
  <c r="J44" i="56"/>
  <c r="J38" i="56"/>
  <c r="J30" i="56"/>
  <c r="J26" i="56"/>
  <c r="J82" i="56"/>
  <c r="J75" i="56"/>
  <c r="J65" i="56"/>
  <c r="J49" i="56"/>
  <c r="J41" i="56"/>
  <c r="J37" i="56"/>
  <c r="J25" i="56"/>
  <c r="J70" i="56"/>
  <c r="J64" i="56"/>
  <c r="J58" i="56"/>
  <c r="J54" i="56"/>
  <c r="J46" i="56"/>
  <c r="J36" i="56"/>
  <c r="J24" i="56"/>
  <c r="J67" i="56"/>
  <c r="J61" i="56"/>
  <c r="J51" i="56"/>
  <c r="J43" i="56"/>
  <c r="J35" i="56"/>
  <c r="J29" i="56"/>
  <c r="J48" i="56"/>
  <c r="J40" i="56"/>
  <c r="J34" i="56"/>
  <c r="J22" i="56"/>
  <c r="J79" i="56"/>
  <c r="J73" i="56"/>
  <c r="J69" i="56"/>
  <c r="J63" i="56"/>
  <c r="J57" i="56"/>
  <c r="J53" i="56"/>
  <c r="J45" i="56"/>
  <c r="J33" i="56"/>
  <c r="J21" i="56"/>
  <c r="N42" i="56"/>
  <c r="N50" i="56"/>
  <c r="F57" i="56"/>
  <c r="V64" i="56"/>
  <c r="N18" i="57"/>
  <c r="J38" i="59"/>
  <c r="F24" i="49"/>
  <c r="V24" i="49"/>
  <c r="J15" i="50"/>
  <c r="H18" i="50"/>
  <c r="V21" i="50"/>
  <c r="J25" i="50"/>
  <c r="R27" i="50"/>
  <c r="J29" i="50"/>
  <c r="R31" i="50"/>
  <c r="J33" i="50"/>
  <c r="R34" i="50"/>
  <c r="J36" i="50"/>
  <c r="P12" i="51"/>
  <c r="V19" i="51"/>
  <c r="J23" i="51"/>
  <c r="V27" i="51"/>
  <c r="J31" i="51"/>
  <c r="V35" i="51"/>
  <c r="J39" i="51"/>
  <c r="V43" i="51"/>
  <c r="J45" i="51"/>
  <c r="V47" i="51"/>
  <c r="J51" i="51"/>
  <c r="V55" i="51"/>
  <c r="J59" i="51"/>
  <c r="V63" i="51"/>
  <c r="J67" i="51"/>
  <c r="V71" i="51"/>
  <c r="V75" i="51"/>
  <c r="J83" i="51"/>
  <c r="J16" i="52"/>
  <c r="J20" i="52"/>
  <c r="F22" i="52"/>
  <c r="J27" i="53"/>
  <c r="J31" i="53"/>
  <c r="J34" i="53"/>
  <c r="Z12" i="54"/>
  <c r="R14" i="54"/>
  <c r="J16" i="54"/>
  <c r="Z16" i="54"/>
  <c r="R18" i="54"/>
  <c r="J20" i="54"/>
  <c r="R22" i="54"/>
  <c r="J26" i="54"/>
  <c r="R28" i="54"/>
  <c r="J29" i="54"/>
  <c r="R31" i="54"/>
  <c r="F14" i="55"/>
  <c r="N16" i="55"/>
  <c r="F18" i="55"/>
  <c r="J22" i="55"/>
  <c r="L12" i="56"/>
  <c r="P16" i="56"/>
  <c r="J18" i="56"/>
  <c r="R25" i="56"/>
  <c r="J42" i="56"/>
  <c r="F45" i="56"/>
  <c r="J50" i="56"/>
  <c r="J60" i="56"/>
  <c r="N63" i="56"/>
  <c r="J52" i="59"/>
  <c r="J58" i="59"/>
  <c r="T62" i="60"/>
  <c r="L88" i="65"/>
  <c r="N88" i="65" s="1"/>
  <c r="D87" i="65"/>
  <c r="L87" i="65" s="1"/>
  <c r="N87" i="65" s="1"/>
  <c r="F27" i="49"/>
  <c r="V27" i="49"/>
  <c r="F31" i="49"/>
  <c r="V31" i="49"/>
  <c r="F34" i="49"/>
  <c r="V34" i="49"/>
  <c r="R16" i="50"/>
  <c r="J18" i="50"/>
  <c r="R20" i="50"/>
  <c r="V24" i="50"/>
  <c r="V20" i="51"/>
  <c r="J24" i="51"/>
  <c r="V28" i="51"/>
  <c r="J34" i="51"/>
  <c r="V36" i="51"/>
  <c r="J40" i="51"/>
  <c r="V44" i="51"/>
  <c r="V48" i="51"/>
  <c r="J52" i="51"/>
  <c r="V60" i="51"/>
  <c r="J62" i="51"/>
  <c r="V68" i="51"/>
  <c r="V72" i="51"/>
  <c r="X75" i="51"/>
  <c r="J77" i="51"/>
  <c r="L12" i="52"/>
  <c r="F15" i="52"/>
  <c r="D18" i="52"/>
  <c r="R21" i="52"/>
  <c r="F25" i="52"/>
  <c r="F29" i="52"/>
  <c r="F33" i="52"/>
  <c r="F36" i="52"/>
  <c r="J16" i="53"/>
  <c r="J20" i="53"/>
  <c r="F22" i="53"/>
  <c r="V22" i="53"/>
  <c r="L16" i="54"/>
  <c r="R24" i="54"/>
  <c r="L12" i="55"/>
  <c r="X14" i="55"/>
  <c r="F20" i="55"/>
  <c r="R21" i="55"/>
  <c r="F23" i="55"/>
  <c r="R24" i="55"/>
  <c r="J25" i="55"/>
  <c r="F31" i="55"/>
  <c r="F38" i="55"/>
  <c r="N12" i="56"/>
  <c r="J14" i="56"/>
  <c r="R16" i="56"/>
  <c r="F53" i="56"/>
  <c r="J56" i="56"/>
  <c r="Z61" i="56"/>
  <c r="H67" i="57"/>
  <c r="N16" i="57"/>
  <c r="Z18" i="57"/>
  <c r="Z50" i="57"/>
  <c r="L56" i="57"/>
  <c r="P80" i="58"/>
  <c r="X76" i="58"/>
  <c r="J26" i="58"/>
  <c r="Z41" i="58"/>
  <c r="L45" i="59"/>
  <c r="R75" i="63"/>
  <c r="R68" i="63"/>
  <c r="R63" i="63"/>
  <c r="R79" i="63"/>
  <c r="R71" i="63"/>
  <c r="R59" i="63"/>
  <c r="R54" i="63"/>
  <c r="R50" i="63"/>
  <c r="R74" i="63"/>
  <c r="R56" i="63"/>
  <c r="R53" i="63"/>
  <c r="R48" i="63"/>
  <c r="R78" i="63"/>
  <c r="R70" i="63"/>
  <c r="R58" i="63"/>
  <c r="R55" i="63"/>
  <c r="R46" i="63"/>
  <c r="R77" i="63"/>
  <c r="R73" i="63"/>
  <c r="R69" i="63"/>
  <c r="R66" i="63"/>
  <c r="R61" i="63"/>
  <c r="R45" i="63"/>
  <c r="R65" i="63"/>
  <c r="R64" i="63"/>
  <c r="R62" i="63"/>
  <c r="R52" i="63"/>
  <c r="R51" i="63"/>
  <c r="R41" i="63"/>
  <c r="R25" i="63"/>
  <c r="R18" i="63"/>
  <c r="R44" i="63"/>
  <c r="R40" i="63"/>
  <c r="R33" i="63"/>
  <c r="R24" i="63"/>
  <c r="R47" i="63"/>
  <c r="R43" i="63"/>
  <c r="R39" i="63"/>
  <c r="R23" i="63"/>
  <c r="R86" i="63"/>
  <c r="R76" i="63"/>
  <c r="R57" i="63"/>
  <c r="R38" i="63"/>
  <c r="P30" i="63"/>
  <c r="R30" i="63" s="1"/>
  <c r="R22" i="63"/>
  <c r="R80" i="63"/>
  <c r="R72" i="63"/>
  <c r="R42" i="63"/>
  <c r="R37" i="63"/>
  <c r="R21" i="63"/>
  <c r="R82" i="63"/>
  <c r="R49" i="63"/>
  <c r="R36" i="63"/>
  <c r="R28" i="63"/>
  <c r="R20" i="63"/>
  <c r="X12" i="63"/>
  <c r="Z12" i="63" s="1"/>
  <c r="R67" i="63"/>
  <c r="R60" i="63"/>
  <c r="R35" i="63"/>
  <c r="R32" i="63"/>
  <c r="R27" i="63"/>
  <c r="R19" i="63"/>
  <c r="R34" i="63"/>
  <c r="R26" i="63"/>
  <c r="F74" i="63"/>
  <c r="F67" i="63"/>
  <c r="F62" i="63"/>
  <c r="F78" i="63"/>
  <c r="F70" i="63"/>
  <c r="F58" i="63"/>
  <c r="F53" i="63"/>
  <c r="F82" i="63"/>
  <c r="F77" i="63"/>
  <c r="F73" i="63"/>
  <c r="F86" i="63"/>
  <c r="F80" i="63"/>
  <c r="F76" i="63"/>
  <c r="F72" i="63"/>
  <c r="F60" i="63"/>
  <c r="F55" i="63"/>
  <c r="F52" i="63"/>
  <c r="F57" i="63"/>
  <c r="F54" i="63"/>
  <c r="F50" i="63"/>
  <c r="F68" i="63"/>
  <c r="F65" i="63"/>
  <c r="F49" i="63"/>
  <c r="F37" i="63"/>
  <c r="F21" i="63"/>
  <c r="F59" i="63"/>
  <c r="F36" i="63"/>
  <c r="D30" i="63"/>
  <c r="F28" i="63"/>
  <c r="F20" i="63"/>
  <c r="L12" i="63"/>
  <c r="F61" i="63"/>
  <c r="F42" i="63"/>
  <c r="F35" i="63"/>
  <c r="F27" i="63"/>
  <c r="F19" i="63"/>
  <c r="F69" i="63"/>
  <c r="F66" i="63"/>
  <c r="F51" i="63"/>
  <c r="F34" i="63"/>
  <c r="F26" i="63"/>
  <c r="F75" i="63"/>
  <c r="F64" i="63"/>
  <c r="F63" i="63"/>
  <c r="F45" i="63"/>
  <c r="F41" i="63"/>
  <c r="F32" i="63"/>
  <c r="F25" i="63"/>
  <c r="F79" i="63"/>
  <c r="F46" i="63"/>
  <c r="F44" i="63"/>
  <c r="F40" i="63"/>
  <c r="F24" i="63"/>
  <c r="F71" i="63"/>
  <c r="F56" i="63"/>
  <c r="F48" i="63"/>
  <c r="F47" i="63"/>
  <c r="F43" i="63"/>
  <c r="F39" i="63"/>
  <c r="F23" i="63"/>
  <c r="F18" i="63"/>
  <c r="F38" i="63"/>
  <c r="F33" i="63"/>
  <c r="F22" i="63"/>
  <c r="Z18" i="63"/>
  <c r="X18" i="63"/>
  <c r="Z12" i="49"/>
  <c r="F16" i="49"/>
  <c r="V16" i="49"/>
  <c r="X12" i="50"/>
  <c r="J21" i="50"/>
  <c r="V27" i="50"/>
  <c r="V31" i="50"/>
  <c r="V34" i="50"/>
  <c r="J19" i="51"/>
  <c r="V21" i="51"/>
  <c r="J25" i="51"/>
  <c r="V29" i="51"/>
  <c r="V33" i="51"/>
  <c r="V37" i="51"/>
  <c r="J41" i="51"/>
  <c r="V49" i="51"/>
  <c r="J53" i="51"/>
  <c r="J57" i="51"/>
  <c r="V61" i="51"/>
  <c r="J65" i="51"/>
  <c r="V69" i="51"/>
  <c r="J71" i="51"/>
  <c r="V81" i="51"/>
  <c r="N12" i="52"/>
  <c r="F18" i="52"/>
  <c r="J22" i="52"/>
  <c r="R24" i="52"/>
  <c r="L12" i="53"/>
  <c r="F15" i="53"/>
  <c r="V15" i="53"/>
  <c r="D18" i="53"/>
  <c r="T18" i="53"/>
  <c r="F25" i="53"/>
  <c r="V25" i="53"/>
  <c r="F29" i="53"/>
  <c r="V29" i="53"/>
  <c r="F33" i="53"/>
  <c r="V33" i="53"/>
  <c r="F36" i="53"/>
  <c r="V36" i="53"/>
  <c r="V14" i="54"/>
  <c r="N16" i="54"/>
  <c r="V18" i="54"/>
  <c r="V22" i="54"/>
  <c r="V24" i="54"/>
  <c r="V28" i="54"/>
  <c r="J20" i="55"/>
  <c r="R64" i="56"/>
  <c r="R61" i="56"/>
  <c r="R36" i="56"/>
  <c r="R29" i="56"/>
  <c r="R24" i="56"/>
  <c r="R67" i="56"/>
  <c r="R51" i="56"/>
  <c r="R48" i="56"/>
  <c r="R43" i="56"/>
  <c r="R40" i="56"/>
  <c r="R35" i="56"/>
  <c r="R23" i="56"/>
  <c r="R79" i="56"/>
  <c r="R73" i="56"/>
  <c r="R63" i="56"/>
  <c r="R34" i="56"/>
  <c r="R22" i="56"/>
  <c r="R69" i="56"/>
  <c r="R66" i="56"/>
  <c r="R57" i="56"/>
  <c r="R53" i="56"/>
  <c r="R50" i="56"/>
  <c r="R45" i="56"/>
  <c r="R42" i="56"/>
  <c r="R33" i="56"/>
  <c r="R21" i="56"/>
  <c r="R18" i="56"/>
  <c r="R60" i="56"/>
  <c r="R56" i="56"/>
  <c r="R32" i="56"/>
  <c r="R28" i="56"/>
  <c r="R77" i="56"/>
  <c r="R71" i="56"/>
  <c r="R68" i="56"/>
  <c r="R59" i="56"/>
  <c r="R55" i="56"/>
  <c r="R52" i="56"/>
  <c r="R47" i="56"/>
  <c r="R44" i="56"/>
  <c r="R39" i="56"/>
  <c r="R31" i="56"/>
  <c r="R27" i="56"/>
  <c r="R82" i="56"/>
  <c r="R75" i="56"/>
  <c r="R62" i="56"/>
  <c r="R38" i="56"/>
  <c r="R30" i="56"/>
  <c r="R26" i="56"/>
  <c r="R19" i="56"/>
  <c r="D75" i="56"/>
  <c r="Z16" i="56"/>
  <c r="T75" i="56"/>
  <c r="F21" i="56"/>
  <c r="F40" i="56"/>
  <c r="R41" i="56"/>
  <c r="R46" i="56"/>
  <c r="R49" i="56"/>
  <c r="R54" i="56"/>
  <c r="F61" i="57"/>
  <c r="F56" i="57"/>
  <c r="F53" i="57"/>
  <c r="F49" i="57"/>
  <c r="F44" i="57"/>
  <c r="F41" i="57"/>
  <c r="F37" i="57"/>
  <c r="F25" i="57"/>
  <c r="F71" i="57"/>
  <c r="F65" i="57"/>
  <c r="F52" i="57"/>
  <c r="F36" i="57"/>
  <c r="F24" i="57"/>
  <c r="F19" i="57"/>
  <c r="F69" i="57"/>
  <c r="F63" i="57"/>
  <c r="F58" i="57"/>
  <c r="F55" i="57"/>
  <c r="F51" i="57"/>
  <c r="F46" i="57"/>
  <c r="F43" i="57"/>
  <c r="F35" i="57"/>
  <c r="F23" i="57"/>
  <c r="F16" i="57"/>
  <c r="F34" i="57"/>
  <c r="F29" i="57"/>
  <c r="F22" i="57"/>
  <c r="D16" i="57"/>
  <c r="F60" i="57"/>
  <c r="F57" i="57"/>
  <c r="F48" i="57"/>
  <c r="F45" i="57"/>
  <c r="F40" i="57"/>
  <c r="F33" i="57"/>
  <c r="F21" i="57"/>
  <c r="F74" i="57"/>
  <c r="F67" i="57"/>
  <c r="F32" i="57"/>
  <c r="F28" i="57"/>
  <c r="F20" i="57"/>
  <c r="L12" i="57"/>
  <c r="F62" i="57"/>
  <c r="F59" i="57"/>
  <c r="F54" i="57"/>
  <c r="F50" i="57"/>
  <c r="F47" i="57"/>
  <c r="F42" i="57"/>
  <c r="F39" i="57"/>
  <c r="F31" i="57"/>
  <c r="F27" i="57"/>
  <c r="F18" i="57"/>
  <c r="F14" i="57"/>
  <c r="P67" i="57"/>
  <c r="X16" i="57"/>
  <c r="N56" i="57"/>
  <c r="J74" i="58"/>
  <c r="J71" i="59"/>
  <c r="J65" i="59"/>
  <c r="J61" i="59"/>
  <c r="J55" i="59"/>
  <c r="J47" i="59"/>
  <c r="J41" i="59"/>
  <c r="J37" i="59"/>
  <c r="J25" i="59"/>
  <c r="J19" i="59"/>
  <c r="J44" i="59"/>
  <c r="J36" i="59"/>
  <c r="J24" i="59"/>
  <c r="J16" i="59"/>
  <c r="J69" i="59"/>
  <c r="J63" i="59"/>
  <c r="J57" i="59"/>
  <c r="J51" i="59"/>
  <c r="J43" i="59"/>
  <c r="J35" i="59"/>
  <c r="J29" i="59"/>
  <c r="J23" i="59"/>
  <c r="H16" i="59"/>
  <c r="J60" i="59"/>
  <c r="J54" i="59"/>
  <c r="J50" i="59"/>
  <c r="J46" i="59"/>
  <c r="J40" i="59"/>
  <c r="J34" i="59"/>
  <c r="J22" i="59"/>
  <c r="J74" i="59"/>
  <c r="J67" i="59"/>
  <c r="J53" i="59"/>
  <c r="J49" i="59"/>
  <c r="J33" i="59"/>
  <c r="J21" i="59"/>
  <c r="J62" i="59"/>
  <c r="J56" i="59"/>
  <c r="J48" i="59"/>
  <c r="J42" i="59"/>
  <c r="J32" i="59"/>
  <c r="J28" i="59"/>
  <c r="J20" i="59"/>
  <c r="J18" i="59"/>
  <c r="J14" i="59"/>
  <c r="N12" i="59"/>
  <c r="J59" i="59"/>
  <c r="J45" i="59"/>
  <c r="J39" i="59"/>
  <c r="J31" i="59"/>
  <c r="J27" i="59"/>
  <c r="N45" i="59"/>
  <c r="Z12" i="50"/>
  <c r="V16" i="50"/>
  <c r="V22" i="51"/>
  <c r="J26" i="51"/>
  <c r="V38" i="51"/>
  <c r="J42" i="51"/>
  <c r="J46" i="51"/>
  <c r="V50" i="51"/>
  <c r="J54" i="51"/>
  <c r="V58" i="51"/>
  <c r="J60" i="51"/>
  <c r="V66" i="51"/>
  <c r="J68" i="51"/>
  <c r="V70" i="51"/>
  <c r="J15" i="52"/>
  <c r="H18" i="52"/>
  <c r="J25" i="52"/>
  <c r="R27" i="52"/>
  <c r="J29" i="52"/>
  <c r="R31" i="52"/>
  <c r="J33" i="52"/>
  <c r="N12" i="53"/>
  <c r="D16" i="55"/>
  <c r="R19" i="55"/>
  <c r="F21" i="55"/>
  <c r="R22" i="55"/>
  <c r="J23" i="55"/>
  <c r="R29" i="55"/>
  <c r="J31" i="55"/>
  <c r="V79" i="56"/>
  <c r="V73" i="56"/>
  <c r="V67" i="56"/>
  <c r="V63" i="56"/>
  <c r="V51" i="56"/>
  <c r="V43" i="56"/>
  <c r="V35" i="56"/>
  <c r="V23" i="56"/>
  <c r="V66" i="56"/>
  <c r="V50" i="56"/>
  <c r="V42" i="56"/>
  <c r="V34" i="56"/>
  <c r="V22" i="56"/>
  <c r="V69" i="56"/>
  <c r="V57" i="56"/>
  <c r="V53" i="56"/>
  <c r="V45" i="56"/>
  <c r="V33" i="56"/>
  <c r="V21" i="56"/>
  <c r="V68" i="56"/>
  <c r="V60" i="56"/>
  <c r="V56" i="56"/>
  <c r="V52" i="56"/>
  <c r="V44" i="56"/>
  <c r="V32" i="56"/>
  <c r="V28" i="56"/>
  <c r="V20" i="56"/>
  <c r="V82" i="56"/>
  <c r="V77" i="56"/>
  <c r="V75" i="56"/>
  <c r="V71" i="56"/>
  <c r="V59" i="56"/>
  <c r="V55" i="56"/>
  <c r="V47" i="56"/>
  <c r="V39" i="56"/>
  <c r="V31" i="56"/>
  <c r="V27" i="56"/>
  <c r="V70" i="56"/>
  <c r="V62" i="56"/>
  <c r="V58" i="56"/>
  <c r="V54" i="56"/>
  <c r="V46" i="56"/>
  <c r="V38" i="56"/>
  <c r="V30" i="56"/>
  <c r="V26" i="56"/>
  <c r="V65" i="56"/>
  <c r="V61" i="56"/>
  <c r="V49" i="56"/>
  <c r="V41" i="56"/>
  <c r="V37" i="56"/>
  <c r="V29" i="56"/>
  <c r="V25" i="56"/>
  <c r="F16" i="56"/>
  <c r="V16" i="56"/>
  <c r="F20" i="56"/>
  <c r="V24" i="56"/>
  <c r="Z29" i="56"/>
  <c r="F33" i="56"/>
  <c r="R37" i="56"/>
  <c r="N40" i="56"/>
  <c r="Z46" i="56"/>
  <c r="F48" i="56"/>
  <c r="Z54" i="56"/>
  <c r="J66" i="56"/>
  <c r="L73" i="56"/>
  <c r="F38" i="57"/>
  <c r="X42" i="57"/>
  <c r="L44" i="57"/>
  <c r="N44" i="57" s="1"/>
  <c r="Z54" i="57"/>
  <c r="J42" i="58"/>
  <c r="X43" i="58"/>
  <c r="Z43" i="58" s="1"/>
  <c r="N45" i="58"/>
  <c r="L45" i="58"/>
  <c r="N57" i="58"/>
  <c r="L57" i="58"/>
  <c r="J70" i="58"/>
  <c r="Z71" i="58"/>
  <c r="Z29" i="59"/>
  <c r="X40" i="61"/>
  <c r="Z40" i="61" s="1"/>
  <c r="V14" i="57"/>
  <c r="V18" i="57"/>
  <c r="V22" i="57"/>
  <c r="R23" i="57"/>
  <c r="J26" i="57"/>
  <c r="J30" i="57"/>
  <c r="V34" i="57"/>
  <c r="R35" i="57"/>
  <c r="J38" i="57"/>
  <c r="R40" i="57"/>
  <c r="V42" i="57"/>
  <c r="R43" i="57"/>
  <c r="J44" i="57"/>
  <c r="R48" i="57"/>
  <c r="V50" i="57"/>
  <c r="R51" i="57"/>
  <c r="V54" i="57"/>
  <c r="R55" i="57"/>
  <c r="J56" i="57"/>
  <c r="R60" i="57"/>
  <c r="V62" i="57"/>
  <c r="R63" i="57"/>
  <c r="L65" i="57"/>
  <c r="R69" i="57"/>
  <c r="L12" i="58"/>
  <c r="X14" i="58"/>
  <c r="F20" i="58"/>
  <c r="V23" i="58"/>
  <c r="R24" i="58"/>
  <c r="F28" i="58"/>
  <c r="F32" i="58"/>
  <c r="V35" i="58"/>
  <c r="R36" i="58"/>
  <c r="F40" i="58"/>
  <c r="R41" i="58"/>
  <c r="F43" i="58"/>
  <c r="V43" i="58"/>
  <c r="R44" i="58"/>
  <c r="F48" i="58"/>
  <c r="R49" i="58"/>
  <c r="F51" i="58"/>
  <c r="V51" i="58"/>
  <c r="R52" i="58"/>
  <c r="V55" i="58"/>
  <c r="R56" i="58"/>
  <c r="V59" i="58"/>
  <c r="F64" i="58"/>
  <c r="F68" i="58"/>
  <c r="R69" i="58"/>
  <c r="F71" i="58"/>
  <c r="V71" i="58"/>
  <c r="R72" i="58"/>
  <c r="R78" i="58"/>
  <c r="L12" i="59"/>
  <c r="X14" i="59"/>
  <c r="P16" i="59"/>
  <c r="F20" i="59"/>
  <c r="V23" i="59"/>
  <c r="R24" i="59"/>
  <c r="F28" i="59"/>
  <c r="R29" i="59"/>
  <c r="F32" i="59"/>
  <c r="V35" i="59"/>
  <c r="R36" i="59"/>
  <c r="V43" i="59"/>
  <c r="R44" i="59"/>
  <c r="F48" i="59"/>
  <c r="V51" i="59"/>
  <c r="F56" i="59"/>
  <c r="R57" i="59"/>
  <c r="V63" i="59"/>
  <c r="F67" i="59"/>
  <c r="V67" i="59"/>
  <c r="V69" i="59"/>
  <c r="F74" i="59"/>
  <c r="V74" i="59"/>
  <c r="R65" i="60"/>
  <c r="R58" i="60"/>
  <c r="R41" i="60"/>
  <c r="R37" i="60"/>
  <c r="R25" i="60"/>
  <c r="R53" i="60"/>
  <c r="R49" i="60"/>
  <c r="R36" i="60"/>
  <c r="R29" i="60"/>
  <c r="R43" i="60"/>
  <c r="R40" i="60"/>
  <c r="R35" i="60"/>
  <c r="R23" i="60"/>
  <c r="R46" i="60"/>
  <c r="R34" i="60"/>
  <c r="R22" i="60"/>
  <c r="R62" i="60"/>
  <c r="R56" i="60"/>
  <c r="R45" i="60"/>
  <c r="R42" i="60"/>
  <c r="R33" i="60"/>
  <c r="R21" i="60"/>
  <c r="R52" i="60"/>
  <c r="R48" i="60"/>
  <c r="R32" i="60"/>
  <c r="R28" i="60"/>
  <c r="R51" i="60"/>
  <c r="R44" i="60"/>
  <c r="R39" i="60"/>
  <c r="R31" i="60"/>
  <c r="R27" i="60"/>
  <c r="N18" i="60"/>
  <c r="R30" i="60"/>
  <c r="J45" i="60"/>
  <c r="R50" i="60"/>
  <c r="R60" i="60"/>
  <c r="Z19" i="61"/>
  <c r="Z19" i="62"/>
  <c r="J68" i="62"/>
  <c r="N91" i="62"/>
  <c r="Z42" i="63"/>
  <c r="V23" i="57"/>
  <c r="R24" i="57"/>
  <c r="J27" i="57"/>
  <c r="R29" i="57"/>
  <c r="J31" i="57"/>
  <c r="V35" i="57"/>
  <c r="R36" i="57"/>
  <c r="J39" i="57"/>
  <c r="V43" i="57"/>
  <c r="J47" i="57"/>
  <c r="V51" i="57"/>
  <c r="R52" i="57"/>
  <c r="V55" i="57"/>
  <c r="J59" i="57"/>
  <c r="V63" i="57"/>
  <c r="V67" i="57"/>
  <c r="V69" i="57"/>
  <c r="V74" i="57"/>
  <c r="Z14" i="58"/>
  <c r="R16" i="58"/>
  <c r="F21" i="58"/>
  <c r="V24" i="58"/>
  <c r="R25" i="58"/>
  <c r="F29" i="58"/>
  <c r="R30" i="58"/>
  <c r="F33" i="58"/>
  <c r="V36" i="58"/>
  <c r="R37" i="58"/>
  <c r="V44" i="58"/>
  <c r="V52" i="58"/>
  <c r="V56" i="58"/>
  <c r="F61" i="58"/>
  <c r="R62" i="58"/>
  <c r="F65" i="58"/>
  <c r="V72" i="58"/>
  <c r="F76" i="58"/>
  <c r="V76" i="58"/>
  <c r="V78" i="58"/>
  <c r="F83" i="58"/>
  <c r="V83" i="58"/>
  <c r="R16" i="59"/>
  <c r="F21" i="59"/>
  <c r="V24" i="59"/>
  <c r="R25" i="59"/>
  <c r="F33" i="59"/>
  <c r="V36" i="59"/>
  <c r="R37" i="59"/>
  <c r="F40" i="59"/>
  <c r="V40" i="59"/>
  <c r="R41" i="59"/>
  <c r="V44" i="59"/>
  <c r="F49" i="59"/>
  <c r="F53" i="59"/>
  <c r="F60" i="59"/>
  <c r="V60" i="59"/>
  <c r="R61" i="59"/>
  <c r="L16" i="60"/>
  <c r="J18" i="60"/>
  <c r="J90" i="62"/>
  <c r="H84" i="63"/>
  <c r="N12" i="57"/>
  <c r="J14" i="57"/>
  <c r="R16" i="57"/>
  <c r="J18" i="57"/>
  <c r="J20" i="57"/>
  <c r="V24" i="57"/>
  <c r="R25" i="57"/>
  <c r="J28" i="57"/>
  <c r="J32" i="57"/>
  <c r="V36" i="57"/>
  <c r="R37" i="57"/>
  <c r="V40" i="57"/>
  <c r="R41" i="57"/>
  <c r="J42" i="57"/>
  <c r="R46" i="57"/>
  <c r="V48" i="57"/>
  <c r="R49" i="57"/>
  <c r="J50" i="57"/>
  <c r="V52" i="57"/>
  <c r="R53" i="57"/>
  <c r="J54" i="57"/>
  <c r="R58" i="57"/>
  <c r="V60" i="57"/>
  <c r="R61" i="57"/>
  <c r="J62" i="57"/>
  <c r="D16" i="58"/>
  <c r="R19" i="58"/>
  <c r="F22" i="58"/>
  <c r="V25" i="58"/>
  <c r="R26" i="58"/>
  <c r="F34" i="58"/>
  <c r="V37" i="58"/>
  <c r="R38" i="58"/>
  <c r="F41" i="58"/>
  <c r="V41" i="58"/>
  <c r="R42" i="58"/>
  <c r="F46" i="58"/>
  <c r="R47" i="58"/>
  <c r="F49" i="58"/>
  <c r="V49" i="58"/>
  <c r="R50" i="58"/>
  <c r="F54" i="58"/>
  <c r="F58" i="58"/>
  <c r="F66" i="58"/>
  <c r="R67" i="58"/>
  <c r="F69" i="58"/>
  <c r="V69" i="58"/>
  <c r="R70" i="58"/>
  <c r="D16" i="59"/>
  <c r="R19" i="59"/>
  <c r="F22" i="59"/>
  <c r="R26" i="59"/>
  <c r="F29" i="59"/>
  <c r="V29" i="59"/>
  <c r="R30" i="59"/>
  <c r="F34" i="59"/>
  <c r="V37" i="59"/>
  <c r="R38" i="59"/>
  <c r="V41" i="59"/>
  <c r="F46" i="59"/>
  <c r="R47" i="59"/>
  <c r="F50" i="59"/>
  <c r="F54" i="59"/>
  <c r="R55" i="59"/>
  <c r="F57" i="59"/>
  <c r="V57" i="59"/>
  <c r="R58" i="59"/>
  <c r="V61" i="59"/>
  <c r="R65" i="59"/>
  <c r="R71" i="59"/>
  <c r="X12" i="60"/>
  <c r="R14" i="60"/>
  <c r="P16" i="60"/>
  <c r="R24" i="60"/>
  <c r="Z91" i="62"/>
  <c r="X91" i="62"/>
  <c r="N74" i="63"/>
  <c r="T16" i="57"/>
  <c r="R19" i="57"/>
  <c r="J21" i="57"/>
  <c r="V25" i="57"/>
  <c r="R26" i="57"/>
  <c r="V29" i="57"/>
  <c r="R30" i="57"/>
  <c r="J33" i="57"/>
  <c r="V37" i="57"/>
  <c r="R38" i="57"/>
  <c r="V41" i="57"/>
  <c r="J45" i="57"/>
  <c r="V49" i="57"/>
  <c r="V53" i="57"/>
  <c r="J57" i="57"/>
  <c r="V61" i="57"/>
  <c r="R65" i="57"/>
  <c r="J67" i="57"/>
  <c r="R71" i="57"/>
  <c r="J74" i="57"/>
  <c r="F16" i="58"/>
  <c r="V16" i="58"/>
  <c r="F23" i="58"/>
  <c r="V26" i="58"/>
  <c r="R27" i="58"/>
  <c r="F30" i="58"/>
  <c r="V30" i="58"/>
  <c r="R31" i="58"/>
  <c r="F35" i="58"/>
  <c r="V38" i="58"/>
  <c r="R39" i="58"/>
  <c r="V42" i="58"/>
  <c r="V50" i="58"/>
  <c r="F55" i="58"/>
  <c r="F59" i="58"/>
  <c r="R60" i="58"/>
  <c r="F62" i="58"/>
  <c r="V62" i="58"/>
  <c r="R63" i="58"/>
  <c r="V70" i="58"/>
  <c r="R74" i="58"/>
  <c r="R80" i="58"/>
  <c r="F16" i="59"/>
  <c r="V16" i="59"/>
  <c r="F23" i="59"/>
  <c r="V26" i="59"/>
  <c r="R27" i="59"/>
  <c r="V30" i="59"/>
  <c r="R31" i="59"/>
  <c r="F35" i="59"/>
  <c r="V38" i="59"/>
  <c r="R39" i="59"/>
  <c r="F43" i="59"/>
  <c r="F51" i="59"/>
  <c r="R52" i="59"/>
  <c r="V58" i="59"/>
  <c r="R59" i="59"/>
  <c r="F63" i="59"/>
  <c r="F69" i="59"/>
  <c r="R16" i="60"/>
  <c r="P57" i="61"/>
  <c r="X16" i="61"/>
  <c r="J38" i="62"/>
  <c r="N14" i="57"/>
  <c r="V16" i="57"/>
  <c r="J22" i="57"/>
  <c r="V26" i="57"/>
  <c r="R27" i="57"/>
  <c r="V30" i="57"/>
  <c r="R31" i="57"/>
  <c r="J34" i="57"/>
  <c r="V38" i="57"/>
  <c r="R39" i="57"/>
  <c r="J40" i="57"/>
  <c r="R44" i="57"/>
  <c r="V46" i="57"/>
  <c r="R47" i="57"/>
  <c r="J48" i="57"/>
  <c r="R56" i="57"/>
  <c r="V58" i="57"/>
  <c r="R59" i="57"/>
  <c r="J60" i="57"/>
  <c r="X12" i="58"/>
  <c r="X16" i="58"/>
  <c r="F19" i="58"/>
  <c r="V19" i="58"/>
  <c r="R20" i="58"/>
  <c r="F24" i="58"/>
  <c r="V27" i="58"/>
  <c r="R28" i="58"/>
  <c r="V31" i="58"/>
  <c r="R32" i="58"/>
  <c r="F36" i="58"/>
  <c r="V39" i="58"/>
  <c r="R40" i="58"/>
  <c r="F44" i="58"/>
  <c r="R45" i="58"/>
  <c r="F47" i="58"/>
  <c r="V47" i="58"/>
  <c r="R48" i="58"/>
  <c r="F52" i="58"/>
  <c r="R53" i="58"/>
  <c r="F56" i="58"/>
  <c r="R57" i="58"/>
  <c r="V63" i="58"/>
  <c r="R64" i="58"/>
  <c r="F67" i="58"/>
  <c r="V67" i="58"/>
  <c r="R68" i="58"/>
  <c r="F72" i="58"/>
  <c r="F78" i="58"/>
  <c r="X12" i="59"/>
  <c r="F19" i="59"/>
  <c r="V19" i="59"/>
  <c r="R20" i="59"/>
  <c r="F24" i="59"/>
  <c r="V27" i="59"/>
  <c r="R28" i="59"/>
  <c r="V31" i="59"/>
  <c r="R32" i="59"/>
  <c r="F36" i="59"/>
  <c r="V39" i="59"/>
  <c r="F44" i="59"/>
  <c r="R45" i="59"/>
  <c r="F47" i="59"/>
  <c r="V47" i="59"/>
  <c r="R48" i="59"/>
  <c r="F55" i="59"/>
  <c r="V55" i="59"/>
  <c r="R56" i="59"/>
  <c r="V59" i="59"/>
  <c r="F65" i="59"/>
  <c r="V65" i="59"/>
  <c r="F71" i="59"/>
  <c r="V71" i="59"/>
  <c r="F45" i="60"/>
  <c r="F40" i="60"/>
  <c r="F33" i="60"/>
  <c r="F21" i="60"/>
  <c r="F52" i="60"/>
  <c r="F48" i="60"/>
  <c r="F32" i="60"/>
  <c r="F28" i="60"/>
  <c r="F62" i="60"/>
  <c r="F56" i="60"/>
  <c r="F51" i="60"/>
  <c r="F42" i="60"/>
  <c r="F39" i="60"/>
  <c r="F31" i="60"/>
  <c r="F27" i="60"/>
  <c r="F18" i="60"/>
  <c r="F60" i="60"/>
  <c r="F54" i="60"/>
  <c r="F50" i="60"/>
  <c r="F38" i="60"/>
  <c r="F30" i="60"/>
  <c r="F26" i="60"/>
  <c r="F44" i="60"/>
  <c r="F41" i="60"/>
  <c r="F37" i="60"/>
  <c r="F25" i="60"/>
  <c r="F47" i="60"/>
  <c r="F36" i="60"/>
  <c r="F65" i="60"/>
  <c r="F58" i="60"/>
  <c r="F43" i="60"/>
  <c r="F35" i="60"/>
  <c r="F23" i="60"/>
  <c r="F16" i="60"/>
  <c r="R18" i="60"/>
  <c r="R20" i="60"/>
  <c r="F34" i="60"/>
  <c r="R38" i="60"/>
  <c r="V19" i="57"/>
  <c r="R20" i="57"/>
  <c r="J23" i="57"/>
  <c r="V27" i="57"/>
  <c r="R28" i="57"/>
  <c r="J29" i="57"/>
  <c r="V31" i="57"/>
  <c r="R32" i="57"/>
  <c r="J35" i="57"/>
  <c r="V39" i="57"/>
  <c r="J43" i="57"/>
  <c r="V47" i="57"/>
  <c r="J51" i="57"/>
  <c r="J55" i="57"/>
  <c r="V59" i="57"/>
  <c r="J63" i="57"/>
  <c r="V65" i="57"/>
  <c r="J69" i="57"/>
  <c r="V71" i="57"/>
  <c r="R14" i="58"/>
  <c r="R18" i="58"/>
  <c r="V20" i="58"/>
  <c r="R21" i="58"/>
  <c r="F25" i="58"/>
  <c r="V28" i="58"/>
  <c r="R29" i="58"/>
  <c r="V32" i="58"/>
  <c r="R33" i="58"/>
  <c r="F37" i="58"/>
  <c r="V40" i="58"/>
  <c r="V48" i="58"/>
  <c r="F60" i="58"/>
  <c r="V60" i="58"/>
  <c r="R61" i="58"/>
  <c r="V64" i="58"/>
  <c r="R65" i="58"/>
  <c r="V68" i="58"/>
  <c r="F74" i="58"/>
  <c r="V74" i="58"/>
  <c r="F80" i="58"/>
  <c r="V80" i="58"/>
  <c r="R14" i="59"/>
  <c r="R18" i="59"/>
  <c r="V20" i="59"/>
  <c r="R21" i="59"/>
  <c r="F25" i="59"/>
  <c r="V28" i="59"/>
  <c r="V32" i="59"/>
  <c r="R33" i="59"/>
  <c r="F37" i="59"/>
  <c r="F41" i="59"/>
  <c r="R42" i="59"/>
  <c r="V48" i="59"/>
  <c r="R49" i="59"/>
  <c r="F52" i="59"/>
  <c r="V52" i="59"/>
  <c r="R53" i="59"/>
  <c r="V56" i="59"/>
  <c r="F61" i="59"/>
  <c r="R62" i="59"/>
  <c r="J62" i="60"/>
  <c r="J56" i="60"/>
  <c r="J52" i="60"/>
  <c r="J48" i="60"/>
  <c r="J42" i="60"/>
  <c r="J32" i="60"/>
  <c r="J28" i="60"/>
  <c r="J20" i="60"/>
  <c r="J51" i="60"/>
  <c r="J39" i="60"/>
  <c r="J31" i="60"/>
  <c r="J27" i="60"/>
  <c r="J60" i="60"/>
  <c r="J54" i="60"/>
  <c r="J50" i="60"/>
  <c r="J44" i="60"/>
  <c r="J38" i="60"/>
  <c r="J30" i="60"/>
  <c r="J26" i="60"/>
  <c r="J47" i="60"/>
  <c r="J41" i="60"/>
  <c r="J37" i="60"/>
  <c r="J25" i="60"/>
  <c r="J19" i="60"/>
  <c r="J65" i="60"/>
  <c r="J58" i="60"/>
  <c r="J36" i="60"/>
  <c r="J24" i="60"/>
  <c r="J53" i="60"/>
  <c r="J49" i="60"/>
  <c r="J43" i="60"/>
  <c r="J35" i="60"/>
  <c r="J29" i="60"/>
  <c r="J46" i="60"/>
  <c r="J40" i="60"/>
  <c r="J34" i="60"/>
  <c r="J22" i="60"/>
  <c r="R26" i="60"/>
  <c r="F53" i="60"/>
  <c r="R54" i="60"/>
  <c r="J20" i="62"/>
  <c r="D48" i="64"/>
  <c r="L44" i="64"/>
  <c r="J16" i="57"/>
  <c r="R18" i="57"/>
  <c r="V20" i="57"/>
  <c r="R21" i="57"/>
  <c r="J24" i="57"/>
  <c r="V28" i="57"/>
  <c r="V32" i="57"/>
  <c r="R33" i="57"/>
  <c r="J36" i="57"/>
  <c r="R42" i="57"/>
  <c r="V44" i="57"/>
  <c r="R45" i="57"/>
  <c r="J46" i="57"/>
  <c r="R50" i="57"/>
  <c r="J52" i="57"/>
  <c r="R54" i="57"/>
  <c r="R57" i="57"/>
  <c r="V21" i="58"/>
  <c r="R22" i="58"/>
  <c r="F26" i="58"/>
  <c r="V29" i="58"/>
  <c r="V33" i="58"/>
  <c r="R34" i="58"/>
  <c r="F38" i="58"/>
  <c r="F42" i="58"/>
  <c r="R43" i="58"/>
  <c r="F45" i="58"/>
  <c r="V45" i="58"/>
  <c r="R46" i="58"/>
  <c r="F50" i="58"/>
  <c r="R51" i="58"/>
  <c r="F53" i="58"/>
  <c r="V53" i="58"/>
  <c r="R54" i="58"/>
  <c r="F57" i="58"/>
  <c r="V57" i="58"/>
  <c r="R58" i="58"/>
  <c r="V61" i="58"/>
  <c r="R66" i="58"/>
  <c r="V21" i="59"/>
  <c r="R22" i="59"/>
  <c r="F26" i="59"/>
  <c r="F30" i="59"/>
  <c r="V33" i="59"/>
  <c r="R34" i="59"/>
  <c r="F38" i="59"/>
  <c r="F45" i="59"/>
  <c r="V45" i="59"/>
  <c r="R46" i="59"/>
  <c r="V49" i="59"/>
  <c r="R50" i="59"/>
  <c r="R54" i="59"/>
  <c r="R67" i="59"/>
  <c r="L12" i="60"/>
  <c r="R19" i="60"/>
  <c r="J33" i="60"/>
  <c r="N40" i="60"/>
  <c r="L40" i="60"/>
  <c r="Z44" i="60"/>
  <c r="F46" i="60"/>
  <c r="N14" i="61"/>
  <c r="L14" i="61"/>
  <c r="N18" i="61"/>
  <c r="L18" i="61"/>
  <c r="N42" i="61"/>
  <c r="L42" i="61"/>
  <c r="Z52" i="61"/>
  <c r="X52" i="61"/>
  <c r="J97" i="62"/>
  <c r="J93" i="62"/>
  <c r="J87" i="62"/>
  <c r="J81" i="62"/>
  <c r="J75" i="62"/>
  <c r="J65" i="62"/>
  <c r="J57" i="62"/>
  <c r="J51" i="62"/>
  <c r="J45" i="62"/>
  <c r="J37" i="62"/>
  <c r="J31" i="62"/>
  <c r="J25" i="62"/>
  <c r="J17" i="62"/>
  <c r="J99" i="62"/>
  <c r="J92" i="62"/>
  <c r="J78" i="62"/>
  <c r="J70" i="62"/>
  <c r="J62" i="62"/>
  <c r="J54" i="62"/>
  <c r="J42" i="62"/>
  <c r="J36" i="62"/>
  <c r="J24" i="62"/>
  <c r="H17" i="62"/>
  <c r="J105" i="62"/>
  <c r="J95" i="62"/>
  <c r="J89" i="62"/>
  <c r="J67" i="62"/>
  <c r="J59" i="62"/>
  <c r="J47" i="62"/>
  <c r="J35" i="62"/>
  <c r="J23" i="62"/>
  <c r="J15" i="62"/>
  <c r="J86" i="62"/>
  <c r="J80" i="62"/>
  <c r="J74" i="62"/>
  <c r="J64" i="62"/>
  <c r="J56" i="62"/>
  <c r="J50" i="62"/>
  <c r="J44" i="62"/>
  <c r="J34" i="62"/>
  <c r="J30" i="62"/>
  <c r="J22" i="62"/>
  <c r="J103" i="62"/>
  <c r="J98" i="62"/>
  <c r="J91" i="62"/>
  <c r="J85" i="62"/>
  <c r="J77" i="62"/>
  <c r="J73" i="62"/>
  <c r="J69" i="62"/>
  <c r="J61" i="62"/>
  <c r="J53" i="62"/>
  <c r="J49" i="62"/>
  <c r="J41" i="62"/>
  <c r="J33" i="62"/>
  <c r="J29" i="62"/>
  <c r="J21" i="62"/>
  <c r="J19" i="62"/>
  <c r="J94" i="62"/>
  <c r="J88" i="62"/>
  <c r="J84" i="62"/>
  <c r="J76" i="62"/>
  <c r="J72" i="62"/>
  <c r="J66" i="62"/>
  <c r="J58" i="62"/>
  <c r="J52" i="62"/>
  <c r="J46" i="62"/>
  <c r="J40" i="62"/>
  <c r="J32" i="62"/>
  <c r="J28" i="62"/>
  <c r="J14" i="62"/>
  <c r="N12" i="62"/>
  <c r="J108" i="62"/>
  <c r="J101" i="62"/>
  <c r="J83" i="62"/>
  <c r="J79" i="62"/>
  <c r="J71" i="62"/>
  <c r="J63" i="62"/>
  <c r="J55" i="62"/>
  <c r="J43" i="62"/>
  <c r="J39" i="62"/>
  <c r="J27" i="62"/>
  <c r="L12" i="62"/>
  <c r="N19" i="62"/>
  <c r="J48" i="62"/>
  <c r="J60" i="62"/>
  <c r="J82" i="62"/>
  <c r="Z97" i="62"/>
  <c r="Z32" i="63"/>
  <c r="V16" i="60"/>
  <c r="V26" i="60"/>
  <c r="V30" i="60"/>
  <c r="V38" i="60"/>
  <c r="V50" i="60"/>
  <c r="V54" i="60"/>
  <c r="V58" i="60"/>
  <c r="V60" i="60"/>
  <c r="V65" i="60"/>
  <c r="N12" i="61"/>
  <c r="J14" i="61"/>
  <c r="R16" i="61"/>
  <c r="J18" i="61"/>
  <c r="J20" i="61"/>
  <c r="F21" i="61"/>
  <c r="V24" i="61"/>
  <c r="R25" i="61"/>
  <c r="J28" i="61"/>
  <c r="J32" i="61"/>
  <c r="F33" i="61"/>
  <c r="V36" i="61"/>
  <c r="R37" i="61"/>
  <c r="F40" i="61"/>
  <c r="V40" i="61"/>
  <c r="R41" i="61"/>
  <c r="J42" i="61"/>
  <c r="F45" i="61"/>
  <c r="J48" i="61"/>
  <c r="F52" i="61"/>
  <c r="V52" i="61"/>
  <c r="R53" i="61"/>
  <c r="D57" i="61"/>
  <c r="T57" i="61"/>
  <c r="R59" i="61"/>
  <c r="F19" i="62"/>
  <c r="V23" i="62"/>
  <c r="R24" i="62"/>
  <c r="F28" i="62"/>
  <c r="F32" i="62"/>
  <c r="V35" i="62"/>
  <c r="R36" i="62"/>
  <c r="F40" i="62"/>
  <c r="V47" i="62"/>
  <c r="F52" i="62"/>
  <c r="V59" i="62"/>
  <c r="V67" i="62"/>
  <c r="F72" i="62"/>
  <c r="F76" i="62"/>
  <c r="F84" i="62"/>
  <c r="F88" i="62"/>
  <c r="R89" i="62"/>
  <c r="F91" i="62"/>
  <c r="V91" i="62"/>
  <c r="R92" i="62"/>
  <c r="V95" i="62"/>
  <c r="R105" i="62"/>
  <c r="V74" i="63"/>
  <c r="V62" i="63"/>
  <c r="V65" i="63"/>
  <c r="V53" i="63"/>
  <c r="V49" i="63"/>
  <c r="V82" i="63"/>
  <c r="V67" i="63"/>
  <c r="V55" i="63"/>
  <c r="V47" i="63"/>
  <c r="V77" i="63"/>
  <c r="V73" i="63"/>
  <c r="V69" i="63"/>
  <c r="V61" i="63"/>
  <c r="V57" i="63"/>
  <c r="V45" i="63"/>
  <c r="V86" i="63"/>
  <c r="V80" i="63"/>
  <c r="V76" i="63"/>
  <c r="V72" i="63"/>
  <c r="V68" i="63"/>
  <c r="V60" i="63"/>
  <c r="V52" i="63"/>
  <c r="V18" i="63"/>
  <c r="J22" i="63"/>
  <c r="V26" i="63"/>
  <c r="J30" i="63"/>
  <c r="V34" i="63"/>
  <c r="J38" i="63"/>
  <c r="V50" i="63"/>
  <c r="N57" i="63"/>
  <c r="V58" i="63"/>
  <c r="V64" i="63"/>
  <c r="V15" i="64"/>
  <c r="N19" i="64"/>
  <c r="Z34" i="65"/>
  <c r="N84" i="65"/>
  <c r="L84" i="65"/>
  <c r="P87" i="65"/>
  <c r="X87" i="65" s="1"/>
  <c r="V27" i="60"/>
  <c r="V31" i="60"/>
  <c r="V39" i="60"/>
  <c r="V47" i="60"/>
  <c r="V51" i="60"/>
  <c r="R19" i="61"/>
  <c r="F22" i="61"/>
  <c r="R26" i="61"/>
  <c r="F29" i="61"/>
  <c r="R30" i="61"/>
  <c r="F34" i="61"/>
  <c r="V37" i="61"/>
  <c r="R38" i="61"/>
  <c r="V41" i="61"/>
  <c r="J45" i="61"/>
  <c r="F46" i="61"/>
  <c r="R47" i="61"/>
  <c r="F49" i="61"/>
  <c r="V49" i="61"/>
  <c r="R50" i="61"/>
  <c r="V53" i="61"/>
  <c r="F57" i="61"/>
  <c r="V57" i="61"/>
  <c r="V59" i="61"/>
  <c r="F64" i="61"/>
  <c r="V64" i="61"/>
  <c r="R25" i="62"/>
  <c r="F33" i="62"/>
  <c r="V36" i="62"/>
  <c r="R37" i="62"/>
  <c r="F41" i="62"/>
  <c r="R42" i="62"/>
  <c r="F44" i="62"/>
  <c r="V44" i="62"/>
  <c r="R45" i="62"/>
  <c r="F49" i="62"/>
  <c r="F53" i="62"/>
  <c r="R54" i="62"/>
  <c r="F56" i="62"/>
  <c r="V56" i="62"/>
  <c r="R57" i="62"/>
  <c r="F61" i="62"/>
  <c r="R62" i="62"/>
  <c r="F64" i="62"/>
  <c r="V64" i="62"/>
  <c r="R65" i="62"/>
  <c r="F69" i="62"/>
  <c r="R70" i="62"/>
  <c r="F73" i="62"/>
  <c r="F77" i="62"/>
  <c r="R78" i="62"/>
  <c r="F80" i="62"/>
  <c r="V80" i="62"/>
  <c r="R81" i="62"/>
  <c r="F85" i="62"/>
  <c r="V92" i="62"/>
  <c r="R93" i="62"/>
  <c r="F98" i="62"/>
  <c r="R99" i="62"/>
  <c r="F103" i="62"/>
  <c r="J33" i="63"/>
  <c r="V35" i="63"/>
  <c r="J39" i="63"/>
  <c r="J43" i="63"/>
  <c r="J47" i="63"/>
  <c r="V20" i="60"/>
  <c r="V28" i="60"/>
  <c r="V32" i="60"/>
  <c r="V44" i="60"/>
  <c r="V48" i="60"/>
  <c r="V52" i="60"/>
  <c r="F16" i="61"/>
  <c r="V16" i="61"/>
  <c r="J22" i="61"/>
  <c r="F23" i="61"/>
  <c r="V26" i="61"/>
  <c r="R27" i="61"/>
  <c r="V30" i="61"/>
  <c r="R31" i="61"/>
  <c r="J34" i="61"/>
  <c r="F35" i="61"/>
  <c r="V38" i="61"/>
  <c r="R39" i="61"/>
  <c r="J40" i="61"/>
  <c r="F43" i="61"/>
  <c r="R44" i="61"/>
  <c r="J46" i="61"/>
  <c r="V50" i="61"/>
  <c r="R51" i="61"/>
  <c r="J52" i="61"/>
  <c r="R17" i="62"/>
  <c r="R26" i="62"/>
  <c r="F30" i="62"/>
  <c r="R31" i="62"/>
  <c r="F34" i="62"/>
  <c r="V37" i="62"/>
  <c r="R38" i="62"/>
  <c r="V45" i="62"/>
  <c r="F50" i="62"/>
  <c r="R51" i="62"/>
  <c r="V57" i="62"/>
  <c r="V65" i="62"/>
  <c r="F74" i="62"/>
  <c r="R75" i="62"/>
  <c r="V81" i="62"/>
  <c r="R82" i="62"/>
  <c r="F86" i="62"/>
  <c r="R87" i="62"/>
  <c r="F89" i="62"/>
  <c r="V89" i="62"/>
  <c r="R90" i="62"/>
  <c r="V93" i="62"/>
  <c r="R97" i="62"/>
  <c r="V99" i="62"/>
  <c r="F105" i="62"/>
  <c r="V105" i="62"/>
  <c r="L16" i="63"/>
  <c r="J18" i="63"/>
  <c r="V20" i="63"/>
  <c r="V28" i="63"/>
  <c r="V32" i="63"/>
  <c r="V36" i="63"/>
  <c r="J40" i="63"/>
  <c r="J44" i="63"/>
  <c r="J46" i="63"/>
  <c r="J54" i="63"/>
  <c r="V66" i="63"/>
  <c r="V26" i="64"/>
  <c r="V14" i="64"/>
  <c r="V29" i="64"/>
  <c r="V21" i="64"/>
  <c r="V48" i="64"/>
  <c r="V42" i="64"/>
  <c r="V32" i="64"/>
  <c r="V28" i="64"/>
  <c r="V20" i="64"/>
  <c r="Z12" i="64"/>
  <c r="V35" i="64"/>
  <c r="V31" i="64"/>
  <c r="V23" i="64"/>
  <c r="V17" i="64"/>
  <c r="V38" i="64"/>
  <c r="V34" i="64"/>
  <c r="V30" i="64"/>
  <c r="V22" i="64"/>
  <c r="V37" i="64"/>
  <c r="V33" i="64"/>
  <c r="V25" i="64"/>
  <c r="V51" i="64"/>
  <c r="V46" i="64"/>
  <c r="V44" i="64"/>
  <c r="V40" i="64"/>
  <c r="V36" i="64"/>
  <c r="V24" i="64"/>
  <c r="F95" i="65"/>
  <c r="F90" i="65"/>
  <c r="F84" i="65"/>
  <c r="F77" i="65"/>
  <c r="F73" i="65"/>
  <c r="F64" i="65"/>
  <c r="F61" i="65"/>
  <c r="F56" i="65"/>
  <c r="F49" i="65"/>
  <c r="F37" i="65"/>
  <c r="D31" i="65"/>
  <c r="F29" i="65"/>
  <c r="F21" i="65"/>
  <c r="F80" i="65"/>
  <c r="F76" i="65"/>
  <c r="F72" i="65"/>
  <c r="F67" i="65"/>
  <c r="F48" i="65"/>
  <c r="F44" i="65"/>
  <c r="F36" i="65"/>
  <c r="F28" i="65"/>
  <c r="F20" i="65"/>
  <c r="F83" i="65"/>
  <c r="F79" i="65"/>
  <c r="F63" i="65"/>
  <c r="F58" i="65"/>
  <c r="F55" i="65"/>
  <c r="F47" i="65"/>
  <c r="F43" i="65"/>
  <c r="F35" i="65"/>
  <c r="F27" i="65"/>
  <c r="F89" i="65"/>
  <c r="F87" i="65"/>
  <c r="F82" i="65"/>
  <c r="F69" i="65"/>
  <c r="F66" i="65"/>
  <c r="F54" i="65"/>
  <c r="F46" i="65"/>
  <c r="F42" i="65"/>
  <c r="F33" i="65"/>
  <c r="F26" i="65"/>
  <c r="F85" i="65"/>
  <c r="F65" i="65"/>
  <c r="F60" i="65"/>
  <c r="F57" i="65"/>
  <c r="F53" i="65"/>
  <c r="F41" i="65"/>
  <c r="F25" i="65"/>
  <c r="F91" i="65"/>
  <c r="F75" i="65"/>
  <c r="F71" i="65"/>
  <c r="F68" i="65"/>
  <c r="F52" i="65"/>
  <c r="F40" i="65"/>
  <c r="F24" i="65"/>
  <c r="F19" i="65"/>
  <c r="F88" i="65"/>
  <c r="F78" i="65"/>
  <c r="F62" i="65"/>
  <c r="F59" i="65"/>
  <c r="F51" i="65"/>
  <c r="F39" i="65"/>
  <c r="F34" i="65"/>
  <c r="F23" i="65"/>
  <c r="Z33" i="65"/>
  <c r="F62" i="67"/>
  <c r="V21" i="60"/>
  <c r="V33" i="60"/>
  <c r="V45" i="60"/>
  <c r="X12" i="61"/>
  <c r="H16" i="61"/>
  <c r="L16" i="61" s="1"/>
  <c r="F19" i="61"/>
  <c r="V19" i="61"/>
  <c r="R20" i="61"/>
  <c r="J23" i="61"/>
  <c r="F24" i="61"/>
  <c r="V27" i="61"/>
  <c r="R28" i="61"/>
  <c r="J29" i="61"/>
  <c r="V31" i="61"/>
  <c r="R32" i="61"/>
  <c r="J35" i="61"/>
  <c r="F36" i="61"/>
  <c r="V39" i="61"/>
  <c r="J43" i="61"/>
  <c r="F47" i="61"/>
  <c r="V47" i="61"/>
  <c r="R48" i="61"/>
  <c r="J49" i="61"/>
  <c r="V51" i="61"/>
  <c r="R55" i="61"/>
  <c r="J57" i="61"/>
  <c r="R61" i="61"/>
  <c r="J64" i="61"/>
  <c r="F15" i="62"/>
  <c r="D17" i="62"/>
  <c r="T17" i="62"/>
  <c r="R20" i="62"/>
  <c r="F23" i="62"/>
  <c r="V26" i="62"/>
  <c r="R27" i="62"/>
  <c r="F35" i="62"/>
  <c r="V38" i="62"/>
  <c r="R39" i="62"/>
  <c r="F42" i="62"/>
  <c r="V42" i="62"/>
  <c r="R43" i="62"/>
  <c r="F47" i="62"/>
  <c r="R48" i="62"/>
  <c r="F54" i="62"/>
  <c r="V54" i="62"/>
  <c r="R55" i="62"/>
  <c r="F59" i="62"/>
  <c r="R60" i="62"/>
  <c r="F62" i="62"/>
  <c r="V62" i="62"/>
  <c r="R63" i="62"/>
  <c r="F67" i="62"/>
  <c r="R68" i="62"/>
  <c r="F70" i="62"/>
  <c r="V70" i="62"/>
  <c r="R71" i="62"/>
  <c r="F78" i="62"/>
  <c r="V78" i="62"/>
  <c r="R79" i="62"/>
  <c r="V82" i="62"/>
  <c r="R83" i="62"/>
  <c r="V90" i="62"/>
  <c r="F95" i="62"/>
  <c r="P101" i="62"/>
  <c r="V21" i="63"/>
  <c r="J25" i="63"/>
  <c r="V37" i="63"/>
  <c r="J41" i="63"/>
  <c r="J45" i="63"/>
  <c r="V48" i="63"/>
  <c r="N53" i="63"/>
  <c r="V56" i="63"/>
  <c r="V59" i="63"/>
  <c r="V70" i="63"/>
  <c r="L74" i="63"/>
  <c r="L14" i="64"/>
  <c r="L17" i="64"/>
  <c r="Z19" i="64"/>
  <c r="Z24" i="64"/>
  <c r="F45" i="65"/>
  <c r="L56" i="65"/>
  <c r="F74" i="65"/>
  <c r="Z78" i="65"/>
  <c r="Z42" i="67"/>
  <c r="F101" i="67"/>
  <c r="X56" i="69"/>
  <c r="Z56" i="69" s="1"/>
  <c r="V14" i="60"/>
  <c r="V18" i="60"/>
  <c r="V22" i="60"/>
  <c r="V34" i="60"/>
  <c r="V42" i="60"/>
  <c r="V46" i="60"/>
  <c r="V56" i="60"/>
  <c r="V62" i="60"/>
  <c r="Z12" i="61"/>
  <c r="R14" i="61"/>
  <c r="J16" i="61"/>
  <c r="R18" i="61"/>
  <c r="V20" i="61"/>
  <c r="R21" i="61"/>
  <c r="J24" i="61"/>
  <c r="F25" i="61"/>
  <c r="V28" i="61"/>
  <c r="V32" i="61"/>
  <c r="R33" i="61"/>
  <c r="J36" i="61"/>
  <c r="F37" i="61"/>
  <c r="F41" i="61"/>
  <c r="R42" i="61"/>
  <c r="F44" i="61"/>
  <c r="V44" i="61"/>
  <c r="R45" i="61"/>
  <c r="V48" i="61"/>
  <c r="F53" i="61"/>
  <c r="F59" i="61"/>
  <c r="X12" i="62"/>
  <c r="F17" i="62"/>
  <c r="V17" i="62"/>
  <c r="F24" i="62"/>
  <c r="V27" i="62"/>
  <c r="R28" i="62"/>
  <c r="F31" i="62"/>
  <c r="V31" i="62"/>
  <c r="R32" i="62"/>
  <c r="F36" i="62"/>
  <c r="V39" i="62"/>
  <c r="R40" i="62"/>
  <c r="V43" i="62"/>
  <c r="F51" i="62"/>
  <c r="V51" i="62"/>
  <c r="R52" i="62"/>
  <c r="V55" i="62"/>
  <c r="V63" i="62"/>
  <c r="V71" i="62"/>
  <c r="R72" i="62"/>
  <c r="F75" i="62"/>
  <c r="V75" i="62"/>
  <c r="R76" i="62"/>
  <c r="V79" i="62"/>
  <c r="V83" i="62"/>
  <c r="R84" i="62"/>
  <c r="F87" i="62"/>
  <c r="V87" i="62"/>
  <c r="R88" i="62"/>
  <c r="F92" i="62"/>
  <c r="F97" i="62"/>
  <c r="V97" i="62"/>
  <c r="F99" i="62"/>
  <c r="R101" i="62"/>
  <c r="R108" i="62"/>
  <c r="J82" i="63"/>
  <c r="J78" i="63"/>
  <c r="J70" i="63"/>
  <c r="J64" i="63"/>
  <c r="J58" i="63"/>
  <c r="J77" i="63"/>
  <c r="J73" i="63"/>
  <c r="J69" i="63"/>
  <c r="J61" i="63"/>
  <c r="J55" i="63"/>
  <c r="J86" i="63"/>
  <c r="J80" i="63"/>
  <c r="J76" i="63"/>
  <c r="J72" i="63"/>
  <c r="J75" i="63"/>
  <c r="J63" i="63"/>
  <c r="J57" i="63"/>
  <c r="J51" i="63"/>
  <c r="J79" i="63"/>
  <c r="J71" i="63"/>
  <c r="J65" i="63"/>
  <c r="J59" i="63"/>
  <c r="J49" i="63"/>
  <c r="J74" i="63"/>
  <c r="J62" i="63"/>
  <c r="J56" i="63"/>
  <c r="J48" i="63"/>
  <c r="V22" i="63"/>
  <c r="J26" i="63"/>
  <c r="J32" i="63"/>
  <c r="J34" i="63"/>
  <c r="V38" i="63"/>
  <c r="V42" i="63"/>
  <c r="V46" i="63"/>
  <c r="J53" i="63"/>
  <c r="V78" i="63"/>
  <c r="V19" i="64"/>
  <c r="V27" i="64"/>
  <c r="N56" i="65"/>
  <c r="V35" i="60"/>
  <c r="V43" i="60"/>
  <c r="V21" i="61"/>
  <c r="R22" i="61"/>
  <c r="J25" i="61"/>
  <c r="F26" i="61"/>
  <c r="F30" i="61"/>
  <c r="V33" i="61"/>
  <c r="R34" i="61"/>
  <c r="J37" i="61"/>
  <c r="F38" i="61"/>
  <c r="J41" i="61"/>
  <c r="V45" i="61"/>
  <c r="R46" i="61"/>
  <c r="J47" i="61"/>
  <c r="F50" i="61"/>
  <c r="J53" i="61"/>
  <c r="F55" i="61"/>
  <c r="V55" i="61"/>
  <c r="J59" i="61"/>
  <c r="F61" i="61"/>
  <c r="V61" i="61"/>
  <c r="F20" i="62"/>
  <c r="V20" i="62"/>
  <c r="R21" i="62"/>
  <c r="F25" i="62"/>
  <c r="V28" i="62"/>
  <c r="R29" i="62"/>
  <c r="V32" i="62"/>
  <c r="R33" i="62"/>
  <c r="F37" i="62"/>
  <c r="V40" i="62"/>
  <c r="R41" i="62"/>
  <c r="F45" i="62"/>
  <c r="R46" i="62"/>
  <c r="F48" i="62"/>
  <c r="V48" i="62"/>
  <c r="R49" i="62"/>
  <c r="V52" i="62"/>
  <c r="R53" i="62"/>
  <c r="F57" i="62"/>
  <c r="R58" i="62"/>
  <c r="F60" i="62"/>
  <c r="V60" i="62"/>
  <c r="R61" i="62"/>
  <c r="F65" i="62"/>
  <c r="R66" i="62"/>
  <c r="F68" i="62"/>
  <c r="V68" i="62"/>
  <c r="R69" i="62"/>
  <c r="V72" i="62"/>
  <c r="R73" i="62"/>
  <c r="V76" i="62"/>
  <c r="R77" i="62"/>
  <c r="F81" i="62"/>
  <c r="V84" i="62"/>
  <c r="R85" i="62"/>
  <c r="V88" i="62"/>
  <c r="F93" i="62"/>
  <c r="R94" i="62"/>
  <c r="R103" i="62"/>
  <c r="J19" i="63"/>
  <c r="V23" i="63"/>
  <c r="J27" i="63"/>
  <c r="T30" i="63"/>
  <c r="J35" i="63"/>
  <c r="V39" i="63"/>
  <c r="V43" i="63"/>
  <c r="J50" i="63"/>
  <c r="V54" i="63"/>
  <c r="Z55" i="63"/>
  <c r="J60" i="63"/>
  <c r="V63" i="63"/>
  <c r="J66" i="63"/>
  <c r="J67" i="63"/>
  <c r="J68" i="63"/>
  <c r="V75" i="63"/>
  <c r="Z79" i="63"/>
  <c r="H48" i="64"/>
  <c r="N44" i="64"/>
  <c r="T17" i="64"/>
  <c r="F50" i="65"/>
  <c r="F70" i="65"/>
  <c r="Z87" i="65"/>
  <c r="V24" i="60"/>
  <c r="V36" i="60"/>
  <c r="F14" i="61"/>
  <c r="V14" i="61"/>
  <c r="F18" i="61"/>
  <c r="V18" i="61"/>
  <c r="V22" i="61"/>
  <c r="R23" i="61"/>
  <c r="J26" i="61"/>
  <c r="F27" i="61"/>
  <c r="J30" i="61"/>
  <c r="F31" i="61"/>
  <c r="V34" i="61"/>
  <c r="R35" i="61"/>
  <c r="J38" i="61"/>
  <c r="F39" i="61"/>
  <c r="R40" i="61"/>
  <c r="F42" i="61"/>
  <c r="V42" i="61"/>
  <c r="R43" i="61"/>
  <c r="J44" i="61"/>
  <c r="R19" i="62"/>
  <c r="V21" i="62"/>
  <c r="R22" i="62"/>
  <c r="F26" i="62"/>
  <c r="V29" i="62"/>
  <c r="R30" i="62"/>
  <c r="V33" i="62"/>
  <c r="R34" i="62"/>
  <c r="F38" i="62"/>
  <c r="V41" i="62"/>
  <c r="V49" i="62"/>
  <c r="R50" i="62"/>
  <c r="V53" i="62"/>
  <c r="V61" i="62"/>
  <c r="V69" i="62"/>
  <c r="V73" i="62"/>
  <c r="R74" i="62"/>
  <c r="V77" i="62"/>
  <c r="F82" i="62"/>
  <c r="V85" i="62"/>
  <c r="R86" i="62"/>
  <c r="F90" i="62"/>
  <c r="R91" i="62"/>
  <c r="F101" i="62"/>
  <c r="V101" i="62"/>
  <c r="V103" i="62"/>
  <c r="N12" i="63"/>
  <c r="J20" i="63"/>
  <c r="V24" i="63"/>
  <c r="J28" i="63"/>
  <c r="V30" i="63"/>
  <c r="J36" i="63"/>
  <c r="V40" i="63"/>
  <c r="J42" i="63"/>
  <c r="V44" i="63"/>
  <c r="X55" i="63"/>
  <c r="V71" i="63"/>
  <c r="V79" i="63"/>
  <c r="J84" i="63"/>
  <c r="N14" i="64"/>
  <c r="F38" i="65"/>
  <c r="Z62" i="65"/>
  <c r="F81" i="65"/>
  <c r="F112" i="67"/>
  <c r="F107" i="67"/>
  <c r="F105" i="67"/>
  <c r="F96" i="67"/>
  <c r="F83" i="67"/>
  <c r="F80" i="67"/>
  <c r="F56" i="67"/>
  <c r="F52" i="67"/>
  <c r="F103" i="67"/>
  <c r="F74" i="67"/>
  <c r="F71" i="67"/>
  <c r="F66" i="67"/>
  <c r="F63" i="67"/>
  <c r="F85" i="67"/>
  <c r="F82" i="67"/>
  <c r="F106" i="67"/>
  <c r="F100" i="67"/>
  <c r="F92" i="67"/>
  <c r="F88" i="67"/>
  <c r="F76" i="67"/>
  <c r="F73" i="67"/>
  <c r="F68" i="67"/>
  <c r="F65" i="67"/>
  <c r="F61" i="67"/>
  <c r="F49" i="67"/>
  <c r="F95" i="67"/>
  <c r="F84" i="67"/>
  <c r="F79" i="67"/>
  <c r="F60" i="67"/>
  <c r="F108" i="67"/>
  <c r="F102" i="67"/>
  <c r="F99" i="67"/>
  <c r="F91" i="67"/>
  <c r="F87" i="67"/>
  <c r="F75" i="67"/>
  <c r="F70" i="67"/>
  <c r="F67" i="67"/>
  <c r="F59" i="67"/>
  <c r="F47" i="67"/>
  <c r="F98" i="67"/>
  <c r="F94" i="67"/>
  <c r="F90" i="67"/>
  <c r="F86" i="67"/>
  <c r="F81" i="67"/>
  <c r="F78" i="67"/>
  <c r="F58" i="67"/>
  <c r="F53" i="67"/>
  <c r="F46" i="67"/>
  <c r="F55" i="67"/>
  <c r="F51" i="67"/>
  <c r="F43" i="67"/>
  <c r="F35" i="67"/>
  <c r="F27" i="67"/>
  <c r="F93" i="67"/>
  <c r="F34" i="67"/>
  <c r="F26" i="67"/>
  <c r="F69" i="67"/>
  <c r="F33" i="67"/>
  <c r="F25" i="67"/>
  <c r="F64" i="67"/>
  <c r="F42" i="67"/>
  <c r="F32" i="67"/>
  <c r="F24" i="67"/>
  <c r="F19" i="67"/>
  <c r="F97" i="67"/>
  <c r="F77" i="67"/>
  <c r="F72" i="67"/>
  <c r="F48" i="67"/>
  <c r="F40" i="67"/>
  <c r="F31" i="67"/>
  <c r="F23" i="67"/>
  <c r="F89" i="67"/>
  <c r="F57" i="67"/>
  <c r="D40" i="67"/>
  <c r="F38" i="67"/>
  <c r="F30" i="67"/>
  <c r="F22" i="67"/>
  <c r="L12" i="67"/>
  <c r="N12" i="67" s="1"/>
  <c r="F50" i="67"/>
  <c r="F45" i="67"/>
  <c r="F44" i="67"/>
  <c r="F37" i="67"/>
  <c r="F29" i="67"/>
  <c r="F21" i="67"/>
  <c r="N12" i="64"/>
  <c r="J14" i="64"/>
  <c r="P17" i="64"/>
  <c r="F21" i="64"/>
  <c r="R22" i="64"/>
  <c r="F24" i="64"/>
  <c r="R25" i="64"/>
  <c r="J26" i="64"/>
  <c r="F29" i="64"/>
  <c r="R30" i="64"/>
  <c r="J32" i="64"/>
  <c r="F36" i="64"/>
  <c r="R37" i="64"/>
  <c r="F44" i="64"/>
  <c r="F51" i="64"/>
  <c r="N12" i="65"/>
  <c r="J22" i="65"/>
  <c r="V26" i="65"/>
  <c r="H31" i="65"/>
  <c r="V34" i="65"/>
  <c r="J38" i="65"/>
  <c r="V42" i="65"/>
  <c r="V46" i="65"/>
  <c r="J50" i="65"/>
  <c r="V54" i="65"/>
  <c r="J56" i="65"/>
  <c r="V62" i="65"/>
  <c r="J64" i="65"/>
  <c r="V66" i="65"/>
  <c r="J70" i="65"/>
  <c r="J74" i="65"/>
  <c r="V78" i="65"/>
  <c r="V82" i="65"/>
  <c r="J84" i="65"/>
  <c r="J103" i="67"/>
  <c r="J85" i="67"/>
  <c r="J71" i="67"/>
  <c r="J63" i="67"/>
  <c r="J55" i="67"/>
  <c r="J51" i="67"/>
  <c r="J100" i="67"/>
  <c r="J92" i="67"/>
  <c r="J88" i="67"/>
  <c r="J82" i="67"/>
  <c r="J76" i="67"/>
  <c r="J68" i="67"/>
  <c r="J62" i="67"/>
  <c r="J106" i="67"/>
  <c r="J95" i="67"/>
  <c r="J102" i="67"/>
  <c r="J84" i="67"/>
  <c r="J70" i="67"/>
  <c r="J60" i="67"/>
  <c r="J48" i="67"/>
  <c r="J108" i="67"/>
  <c r="J99" i="67"/>
  <c r="J91" i="67"/>
  <c r="J87" i="67"/>
  <c r="J81" i="67"/>
  <c r="J75" i="67"/>
  <c r="J67" i="67"/>
  <c r="J59" i="67"/>
  <c r="J53" i="67"/>
  <c r="J98" i="67"/>
  <c r="J94" i="67"/>
  <c r="J90" i="67"/>
  <c r="J86" i="67"/>
  <c r="J78" i="67"/>
  <c r="J72" i="67"/>
  <c r="J64" i="67"/>
  <c r="J58" i="67"/>
  <c r="J46" i="67"/>
  <c r="J105" i="67"/>
  <c r="J101" i="67"/>
  <c r="J97" i="67"/>
  <c r="J93" i="67"/>
  <c r="J89" i="67"/>
  <c r="J83" i="67"/>
  <c r="J77" i="67"/>
  <c r="J69" i="67"/>
  <c r="J57" i="67"/>
  <c r="J45" i="67"/>
  <c r="J20" i="67"/>
  <c r="V24" i="67"/>
  <c r="J28" i="67"/>
  <c r="V32" i="67"/>
  <c r="J36" i="67"/>
  <c r="J43" i="67"/>
  <c r="V46" i="67"/>
  <c r="J54" i="67"/>
  <c r="J61" i="67"/>
  <c r="V64" i="67"/>
  <c r="Z83" i="67"/>
  <c r="N105" i="67"/>
  <c r="L49" i="68"/>
  <c r="F62" i="68"/>
  <c r="N69" i="68"/>
  <c r="F20" i="69"/>
  <c r="X64" i="69"/>
  <c r="N66" i="69"/>
  <c r="X14" i="71"/>
  <c r="Z14" i="71" s="1"/>
  <c r="P12" i="71"/>
  <c r="R17" i="64"/>
  <c r="J19" i="64"/>
  <c r="J21" i="64"/>
  <c r="J29" i="64"/>
  <c r="F33" i="64"/>
  <c r="R34" i="64"/>
  <c r="R38" i="64"/>
  <c r="J39" i="64"/>
  <c r="P12" i="65"/>
  <c r="V19" i="65"/>
  <c r="J23" i="65"/>
  <c r="V27" i="65"/>
  <c r="J31" i="65"/>
  <c r="V35" i="65"/>
  <c r="J39" i="65"/>
  <c r="V43" i="65"/>
  <c r="J45" i="65"/>
  <c r="V47" i="65"/>
  <c r="J51" i="65"/>
  <c r="V55" i="65"/>
  <c r="J59" i="65"/>
  <c r="V63" i="65"/>
  <c r="V71" i="65"/>
  <c r="V75" i="65"/>
  <c r="V79" i="65"/>
  <c r="J81" i="65"/>
  <c r="V83" i="65"/>
  <c r="J88" i="65"/>
  <c r="V89" i="65"/>
  <c r="J21" i="67"/>
  <c r="V25" i="67"/>
  <c r="J29" i="67"/>
  <c r="V33" i="67"/>
  <c r="J37" i="67"/>
  <c r="V42" i="67"/>
  <c r="J44" i="67"/>
  <c r="J49" i="67"/>
  <c r="J50" i="67"/>
  <c r="J73" i="67"/>
  <c r="J74" i="67"/>
  <c r="J107" i="67"/>
  <c r="V108" i="67"/>
  <c r="L25" i="68"/>
  <c r="X47" i="68"/>
  <c r="N49" i="68"/>
  <c r="P75" i="68"/>
  <c r="Z64" i="69"/>
  <c r="V20" i="65"/>
  <c r="V28" i="65"/>
  <c r="V36" i="65"/>
  <c r="V44" i="65"/>
  <c r="V48" i="65"/>
  <c r="J52" i="65"/>
  <c r="V60" i="65"/>
  <c r="J62" i="65"/>
  <c r="J68" i="65"/>
  <c r="V72" i="65"/>
  <c r="V76" i="65"/>
  <c r="J78" i="65"/>
  <c r="V80" i="65"/>
  <c r="J91" i="65"/>
  <c r="V34" i="67"/>
  <c r="V58" i="67"/>
  <c r="J65" i="67"/>
  <c r="J66" i="67"/>
  <c r="F69" i="68"/>
  <c r="F54" i="68"/>
  <c r="F49" i="68"/>
  <c r="F46" i="68"/>
  <c r="F38" i="68"/>
  <c r="F34" i="68"/>
  <c r="F25" i="68"/>
  <c r="F77" i="68"/>
  <c r="F64" i="68"/>
  <c r="F61" i="68"/>
  <c r="F57" i="68"/>
  <c r="F45" i="68"/>
  <c r="F37" i="68"/>
  <c r="F33" i="68"/>
  <c r="F68" i="68"/>
  <c r="F60" i="68"/>
  <c r="F51" i="68"/>
  <c r="F48" i="68"/>
  <c r="F44" i="68"/>
  <c r="F32" i="68"/>
  <c r="F19" i="68"/>
  <c r="F72" i="68"/>
  <c r="F67" i="68"/>
  <c r="F63" i="68"/>
  <c r="F59" i="68"/>
  <c r="F43" i="68"/>
  <c r="F31" i="68"/>
  <c r="F26" i="68"/>
  <c r="F70" i="68"/>
  <c r="F66" i="68"/>
  <c r="F53" i="68"/>
  <c r="F50" i="68"/>
  <c r="F42" i="68"/>
  <c r="F30" i="68"/>
  <c r="F23" i="68"/>
  <c r="L12" i="68"/>
  <c r="N12" i="68" s="1"/>
  <c r="F65" i="68"/>
  <c r="F56" i="68"/>
  <c r="F41" i="68"/>
  <c r="F36" i="68"/>
  <c r="F29" i="68"/>
  <c r="D23" i="68"/>
  <c r="F21" i="68"/>
  <c r="F73" i="68"/>
  <c r="F52" i="68"/>
  <c r="F47" i="68"/>
  <c r="F40" i="68"/>
  <c r="F28" i="68"/>
  <c r="F20" i="68"/>
  <c r="N25" i="68"/>
  <c r="Z47" i="68"/>
  <c r="F66" i="69"/>
  <c r="F63" i="69"/>
  <c r="F58" i="69"/>
  <c r="F55" i="69"/>
  <c r="F47" i="69"/>
  <c r="F43" i="69"/>
  <c r="F35" i="69"/>
  <c r="F27" i="69"/>
  <c r="F75" i="69"/>
  <c r="F54" i="69"/>
  <c r="F46" i="69"/>
  <c r="F42" i="69"/>
  <c r="F33" i="69"/>
  <c r="F26" i="69"/>
  <c r="F68" i="69"/>
  <c r="F65" i="69"/>
  <c r="F60" i="69"/>
  <c r="F57" i="69"/>
  <c r="F53" i="69"/>
  <c r="F41" i="69"/>
  <c r="F25" i="69"/>
  <c r="F77" i="69"/>
  <c r="F71" i="69"/>
  <c r="F52" i="69"/>
  <c r="F40" i="69"/>
  <c r="F24" i="69"/>
  <c r="F19" i="69"/>
  <c r="F67" i="69"/>
  <c r="F62" i="69"/>
  <c r="F59" i="69"/>
  <c r="F51" i="69"/>
  <c r="F39" i="69"/>
  <c r="F34" i="69"/>
  <c r="F23" i="69"/>
  <c r="F70" i="69"/>
  <c r="F50" i="69"/>
  <c r="F45" i="69"/>
  <c r="F38" i="69"/>
  <c r="F22" i="69"/>
  <c r="L12" i="69"/>
  <c r="N12" i="69" s="1"/>
  <c r="F81" i="69"/>
  <c r="F76" i="69"/>
  <c r="F74" i="69"/>
  <c r="F69" i="69"/>
  <c r="F64" i="69"/>
  <c r="F61" i="69"/>
  <c r="F56" i="69"/>
  <c r="F49" i="69"/>
  <c r="F37" i="69"/>
  <c r="D31" i="69"/>
  <c r="F31" i="69" s="1"/>
  <c r="F29" i="69"/>
  <c r="F21" i="69"/>
  <c r="F48" i="69"/>
  <c r="X12" i="64"/>
  <c r="J15" i="64"/>
  <c r="F17" i="64"/>
  <c r="J27" i="64"/>
  <c r="R32" i="64"/>
  <c r="J33" i="64"/>
  <c r="F40" i="64"/>
  <c r="F46" i="64"/>
  <c r="J19" i="65"/>
  <c r="V21" i="65"/>
  <c r="J25" i="65"/>
  <c r="V29" i="65"/>
  <c r="V33" i="65"/>
  <c r="V37" i="65"/>
  <c r="J41" i="65"/>
  <c r="V49" i="65"/>
  <c r="J53" i="65"/>
  <c r="J57" i="65"/>
  <c r="V61" i="65"/>
  <c r="J65" i="65"/>
  <c r="V69" i="65"/>
  <c r="J71" i="65"/>
  <c r="V73" i="65"/>
  <c r="J75" i="65"/>
  <c r="V77" i="65"/>
  <c r="J85" i="65"/>
  <c r="V87" i="65"/>
  <c r="V95" i="65"/>
  <c r="P12" i="67"/>
  <c r="V19" i="67"/>
  <c r="J23" i="67"/>
  <c r="V27" i="67"/>
  <c r="J31" i="67"/>
  <c r="V35" i="67"/>
  <c r="H40" i="67"/>
  <c r="J52" i="67"/>
  <c r="J56" i="67"/>
  <c r="X66" i="67"/>
  <c r="L76" i="67"/>
  <c r="N76" i="67" s="1"/>
  <c r="Z49" i="68"/>
  <c r="Z62" i="68"/>
  <c r="N68" i="69"/>
  <c r="H32" i="75"/>
  <c r="J30" i="64"/>
  <c r="L33" i="64"/>
  <c r="F37" i="64"/>
  <c r="J40" i="64"/>
  <c r="F42" i="64"/>
  <c r="J46" i="64"/>
  <c r="F48" i="64"/>
  <c r="L19" i="65"/>
  <c r="N19" i="65" s="1"/>
  <c r="V22" i="65"/>
  <c r="X33" i="65"/>
  <c r="V38" i="65"/>
  <c r="J42" i="65"/>
  <c r="J46" i="65"/>
  <c r="V50" i="65"/>
  <c r="J54" i="65"/>
  <c r="V58" i="65"/>
  <c r="J60" i="65"/>
  <c r="J66" i="65"/>
  <c r="X69" i="65"/>
  <c r="Z69" i="65" s="1"/>
  <c r="V70" i="65"/>
  <c r="L71" i="65"/>
  <c r="N71" i="65" s="1"/>
  <c r="V74" i="65"/>
  <c r="L75" i="65"/>
  <c r="N75" i="65" s="1"/>
  <c r="J82" i="65"/>
  <c r="J89" i="65"/>
  <c r="V90" i="65"/>
  <c r="V105" i="67"/>
  <c r="V99" i="67"/>
  <c r="V91" i="67"/>
  <c r="V87" i="67"/>
  <c r="V83" i="67"/>
  <c r="V75" i="67"/>
  <c r="V67" i="67"/>
  <c r="V59" i="67"/>
  <c r="V47" i="67"/>
  <c r="V98" i="67"/>
  <c r="V94" i="67"/>
  <c r="V90" i="67"/>
  <c r="V86" i="67"/>
  <c r="V78" i="67"/>
  <c r="V74" i="67"/>
  <c r="V66" i="67"/>
  <c r="V107" i="67"/>
  <c r="V101" i="67"/>
  <c r="V97" i="67"/>
  <c r="V93" i="67"/>
  <c r="V89" i="67"/>
  <c r="V85" i="67"/>
  <c r="V112" i="67"/>
  <c r="V100" i="67"/>
  <c r="V96" i="67"/>
  <c r="V92" i="67"/>
  <c r="V88" i="67"/>
  <c r="V80" i="67"/>
  <c r="V76" i="67"/>
  <c r="V68" i="67"/>
  <c r="V56" i="67"/>
  <c r="V52" i="67"/>
  <c r="V44" i="67"/>
  <c r="V103" i="67"/>
  <c r="V95" i="67"/>
  <c r="V79" i="67"/>
  <c r="V71" i="67"/>
  <c r="V63" i="67"/>
  <c r="V55" i="67"/>
  <c r="V51" i="67"/>
  <c r="V106" i="67"/>
  <c r="V102" i="67"/>
  <c r="V82" i="67"/>
  <c r="V70" i="67"/>
  <c r="V62" i="67"/>
  <c r="V54" i="67"/>
  <c r="V50" i="67"/>
  <c r="V81" i="67"/>
  <c r="V73" i="67"/>
  <c r="V65" i="67"/>
  <c r="V61" i="67"/>
  <c r="V53" i="67"/>
  <c r="V49" i="67"/>
  <c r="T40" i="67"/>
  <c r="V40" i="67" s="1"/>
  <c r="X19" i="67"/>
  <c r="Z19" i="67" s="1"/>
  <c r="V20" i="67"/>
  <c r="V28" i="67"/>
  <c r="V36" i="67"/>
  <c r="J47" i="67"/>
  <c r="V57" i="67"/>
  <c r="V60" i="67"/>
  <c r="V77" i="67"/>
  <c r="V84" i="67"/>
  <c r="J96" i="67"/>
  <c r="J112" i="67"/>
  <c r="F55" i="68"/>
  <c r="Z74" i="69"/>
  <c r="J17" i="64"/>
  <c r="R19" i="64"/>
  <c r="J25" i="64"/>
  <c r="F34" i="64"/>
  <c r="J37" i="64"/>
  <c r="F38" i="64"/>
  <c r="R39" i="64"/>
  <c r="V23" i="65"/>
  <c r="J27" i="65"/>
  <c r="J33" i="65"/>
  <c r="J35" i="65"/>
  <c r="V39" i="65"/>
  <c r="J43" i="65"/>
  <c r="J47" i="65"/>
  <c r="V51" i="65"/>
  <c r="J55" i="65"/>
  <c r="V59" i="65"/>
  <c r="J63" i="65"/>
  <c r="V67" i="65"/>
  <c r="J69" i="65"/>
  <c r="J79" i="65"/>
  <c r="J83" i="65"/>
  <c r="J87" i="65"/>
  <c r="J19" i="67"/>
  <c r="V21" i="67"/>
  <c r="J25" i="67"/>
  <c r="V29" i="67"/>
  <c r="J33" i="67"/>
  <c r="V37" i="67"/>
  <c r="J42" i="67"/>
  <c r="V43" i="67"/>
  <c r="V48" i="67"/>
  <c r="Z53" i="67"/>
  <c r="L83" i="67"/>
  <c r="N83" i="67" s="1"/>
  <c r="F35" i="68"/>
  <c r="F39" i="68"/>
  <c r="Z58" i="68"/>
  <c r="N64" i="68"/>
  <c r="L73" i="68"/>
  <c r="D72" i="68"/>
  <c r="L72" i="68" s="1"/>
  <c r="N33" i="69"/>
  <c r="F44" i="69"/>
  <c r="J20" i="64"/>
  <c r="F23" i="64"/>
  <c r="R24" i="64"/>
  <c r="F26" i="64"/>
  <c r="R27" i="64"/>
  <c r="J28" i="64"/>
  <c r="F31" i="64"/>
  <c r="J34" i="64"/>
  <c r="R36" i="64"/>
  <c r="J38" i="64"/>
  <c r="J42" i="64"/>
  <c r="R44" i="64"/>
  <c r="J20" i="65"/>
  <c r="V24" i="65"/>
  <c r="J28" i="65"/>
  <c r="T31" i="65"/>
  <c r="J36" i="65"/>
  <c r="V40" i="65"/>
  <c r="J44" i="65"/>
  <c r="J48" i="65"/>
  <c r="V52" i="65"/>
  <c r="V56" i="65"/>
  <c r="J58" i="65"/>
  <c r="V64" i="65"/>
  <c r="V68" i="65"/>
  <c r="J72" i="65"/>
  <c r="J76" i="65"/>
  <c r="V84" i="65"/>
  <c r="V22" i="67"/>
  <c r="J26" i="67"/>
  <c r="V30" i="67"/>
  <c r="J34" i="67"/>
  <c r="V38" i="67"/>
  <c r="J80" i="67"/>
  <c r="X81" i="67"/>
  <c r="Z81" i="67" s="1"/>
  <c r="P105" i="67"/>
  <c r="X105" i="67" s="1"/>
  <c r="Z105" i="67" s="1"/>
  <c r="X106" i="67"/>
  <c r="Z106" i="67" s="1"/>
  <c r="F27" i="68"/>
  <c r="N58" i="69"/>
  <c r="L58" i="69"/>
  <c r="R23" i="68"/>
  <c r="J25" i="68"/>
  <c r="J27" i="68"/>
  <c r="V31" i="68"/>
  <c r="R32" i="68"/>
  <c r="J35" i="68"/>
  <c r="J39" i="68"/>
  <c r="V43" i="68"/>
  <c r="R44" i="68"/>
  <c r="V47" i="68"/>
  <c r="R48" i="68"/>
  <c r="J49" i="68"/>
  <c r="R53" i="68"/>
  <c r="J55" i="68"/>
  <c r="V59" i="68"/>
  <c r="R60" i="68"/>
  <c r="V63" i="68"/>
  <c r="V67" i="68"/>
  <c r="R68" i="68"/>
  <c r="J69" i="68"/>
  <c r="R75" i="68"/>
  <c r="J20" i="69"/>
  <c r="V24" i="69"/>
  <c r="J28" i="69"/>
  <c r="T31" i="69"/>
  <c r="J36" i="69"/>
  <c r="V40" i="69"/>
  <c r="J44" i="69"/>
  <c r="J48" i="69"/>
  <c r="V52" i="69"/>
  <c r="V56" i="69"/>
  <c r="J58" i="69"/>
  <c r="V64" i="69"/>
  <c r="J66" i="69"/>
  <c r="J72" i="69"/>
  <c r="V74" i="69"/>
  <c r="F35" i="71"/>
  <c r="Z56" i="71"/>
  <c r="J73" i="73"/>
  <c r="J69" i="73"/>
  <c r="J65" i="73"/>
  <c r="J57" i="73"/>
  <c r="J51" i="73"/>
  <c r="J41" i="73"/>
  <c r="J29" i="73"/>
  <c r="J78" i="73"/>
  <c r="J62" i="73"/>
  <c r="J54" i="73"/>
  <c r="J48" i="73"/>
  <c r="J40" i="73"/>
  <c r="J34" i="73"/>
  <c r="J28" i="73"/>
  <c r="H21" i="73"/>
  <c r="J21" i="73" s="1"/>
  <c r="J81" i="73"/>
  <c r="J59" i="73"/>
  <c r="J45" i="73"/>
  <c r="J39" i="73"/>
  <c r="J27" i="73"/>
  <c r="J19" i="73"/>
  <c r="J72" i="73"/>
  <c r="J68" i="73"/>
  <c r="J64" i="73"/>
  <c r="J56" i="73"/>
  <c r="J50" i="73"/>
  <c r="J38" i="73"/>
  <c r="J26" i="73"/>
  <c r="J18" i="73"/>
  <c r="J77" i="73"/>
  <c r="J61" i="73"/>
  <c r="J53" i="73"/>
  <c r="J47" i="73"/>
  <c r="J37" i="73"/>
  <c r="J33" i="73"/>
  <c r="J25" i="73"/>
  <c r="J23" i="73"/>
  <c r="J17" i="73"/>
  <c r="J84" i="73"/>
  <c r="J80" i="73"/>
  <c r="J76" i="73"/>
  <c r="J58" i="73"/>
  <c r="J52" i="73"/>
  <c r="J44" i="73"/>
  <c r="J36" i="73"/>
  <c r="J32" i="73"/>
  <c r="J79" i="73"/>
  <c r="J75" i="73"/>
  <c r="J71" i="73"/>
  <c r="J67" i="73"/>
  <c r="J63" i="73"/>
  <c r="J55" i="73"/>
  <c r="J49" i="73"/>
  <c r="J43" i="73"/>
  <c r="J35" i="73"/>
  <c r="J31" i="73"/>
  <c r="Z23" i="73"/>
  <c r="V23" i="73"/>
  <c r="J42" i="73"/>
  <c r="J74" i="73"/>
  <c r="J20" i="68"/>
  <c r="T23" i="68"/>
  <c r="X23" i="68" s="1"/>
  <c r="R26" i="68"/>
  <c r="J28" i="68"/>
  <c r="V32" i="68"/>
  <c r="R33" i="68"/>
  <c r="V36" i="68"/>
  <c r="R37" i="68"/>
  <c r="J40" i="68"/>
  <c r="V44" i="68"/>
  <c r="R45" i="68"/>
  <c r="V48" i="68"/>
  <c r="J52" i="68"/>
  <c r="V56" i="68"/>
  <c r="R57" i="68"/>
  <c r="J58" i="68"/>
  <c r="V60" i="68"/>
  <c r="R61" i="68"/>
  <c r="J62" i="68"/>
  <c r="V68" i="68"/>
  <c r="R72" i="68"/>
  <c r="J73" i="68"/>
  <c r="R77" i="68"/>
  <c r="V25" i="69"/>
  <c r="J29" i="69"/>
  <c r="V31" i="69"/>
  <c r="J37" i="69"/>
  <c r="V41" i="69"/>
  <c r="V45" i="69"/>
  <c r="J49" i="69"/>
  <c r="V53" i="69"/>
  <c r="V57" i="69"/>
  <c r="J61" i="69"/>
  <c r="V65" i="69"/>
  <c r="J69" i="69"/>
  <c r="J76" i="69"/>
  <c r="V77" i="69"/>
  <c r="J81" i="69"/>
  <c r="F17" i="71"/>
  <c r="F22" i="71"/>
  <c r="J30" i="71"/>
  <c r="J52" i="71"/>
  <c r="X53" i="71"/>
  <c r="F75" i="71"/>
  <c r="X16" i="72"/>
  <c r="J46" i="73"/>
  <c r="J70" i="73"/>
  <c r="R19" i="68"/>
  <c r="V23" i="68"/>
  <c r="J29" i="68"/>
  <c r="V33" i="68"/>
  <c r="R34" i="68"/>
  <c r="V37" i="68"/>
  <c r="R38" i="68"/>
  <c r="J41" i="68"/>
  <c r="V45" i="68"/>
  <c r="R46" i="68"/>
  <c r="J47" i="68"/>
  <c r="R51" i="68"/>
  <c r="V53" i="68"/>
  <c r="R54" i="68"/>
  <c r="V57" i="68"/>
  <c r="V61" i="68"/>
  <c r="J65" i="68"/>
  <c r="V77" i="68"/>
  <c r="V26" i="69"/>
  <c r="H31" i="69"/>
  <c r="J31" i="69" s="1"/>
  <c r="V34" i="69"/>
  <c r="J38" i="69"/>
  <c r="V42" i="69"/>
  <c r="V46" i="69"/>
  <c r="J50" i="69"/>
  <c r="V54" i="69"/>
  <c r="J56" i="69"/>
  <c r="V62" i="69"/>
  <c r="J64" i="69"/>
  <c r="J70" i="69"/>
  <c r="J74" i="69"/>
  <c r="J16" i="71"/>
  <c r="J44" i="71"/>
  <c r="Z53" i="71"/>
  <c r="J58" i="71"/>
  <c r="H25" i="72"/>
  <c r="T19" i="72"/>
  <c r="Z16" i="72"/>
  <c r="J66" i="73"/>
  <c r="J82" i="73"/>
  <c r="H90" i="74"/>
  <c r="N27" i="74"/>
  <c r="H23" i="68"/>
  <c r="V26" i="68"/>
  <c r="R27" i="68"/>
  <c r="J30" i="68"/>
  <c r="V34" i="68"/>
  <c r="R35" i="68"/>
  <c r="J36" i="68"/>
  <c r="V38" i="68"/>
  <c r="R39" i="68"/>
  <c r="J42" i="68"/>
  <c r="V46" i="68"/>
  <c r="J50" i="68"/>
  <c r="V54" i="68"/>
  <c r="R55" i="68"/>
  <c r="J56" i="68"/>
  <c r="R64" i="68"/>
  <c r="J66" i="68"/>
  <c r="J70" i="68"/>
  <c r="V72" i="68"/>
  <c r="P12" i="69"/>
  <c r="V19" i="69"/>
  <c r="J23" i="69"/>
  <c r="V27" i="69"/>
  <c r="V35" i="69"/>
  <c r="J39" i="69"/>
  <c r="V43" i="69"/>
  <c r="J45" i="69"/>
  <c r="V47" i="69"/>
  <c r="J51" i="69"/>
  <c r="V55" i="69"/>
  <c r="J59" i="69"/>
  <c r="V63" i="69"/>
  <c r="J67" i="69"/>
  <c r="V71" i="69"/>
  <c r="V75" i="69"/>
  <c r="N16" i="71"/>
  <c r="X45" i="71"/>
  <c r="L47" i="71"/>
  <c r="N24" i="73"/>
  <c r="N49" i="73"/>
  <c r="R20" i="68"/>
  <c r="R25" i="68"/>
  <c r="R28" i="68"/>
  <c r="V39" i="68"/>
  <c r="R40" i="68"/>
  <c r="R49" i="68"/>
  <c r="V51" i="68"/>
  <c r="R52" i="68"/>
  <c r="V55" i="68"/>
  <c r="J59" i="68"/>
  <c r="J63" i="68"/>
  <c r="J67" i="68"/>
  <c r="R69" i="68"/>
  <c r="V20" i="69"/>
  <c r="V28" i="69"/>
  <c r="V36" i="69"/>
  <c r="V44" i="69"/>
  <c r="V48" i="69"/>
  <c r="V60" i="69"/>
  <c r="J62" i="69"/>
  <c r="V68" i="69"/>
  <c r="V72" i="69"/>
  <c r="J77" i="69"/>
  <c r="F52" i="71"/>
  <c r="F47" i="71"/>
  <c r="F44" i="71"/>
  <c r="F36" i="71"/>
  <c r="F32" i="71"/>
  <c r="F24" i="71"/>
  <c r="L12" i="71"/>
  <c r="N12" i="71" s="1"/>
  <c r="F66" i="71"/>
  <c r="F58" i="71"/>
  <c r="F55" i="71"/>
  <c r="F43" i="71"/>
  <c r="F80" i="71"/>
  <c r="F73" i="71"/>
  <c r="F61" i="71"/>
  <c r="F54" i="71"/>
  <c r="F49" i="71"/>
  <c r="F46" i="71"/>
  <c r="F42" i="71"/>
  <c r="F30" i="71"/>
  <c r="F68" i="71"/>
  <c r="F65" i="71"/>
  <c r="F57" i="71"/>
  <c r="F41" i="71"/>
  <c r="F29" i="71"/>
  <c r="F16" i="71"/>
  <c r="F64" i="71"/>
  <c r="F60" i="71"/>
  <c r="F51" i="71"/>
  <c r="F48" i="71"/>
  <c r="F40" i="71"/>
  <c r="F28" i="71"/>
  <c r="F23" i="71"/>
  <c r="F67" i="71"/>
  <c r="F63" i="71"/>
  <c r="F59" i="71"/>
  <c r="F39" i="71"/>
  <c r="F34" i="71"/>
  <c r="F27" i="71"/>
  <c r="F20" i="71"/>
  <c r="F77" i="71"/>
  <c r="F71" i="71"/>
  <c r="F62" i="71"/>
  <c r="F53" i="71"/>
  <c r="F50" i="71"/>
  <c r="F45" i="71"/>
  <c r="F38" i="71"/>
  <c r="F26" i="71"/>
  <c r="D20" i="71"/>
  <c r="F18" i="71"/>
  <c r="F25" i="71"/>
  <c r="F37" i="71"/>
  <c r="N47" i="71"/>
  <c r="V20" i="68"/>
  <c r="R21" i="68"/>
  <c r="J26" i="68"/>
  <c r="V28" i="68"/>
  <c r="R29" i="68"/>
  <c r="J32" i="68"/>
  <c r="V40" i="68"/>
  <c r="R41" i="68"/>
  <c r="J44" i="68"/>
  <c r="J48" i="68"/>
  <c r="V52" i="68"/>
  <c r="R58" i="68"/>
  <c r="J60" i="68"/>
  <c r="R62" i="68"/>
  <c r="V64" i="68"/>
  <c r="R65" i="68"/>
  <c r="J68" i="68"/>
  <c r="J72" i="68"/>
  <c r="R73" i="68"/>
  <c r="J19" i="69"/>
  <c r="V21" i="69"/>
  <c r="V29" i="69"/>
  <c r="V33" i="69"/>
  <c r="V37" i="69"/>
  <c r="J41" i="69"/>
  <c r="V49" i="69"/>
  <c r="J53" i="69"/>
  <c r="J57" i="69"/>
  <c r="V61" i="69"/>
  <c r="J65" i="69"/>
  <c r="V69" i="69"/>
  <c r="J71" i="69"/>
  <c r="V81" i="69"/>
  <c r="J61" i="71"/>
  <c r="J55" i="71"/>
  <c r="J49" i="71"/>
  <c r="J43" i="71"/>
  <c r="J35" i="71"/>
  <c r="J31" i="71"/>
  <c r="J68" i="71"/>
  <c r="J54" i="71"/>
  <c r="J46" i="71"/>
  <c r="J42" i="71"/>
  <c r="J65" i="71"/>
  <c r="J57" i="71"/>
  <c r="J51" i="71"/>
  <c r="J41" i="71"/>
  <c r="J29" i="71"/>
  <c r="J23" i="71"/>
  <c r="J64" i="71"/>
  <c r="J60" i="71"/>
  <c r="J48" i="71"/>
  <c r="J40" i="71"/>
  <c r="J34" i="71"/>
  <c r="J28" i="71"/>
  <c r="J20" i="71"/>
  <c r="J71" i="71"/>
  <c r="J67" i="71"/>
  <c r="J63" i="71"/>
  <c r="J59" i="71"/>
  <c r="J53" i="71"/>
  <c r="J45" i="71"/>
  <c r="J39" i="71"/>
  <c r="J27" i="71"/>
  <c r="H20" i="71"/>
  <c r="J62" i="71"/>
  <c r="J56" i="71"/>
  <c r="J50" i="71"/>
  <c r="J38" i="71"/>
  <c r="J26" i="71"/>
  <c r="J18" i="71"/>
  <c r="J75" i="71"/>
  <c r="J69" i="71"/>
  <c r="J47" i="71"/>
  <c r="J37" i="71"/>
  <c r="J33" i="71"/>
  <c r="J25" i="71"/>
  <c r="J17" i="71"/>
  <c r="T73" i="71"/>
  <c r="V73" i="71" s="1"/>
  <c r="J32" i="71"/>
  <c r="F56" i="71"/>
  <c r="D12" i="73"/>
  <c r="L13" i="73"/>
  <c r="N13" i="73" s="1"/>
  <c r="N16" i="73"/>
  <c r="T94" i="74"/>
  <c r="X12" i="68"/>
  <c r="Z12" i="68" s="1"/>
  <c r="J19" i="68"/>
  <c r="V21" i="68"/>
  <c r="V25" i="68"/>
  <c r="V29" i="68"/>
  <c r="R30" i="68"/>
  <c r="J33" i="68"/>
  <c r="J37" i="68"/>
  <c r="V41" i="68"/>
  <c r="R42" i="68"/>
  <c r="J45" i="68"/>
  <c r="R47" i="68"/>
  <c r="V49" i="68"/>
  <c r="R50" i="68"/>
  <c r="J51" i="68"/>
  <c r="J57" i="68"/>
  <c r="J61" i="68"/>
  <c r="V65" i="68"/>
  <c r="R66" i="68"/>
  <c r="V69" i="68"/>
  <c r="V73" i="68"/>
  <c r="V22" i="69"/>
  <c r="V38" i="69"/>
  <c r="J42" i="69"/>
  <c r="J46" i="69"/>
  <c r="V50" i="69"/>
  <c r="J54" i="69"/>
  <c r="V58" i="69"/>
  <c r="J60" i="69"/>
  <c r="V66" i="69"/>
  <c r="J68" i="69"/>
  <c r="V70" i="69"/>
  <c r="Z34" i="71"/>
  <c r="J36" i="71"/>
  <c r="Z47" i="71"/>
  <c r="N56" i="71"/>
  <c r="N66" i="71"/>
  <c r="X71" i="71"/>
  <c r="N60" i="73"/>
  <c r="L15" i="74"/>
  <c r="D12" i="74"/>
  <c r="N37" i="74"/>
  <c r="V29" i="71"/>
  <c r="V41" i="71"/>
  <c r="V45" i="71"/>
  <c r="V53" i="71"/>
  <c r="V57" i="71"/>
  <c r="V65" i="71"/>
  <c r="V71" i="71"/>
  <c r="V16" i="72"/>
  <c r="R28" i="73"/>
  <c r="V39" i="73"/>
  <c r="R40" i="73"/>
  <c r="R45" i="73"/>
  <c r="V47" i="73"/>
  <c r="R48" i="73"/>
  <c r="V59" i="73"/>
  <c r="R81" i="73"/>
  <c r="V21" i="74"/>
  <c r="R22" i="74"/>
  <c r="J27" i="74"/>
  <c r="V29" i="74"/>
  <c r="R30" i="74"/>
  <c r="J33" i="74"/>
  <c r="V41" i="74"/>
  <c r="R42" i="74"/>
  <c r="J45" i="74"/>
  <c r="N61" i="74"/>
  <c r="R62" i="74"/>
  <c r="X70" i="74"/>
  <c r="Z70" i="74" s="1"/>
  <c r="R74" i="74"/>
  <c r="L76" i="74"/>
  <c r="N76" i="74" s="1"/>
  <c r="L80" i="74"/>
  <c r="N80" i="74" s="1"/>
  <c r="F89" i="76"/>
  <c r="F83" i="76"/>
  <c r="F80" i="76"/>
  <c r="F51" i="76"/>
  <c r="F48" i="76"/>
  <c r="F44" i="76"/>
  <c r="F32" i="76"/>
  <c r="F79" i="76"/>
  <c r="F70" i="76"/>
  <c r="F62" i="76"/>
  <c r="F59" i="76"/>
  <c r="F43" i="76"/>
  <c r="F31" i="76"/>
  <c r="F26" i="76"/>
  <c r="F18" i="76"/>
  <c r="F93" i="76"/>
  <c r="F77" i="76"/>
  <c r="F72" i="76"/>
  <c r="F69" i="76"/>
  <c r="F61" i="76"/>
  <c r="F56" i="76"/>
  <c r="F41" i="76"/>
  <c r="F36" i="76"/>
  <c r="F29" i="76"/>
  <c r="D23" i="76"/>
  <c r="F21" i="76"/>
  <c r="F84" i="76"/>
  <c r="F76" i="76"/>
  <c r="F68" i="76"/>
  <c r="F64" i="76"/>
  <c r="F52" i="76"/>
  <c r="F47" i="76"/>
  <c r="F40" i="76"/>
  <c r="F28" i="76"/>
  <c r="F20" i="76"/>
  <c r="L12" i="76"/>
  <c r="F75" i="76"/>
  <c r="F71" i="76"/>
  <c r="F67" i="76"/>
  <c r="F63" i="76"/>
  <c r="F58" i="76"/>
  <c r="F55" i="76"/>
  <c r="F39" i="76"/>
  <c r="F35" i="76"/>
  <c r="F27" i="76"/>
  <c r="F19" i="76"/>
  <c r="F86" i="76"/>
  <c r="F81" i="76"/>
  <c r="F74" i="76"/>
  <c r="F66" i="76"/>
  <c r="F54" i="76"/>
  <c r="F49" i="76"/>
  <c r="F46" i="76"/>
  <c r="F38" i="76"/>
  <c r="F34" i="76"/>
  <c r="F25" i="76"/>
  <c r="F73" i="76"/>
  <c r="F60" i="76"/>
  <c r="F57" i="76"/>
  <c r="F45" i="76"/>
  <c r="F37" i="76"/>
  <c r="F33" i="76"/>
  <c r="X18" i="76"/>
  <c r="Z18" i="76" s="1"/>
  <c r="N26" i="76"/>
  <c r="F42" i="76"/>
  <c r="R46" i="76"/>
  <c r="R51" i="76"/>
  <c r="X62" i="76"/>
  <c r="F85" i="76"/>
  <c r="R86" i="76"/>
  <c r="H77" i="78"/>
  <c r="N16" i="78"/>
  <c r="V20" i="71"/>
  <c r="V30" i="71"/>
  <c r="V34" i="71"/>
  <c r="V42" i="71"/>
  <c r="V46" i="71"/>
  <c r="V54" i="71"/>
  <c r="D12" i="72"/>
  <c r="V17" i="72"/>
  <c r="V21" i="72"/>
  <c r="V27" i="72"/>
  <c r="P21" i="73"/>
  <c r="V28" i="73"/>
  <c r="R29" i="73"/>
  <c r="R34" i="73"/>
  <c r="V40" i="73"/>
  <c r="R41" i="73"/>
  <c r="V48" i="73"/>
  <c r="R54" i="73"/>
  <c r="V56" i="73"/>
  <c r="R57" i="73"/>
  <c r="R62" i="73"/>
  <c r="V64" i="73"/>
  <c r="R65" i="73"/>
  <c r="V68" i="73"/>
  <c r="R69" i="73"/>
  <c r="V72" i="73"/>
  <c r="R73" i="73"/>
  <c r="R78" i="73"/>
  <c r="J83" i="74"/>
  <c r="J73" i="74"/>
  <c r="J61" i="74"/>
  <c r="J55" i="74"/>
  <c r="J92" i="74"/>
  <c r="J86" i="74"/>
  <c r="J80" i="74"/>
  <c r="J76" i="74"/>
  <c r="J66" i="74"/>
  <c r="J58" i="74"/>
  <c r="J90" i="74"/>
  <c r="J82" i="74"/>
  <c r="J72" i="74"/>
  <c r="J68" i="74"/>
  <c r="J60" i="74"/>
  <c r="J54" i="74"/>
  <c r="J85" i="74"/>
  <c r="J79" i="74"/>
  <c r="J75" i="74"/>
  <c r="J71" i="74"/>
  <c r="J78" i="74"/>
  <c r="J74" i="74"/>
  <c r="J62" i="74"/>
  <c r="J56" i="74"/>
  <c r="J81" i="74"/>
  <c r="J77" i="74"/>
  <c r="J67" i="74"/>
  <c r="J59" i="74"/>
  <c r="J53" i="74"/>
  <c r="N18" i="74"/>
  <c r="V22" i="74"/>
  <c r="V26" i="74"/>
  <c r="V30" i="74"/>
  <c r="R31" i="74"/>
  <c r="J34" i="74"/>
  <c r="J38" i="74"/>
  <c r="V42" i="74"/>
  <c r="R43" i="74"/>
  <c r="J46" i="74"/>
  <c r="R48" i="74"/>
  <c r="V50" i="74"/>
  <c r="R51" i="74"/>
  <c r="J52" i="74"/>
  <c r="V54" i="74"/>
  <c r="V56" i="74"/>
  <c r="R64" i="74"/>
  <c r="R69" i="74"/>
  <c r="N25" i="75"/>
  <c r="Z36" i="76"/>
  <c r="F53" i="76"/>
  <c r="Z62" i="76"/>
  <c r="F78" i="76"/>
  <c r="Z18" i="78"/>
  <c r="V38" i="78"/>
  <c r="X47" i="78"/>
  <c r="L49" i="78"/>
  <c r="V50" i="78"/>
  <c r="V23" i="71"/>
  <c r="V31" i="71"/>
  <c r="V35" i="71"/>
  <c r="V43" i="71"/>
  <c r="V51" i="71"/>
  <c r="V55" i="71"/>
  <c r="L56" i="71"/>
  <c r="J16" i="72"/>
  <c r="R21" i="73"/>
  <c r="R30" i="73"/>
  <c r="R42" i="73"/>
  <c r="R46" i="73"/>
  <c r="R51" i="73"/>
  <c r="V57" i="73"/>
  <c r="V65" i="73"/>
  <c r="R66" i="73"/>
  <c r="V69" i="73"/>
  <c r="R70" i="73"/>
  <c r="V73" i="73"/>
  <c r="R74" i="73"/>
  <c r="V81" i="73"/>
  <c r="R82" i="73"/>
  <c r="R88" i="73"/>
  <c r="P24" i="74"/>
  <c r="V31" i="74"/>
  <c r="R32" i="74"/>
  <c r="R37" i="74"/>
  <c r="J39" i="74"/>
  <c r="V43" i="74"/>
  <c r="R44" i="74"/>
  <c r="J47" i="74"/>
  <c r="V51" i="74"/>
  <c r="V60" i="74"/>
  <c r="V72" i="74"/>
  <c r="V77" i="74"/>
  <c r="V81" i="74"/>
  <c r="R82" i="74"/>
  <c r="R21" i="76"/>
  <c r="R54" i="76"/>
  <c r="Z47" i="78"/>
  <c r="V16" i="71"/>
  <c r="V24" i="71"/>
  <c r="V32" i="71"/>
  <c r="V36" i="71"/>
  <c r="V44" i="71"/>
  <c r="V52" i="71"/>
  <c r="V68" i="71"/>
  <c r="J21" i="72"/>
  <c r="J25" i="72"/>
  <c r="R16" i="73"/>
  <c r="T21" i="73"/>
  <c r="R24" i="73"/>
  <c r="V30" i="73"/>
  <c r="R31" i="73"/>
  <c r="V34" i="73"/>
  <c r="R35" i="73"/>
  <c r="V42" i="73"/>
  <c r="R43" i="73"/>
  <c r="V46" i="73"/>
  <c r="V54" i="73"/>
  <c r="R55" i="73"/>
  <c r="R60" i="73"/>
  <c r="V62" i="73"/>
  <c r="R63" i="73"/>
  <c r="V66" i="73"/>
  <c r="R67" i="73"/>
  <c r="V70" i="73"/>
  <c r="R71" i="73"/>
  <c r="V74" i="73"/>
  <c r="R75" i="73"/>
  <c r="V78" i="73"/>
  <c r="R79" i="73"/>
  <c r="V82" i="73"/>
  <c r="V88" i="73"/>
  <c r="R18" i="74"/>
  <c r="J20" i="74"/>
  <c r="J26" i="74"/>
  <c r="J28" i="74"/>
  <c r="V32" i="74"/>
  <c r="R33" i="74"/>
  <c r="J36" i="74"/>
  <c r="J40" i="74"/>
  <c r="V44" i="74"/>
  <c r="R45" i="74"/>
  <c r="V48" i="74"/>
  <c r="R49" i="74"/>
  <c r="J50" i="74"/>
  <c r="J57" i="74"/>
  <c r="R61" i="74"/>
  <c r="V63" i="74"/>
  <c r="N67" i="74"/>
  <c r="V68" i="74"/>
  <c r="J84" i="74"/>
  <c r="X85" i="74"/>
  <c r="Z85" i="74" s="1"/>
  <c r="D12" i="75"/>
  <c r="L13" i="75"/>
  <c r="N13" i="75" s="1"/>
  <c r="Z26" i="76"/>
  <c r="N56" i="76"/>
  <c r="L72" i="76"/>
  <c r="N29" i="78"/>
  <c r="V33" i="71"/>
  <c r="V37" i="71"/>
  <c r="V49" i="71"/>
  <c r="V61" i="71"/>
  <c r="V69" i="71"/>
  <c r="V75" i="71"/>
  <c r="R32" i="73"/>
  <c r="R36" i="73"/>
  <c r="R44" i="73"/>
  <c r="R49" i="73"/>
  <c r="R52" i="73"/>
  <c r="V55" i="73"/>
  <c r="V63" i="73"/>
  <c r="V67" i="73"/>
  <c r="V71" i="73"/>
  <c r="V75" i="73"/>
  <c r="R76" i="73"/>
  <c r="V79" i="73"/>
  <c r="R80" i="73"/>
  <c r="R85" i="74"/>
  <c r="R72" i="74"/>
  <c r="R68" i="74"/>
  <c r="R65" i="74"/>
  <c r="R60" i="74"/>
  <c r="R79" i="74"/>
  <c r="R75" i="74"/>
  <c r="R71" i="74"/>
  <c r="R56" i="74"/>
  <c r="R88" i="74"/>
  <c r="R81" i="74"/>
  <c r="R77" i="74"/>
  <c r="R70" i="74"/>
  <c r="R53" i="74"/>
  <c r="R84" i="74"/>
  <c r="R73" i="74"/>
  <c r="R83" i="74"/>
  <c r="R80" i="74"/>
  <c r="R76" i="74"/>
  <c r="R92" i="74"/>
  <c r="R86" i="74"/>
  <c r="R66" i="74"/>
  <c r="R63" i="74"/>
  <c r="R58" i="74"/>
  <c r="R27" i="74"/>
  <c r="V33" i="74"/>
  <c r="R34" i="74"/>
  <c r="V37" i="74"/>
  <c r="R38" i="74"/>
  <c r="V45" i="74"/>
  <c r="R46" i="74"/>
  <c r="V49" i="74"/>
  <c r="R59" i="74"/>
  <c r="J88" i="74"/>
  <c r="R84" i="76"/>
  <c r="R81" i="76"/>
  <c r="R76" i="76"/>
  <c r="R68" i="76"/>
  <c r="R64" i="76"/>
  <c r="R52" i="76"/>
  <c r="R49" i="76"/>
  <c r="R40" i="76"/>
  <c r="R28" i="76"/>
  <c r="R25" i="76"/>
  <c r="R20" i="76"/>
  <c r="X12" i="76"/>
  <c r="Z12" i="76" s="1"/>
  <c r="R75" i="76"/>
  <c r="R71" i="76"/>
  <c r="R67" i="76"/>
  <c r="R63" i="76"/>
  <c r="R60" i="76"/>
  <c r="R55" i="76"/>
  <c r="R39" i="76"/>
  <c r="R35" i="76"/>
  <c r="R27" i="76"/>
  <c r="R19" i="76"/>
  <c r="R89" i="76"/>
  <c r="R73" i="76"/>
  <c r="R70" i="76"/>
  <c r="R62" i="76"/>
  <c r="R57" i="76"/>
  <c r="R45" i="76"/>
  <c r="R37" i="76"/>
  <c r="R33" i="76"/>
  <c r="R26" i="76"/>
  <c r="R18" i="76"/>
  <c r="R85" i="76"/>
  <c r="R80" i="76"/>
  <c r="R65" i="76"/>
  <c r="R53" i="76"/>
  <c r="R48" i="76"/>
  <c r="R44" i="76"/>
  <c r="R32" i="76"/>
  <c r="R79" i="76"/>
  <c r="R72" i="76"/>
  <c r="R59" i="76"/>
  <c r="R56" i="76"/>
  <c r="R43" i="76"/>
  <c r="R36" i="76"/>
  <c r="R31" i="76"/>
  <c r="P23" i="76"/>
  <c r="R23" i="76" s="1"/>
  <c r="R82" i="76"/>
  <c r="R78" i="76"/>
  <c r="R50" i="76"/>
  <c r="R47" i="76"/>
  <c r="R42" i="76"/>
  <c r="R30" i="76"/>
  <c r="R93" i="76"/>
  <c r="R88" i="76"/>
  <c r="R77" i="76"/>
  <c r="R69" i="76"/>
  <c r="R61" i="76"/>
  <c r="R58" i="76"/>
  <c r="R41" i="76"/>
  <c r="R29" i="76"/>
  <c r="R34" i="76"/>
  <c r="N72" i="76"/>
  <c r="P34" i="79"/>
  <c r="V58" i="71"/>
  <c r="V62" i="71"/>
  <c r="V66" i="71"/>
  <c r="P12" i="72"/>
  <c r="J17" i="72"/>
  <c r="J27" i="72"/>
  <c r="R17" i="73"/>
  <c r="R25" i="73"/>
  <c r="R33" i="73"/>
  <c r="R37" i="73"/>
  <c r="V44" i="73"/>
  <c r="V52" i="73"/>
  <c r="R53" i="73"/>
  <c r="R58" i="73"/>
  <c r="V60" i="73"/>
  <c r="R61" i="73"/>
  <c r="V76" i="73"/>
  <c r="R77" i="73"/>
  <c r="V80" i="73"/>
  <c r="R84" i="73"/>
  <c r="V79" i="74"/>
  <c r="V75" i="74"/>
  <c r="V71" i="74"/>
  <c r="V67" i="74"/>
  <c r="V59" i="74"/>
  <c r="V94" i="74"/>
  <c r="V88" i="74"/>
  <c r="V78" i="74"/>
  <c r="V74" i="74"/>
  <c r="V70" i="74"/>
  <c r="V62" i="74"/>
  <c r="V84" i="74"/>
  <c r="V80" i="74"/>
  <c r="V76" i="74"/>
  <c r="V64" i="74"/>
  <c r="V83" i="74"/>
  <c r="V92" i="74"/>
  <c r="V90" i="74"/>
  <c r="V86" i="74"/>
  <c r="V82" i="74"/>
  <c r="V66" i="74"/>
  <c r="V58" i="74"/>
  <c r="V85" i="74"/>
  <c r="V69" i="74"/>
  <c r="V65" i="74"/>
  <c r="V57" i="74"/>
  <c r="V18" i="74"/>
  <c r="R19" i="74"/>
  <c r="V24" i="74"/>
  <c r="V34" i="74"/>
  <c r="R35" i="74"/>
  <c r="V38" i="74"/>
  <c r="R39" i="74"/>
  <c r="J42" i="74"/>
  <c r="V46" i="74"/>
  <c r="R47" i="74"/>
  <c r="J48" i="74"/>
  <c r="R52" i="74"/>
  <c r="R55" i="74"/>
  <c r="V61" i="74"/>
  <c r="R67" i="74"/>
  <c r="Z25" i="76"/>
  <c r="F30" i="76"/>
  <c r="Z56" i="76"/>
  <c r="F65" i="76"/>
  <c r="R66" i="76"/>
  <c r="Z70" i="76"/>
  <c r="Z29" i="78"/>
  <c r="Z53" i="78"/>
  <c r="V27" i="71"/>
  <c r="V39" i="71"/>
  <c r="V47" i="71"/>
  <c r="V59" i="71"/>
  <c r="V63" i="71"/>
  <c r="R18" i="73"/>
  <c r="R23" i="73"/>
  <c r="R26" i="73"/>
  <c r="R38" i="73"/>
  <c r="R47" i="73"/>
  <c r="V49" i="73"/>
  <c r="V53" i="73"/>
  <c r="V61" i="73"/>
  <c r="X12" i="74"/>
  <c r="Z12" i="74" s="1"/>
  <c r="V19" i="74"/>
  <c r="R20" i="74"/>
  <c r="V27" i="74"/>
  <c r="R28" i="74"/>
  <c r="J31" i="74"/>
  <c r="V35" i="74"/>
  <c r="R36" i="74"/>
  <c r="J37" i="74"/>
  <c r="V39" i="74"/>
  <c r="R40" i="74"/>
  <c r="J43" i="74"/>
  <c r="V47" i="74"/>
  <c r="J51" i="74"/>
  <c r="V53" i="74"/>
  <c r="V55" i="74"/>
  <c r="R57" i="74"/>
  <c r="J64" i="74"/>
  <c r="J65" i="74"/>
  <c r="J69" i="74"/>
  <c r="N70" i="74"/>
  <c r="J25" i="75"/>
  <c r="J17" i="75"/>
  <c r="J32" i="75"/>
  <c r="J22" i="75"/>
  <c r="J20" i="75"/>
  <c r="J19" i="75"/>
  <c r="J30" i="75"/>
  <c r="J26" i="75"/>
  <c r="J24" i="75"/>
  <c r="J18" i="75"/>
  <c r="L36" i="76"/>
  <c r="N36" i="76" s="1"/>
  <c r="Z72" i="76"/>
  <c r="F82" i="76"/>
  <c r="R83" i="76"/>
  <c r="L19" i="77"/>
  <c r="V81" i="78"/>
  <c r="V75" i="78"/>
  <c r="V71" i="78"/>
  <c r="V74" i="78"/>
  <c r="V68" i="78"/>
  <c r="V84" i="78"/>
  <c r="V79" i="78"/>
  <c r="V77" i="78"/>
  <c r="V67" i="78"/>
  <c r="V70" i="78"/>
  <c r="V69" i="78"/>
  <c r="V48" i="78"/>
  <c r="V32" i="78"/>
  <c r="V28" i="78"/>
  <c r="V20" i="78"/>
  <c r="Z12" i="78"/>
  <c r="V65" i="78"/>
  <c r="V47" i="78"/>
  <c r="V39" i="78"/>
  <c r="V31" i="78"/>
  <c r="V27" i="78"/>
  <c r="V19" i="78"/>
  <c r="X12" i="78"/>
  <c r="V61" i="78"/>
  <c r="V57" i="78"/>
  <c r="V49" i="78"/>
  <c r="V41" i="78"/>
  <c r="V37" i="78"/>
  <c r="V29" i="78"/>
  <c r="V25" i="78"/>
  <c r="T16" i="78"/>
  <c r="V64" i="78"/>
  <c r="V60" i="78"/>
  <c r="V56" i="78"/>
  <c r="V52" i="78"/>
  <c r="V44" i="78"/>
  <c r="V40" i="78"/>
  <c r="V36" i="78"/>
  <c r="V24" i="78"/>
  <c r="V72" i="78"/>
  <c r="V63" i="78"/>
  <c r="V59" i="78"/>
  <c r="V55" i="78"/>
  <c r="V51" i="78"/>
  <c r="V43" i="78"/>
  <c r="V35" i="78"/>
  <c r="V23" i="78"/>
  <c r="V62" i="78"/>
  <c r="V58" i="78"/>
  <c r="V54" i="78"/>
  <c r="V46" i="78"/>
  <c r="V42" i="78"/>
  <c r="V34" i="78"/>
  <c r="V22" i="78"/>
  <c r="V18" i="78"/>
  <c r="V14" i="78"/>
  <c r="V53" i="78"/>
  <c r="V45" i="78"/>
  <c r="V33" i="78"/>
  <c r="V21" i="78"/>
  <c r="X19" i="78"/>
  <c r="Z19" i="78" s="1"/>
  <c r="N51" i="78"/>
  <c r="J89" i="76"/>
  <c r="P26" i="77"/>
  <c r="F81" i="78"/>
  <c r="F71" i="78"/>
  <c r="F68" i="78"/>
  <c r="F79" i="78"/>
  <c r="F74" i="78"/>
  <c r="F84" i="78"/>
  <c r="F77" i="78"/>
  <c r="F72" i="78"/>
  <c r="F67" i="78"/>
  <c r="F75" i="78"/>
  <c r="F69" i="78"/>
  <c r="F66" i="78"/>
  <c r="F26" i="78"/>
  <c r="F30" i="78"/>
  <c r="F38" i="78"/>
  <c r="F45" i="78"/>
  <c r="F50" i="78"/>
  <c r="F53" i="78"/>
  <c r="F65" i="78"/>
  <c r="P81" i="78"/>
  <c r="P28" i="81"/>
  <c r="P22" i="75"/>
  <c r="R22" i="75" s="1"/>
  <c r="R27" i="75"/>
  <c r="V21" i="76"/>
  <c r="V25" i="76"/>
  <c r="V29" i="76"/>
  <c r="J33" i="76"/>
  <c r="J37" i="76"/>
  <c r="V41" i="76"/>
  <c r="J45" i="76"/>
  <c r="V49" i="76"/>
  <c r="J51" i="76"/>
  <c r="J57" i="76"/>
  <c r="V61" i="76"/>
  <c r="V69" i="76"/>
  <c r="J73" i="76"/>
  <c r="V77" i="76"/>
  <c r="V81" i="76"/>
  <c r="J83" i="76"/>
  <c r="D88" i="76"/>
  <c r="L88" i="76" s="1"/>
  <c r="V93" i="76"/>
  <c r="N12" i="77"/>
  <c r="J14" i="77"/>
  <c r="R16" i="77"/>
  <c r="J18" i="77"/>
  <c r="J20" i="77"/>
  <c r="J24" i="77"/>
  <c r="R26" i="77"/>
  <c r="J30" i="77"/>
  <c r="R33" i="77"/>
  <c r="J79" i="78"/>
  <c r="J74" i="78"/>
  <c r="J70" i="78"/>
  <c r="J72" i="78"/>
  <c r="J69" i="78"/>
  <c r="J75" i="78"/>
  <c r="J66" i="78"/>
  <c r="J81" i="78"/>
  <c r="J71" i="78"/>
  <c r="F14" i="78"/>
  <c r="F18" i="78"/>
  <c r="R23" i="78"/>
  <c r="J26" i="78"/>
  <c r="F27" i="78"/>
  <c r="J30" i="78"/>
  <c r="F31" i="78"/>
  <c r="R35" i="78"/>
  <c r="J38" i="78"/>
  <c r="F39" i="78"/>
  <c r="R40" i="78"/>
  <c r="F42" i="78"/>
  <c r="R43" i="78"/>
  <c r="J50" i="78"/>
  <c r="R55" i="78"/>
  <c r="F58" i="78"/>
  <c r="R59" i="78"/>
  <c r="F62" i="78"/>
  <c r="R63" i="78"/>
  <c r="J68" i="78"/>
  <c r="X69" i="78"/>
  <c r="J84" i="78"/>
  <c r="Z14" i="79"/>
  <c r="X14" i="79"/>
  <c r="N19" i="79"/>
  <c r="L18" i="81"/>
  <c r="V30" i="76"/>
  <c r="J34" i="76"/>
  <c r="J38" i="76"/>
  <c r="V42" i="76"/>
  <c r="J46" i="76"/>
  <c r="X49" i="76"/>
  <c r="V50" i="76"/>
  <c r="L51" i="76"/>
  <c r="N51" i="76" s="1"/>
  <c r="J54" i="76"/>
  <c r="V58" i="76"/>
  <c r="J60" i="76"/>
  <c r="J66" i="76"/>
  <c r="J74" i="76"/>
  <c r="V78" i="76"/>
  <c r="V82" i="76"/>
  <c r="L83" i="76"/>
  <c r="N83" i="76" s="1"/>
  <c r="J86" i="76"/>
  <c r="V88" i="76"/>
  <c r="D16" i="77"/>
  <c r="T16" i="77"/>
  <c r="R19" i="77"/>
  <c r="F21" i="77"/>
  <c r="V21" i="77"/>
  <c r="R22" i="77"/>
  <c r="L24" i="77"/>
  <c r="R28" i="77"/>
  <c r="L12" i="78"/>
  <c r="X14" i="78"/>
  <c r="F20" i="78"/>
  <c r="R24" i="78"/>
  <c r="J27" i="78"/>
  <c r="F28" i="78"/>
  <c r="R29" i="78"/>
  <c r="J31" i="78"/>
  <c r="F32" i="78"/>
  <c r="R36" i="78"/>
  <c r="J39" i="78"/>
  <c r="X42" i="78"/>
  <c r="Z42" i="78" s="1"/>
  <c r="R44" i="78"/>
  <c r="J45" i="78"/>
  <c r="F48" i="78"/>
  <c r="R49" i="78"/>
  <c r="F51" i="78"/>
  <c r="R52" i="78"/>
  <c r="J53" i="78"/>
  <c r="R56" i="78"/>
  <c r="X58" i="78"/>
  <c r="Z58" i="78" s="1"/>
  <c r="R60" i="78"/>
  <c r="X62" i="78"/>
  <c r="J65" i="78"/>
  <c r="L71" i="78"/>
  <c r="N71" i="78" s="1"/>
  <c r="L75" i="78"/>
  <c r="D74" i="78"/>
  <c r="L74" i="78" s="1"/>
  <c r="V20" i="79"/>
  <c r="Z12" i="79"/>
  <c r="V19" i="79"/>
  <c r="X12" i="79"/>
  <c r="V34" i="79"/>
  <c r="V28" i="79"/>
  <c r="V22" i="79"/>
  <c r="V21" i="79"/>
  <c r="T16" i="79"/>
  <c r="V24" i="79"/>
  <c r="V23" i="79"/>
  <c r="V37" i="79"/>
  <c r="V32" i="79"/>
  <c r="V30" i="79"/>
  <c r="V26" i="79"/>
  <c r="V18" i="79"/>
  <c r="V14" i="79"/>
  <c r="R17" i="75"/>
  <c r="R25" i="75"/>
  <c r="R28" i="75"/>
  <c r="T32" i="75"/>
  <c r="R34" i="75"/>
  <c r="V43" i="76"/>
  <c r="V47" i="76"/>
  <c r="J49" i="76"/>
  <c r="J55" i="76"/>
  <c r="V59" i="76"/>
  <c r="J63" i="76"/>
  <c r="J67" i="76"/>
  <c r="J71" i="76"/>
  <c r="J75" i="76"/>
  <c r="V79" i="76"/>
  <c r="J81" i="76"/>
  <c r="V16" i="77"/>
  <c r="V22" i="77"/>
  <c r="V26" i="77"/>
  <c r="V28" i="77"/>
  <c r="V33" i="77"/>
  <c r="F21" i="78"/>
  <c r="F33" i="78"/>
  <c r="F40" i="78"/>
  <c r="J67" i="78"/>
  <c r="P28" i="80"/>
  <c r="P12" i="82"/>
  <c r="X15" i="82"/>
  <c r="Z15" i="82" s="1"/>
  <c r="X36" i="82"/>
  <c r="Z36" i="82" s="1"/>
  <c r="V22" i="75"/>
  <c r="V28" i="75"/>
  <c r="V32" i="75"/>
  <c r="V34" i="75"/>
  <c r="N12" i="76"/>
  <c r="J20" i="76"/>
  <c r="T23" i="76"/>
  <c r="J28" i="76"/>
  <c r="V32" i="76"/>
  <c r="V36" i="76"/>
  <c r="J40" i="76"/>
  <c r="V44" i="76"/>
  <c r="V48" i="76"/>
  <c r="J52" i="76"/>
  <c r="V56" i="76"/>
  <c r="J58" i="76"/>
  <c r="J64" i="76"/>
  <c r="J68" i="76"/>
  <c r="V72" i="76"/>
  <c r="J76" i="76"/>
  <c r="V80" i="76"/>
  <c r="J84" i="76"/>
  <c r="J88" i="76"/>
  <c r="X12" i="77"/>
  <c r="H16" i="77"/>
  <c r="F19" i="77"/>
  <c r="V19" i="77"/>
  <c r="J21" i="77"/>
  <c r="R72" i="78"/>
  <c r="R69" i="78"/>
  <c r="R75" i="78"/>
  <c r="R68" i="78"/>
  <c r="R65" i="78"/>
  <c r="R79" i="78"/>
  <c r="R74" i="78"/>
  <c r="R84" i="78"/>
  <c r="R77" i="78"/>
  <c r="R70" i="78"/>
  <c r="R67" i="78"/>
  <c r="D16" i="78"/>
  <c r="R19" i="78"/>
  <c r="J21" i="78"/>
  <c r="F22" i="78"/>
  <c r="R26" i="78"/>
  <c r="F29" i="78"/>
  <c r="R30" i="78"/>
  <c r="J33" i="78"/>
  <c r="F34" i="78"/>
  <c r="R38" i="78"/>
  <c r="F46" i="78"/>
  <c r="R47" i="78"/>
  <c r="F49" i="78"/>
  <c r="R50" i="78"/>
  <c r="J51" i="78"/>
  <c r="F54" i="78"/>
  <c r="R66" i="78"/>
  <c r="F70" i="78"/>
  <c r="H30" i="79"/>
  <c r="N16" i="79"/>
  <c r="L18" i="80"/>
  <c r="N18" i="80" s="1"/>
  <c r="L58" i="82"/>
  <c r="N58" i="82" s="1"/>
  <c r="R19" i="75"/>
  <c r="R24" i="75"/>
  <c r="V26" i="75"/>
  <c r="R30" i="75"/>
  <c r="V18" i="76"/>
  <c r="H23" i="76"/>
  <c r="V26" i="76"/>
  <c r="J30" i="76"/>
  <c r="V34" i="76"/>
  <c r="J36" i="76"/>
  <c r="V38" i="76"/>
  <c r="J42" i="76"/>
  <c r="V46" i="76"/>
  <c r="J50" i="76"/>
  <c r="V54" i="76"/>
  <c r="J56" i="76"/>
  <c r="V62" i="76"/>
  <c r="V66" i="76"/>
  <c r="V70" i="76"/>
  <c r="J72" i="76"/>
  <c r="V74" i="76"/>
  <c r="J78" i="76"/>
  <c r="J82" i="76"/>
  <c r="V86" i="76"/>
  <c r="X89" i="76"/>
  <c r="J19" i="77"/>
  <c r="F22" i="77"/>
  <c r="F28" i="77"/>
  <c r="F19" i="78"/>
  <c r="R20" i="78"/>
  <c r="J23" i="78"/>
  <c r="F24" i="78"/>
  <c r="R28" i="78"/>
  <c r="J29" i="78"/>
  <c r="R32" i="78"/>
  <c r="J35" i="78"/>
  <c r="F36" i="78"/>
  <c r="J43" i="78"/>
  <c r="F44" i="78"/>
  <c r="R45" i="78"/>
  <c r="F47" i="78"/>
  <c r="R48" i="78"/>
  <c r="J49" i="78"/>
  <c r="F52" i="78"/>
  <c r="R53" i="78"/>
  <c r="J55" i="78"/>
  <c r="F56" i="78"/>
  <c r="J59" i="78"/>
  <c r="F60" i="78"/>
  <c r="J63" i="78"/>
  <c r="F64" i="78"/>
  <c r="Z71" i="78"/>
  <c r="F24" i="79"/>
  <c r="F19" i="79"/>
  <c r="F34" i="79"/>
  <c r="F28" i="79"/>
  <c r="F32" i="79"/>
  <c r="F26" i="79"/>
  <c r="F21" i="79"/>
  <c r="D16" i="79"/>
  <c r="F23" i="79"/>
  <c r="F20" i="79"/>
  <c r="L12" i="79"/>
  <c r="F37" i="79"/>
  <c r="F30" i="79"/>
  <c r="F18" i="79"/>
  <c r="F14" i="79"/>
  <c r="Z18" i="79"/>
  <c r="F25" i="79"/>
  <c r="F97" i="82"/>
  <c r="F85" i="82"/>
  <c r="F81" i="82"/>
  <c r="F76" i="82"/>
  <c r="F73" i="82"/>
  <c r="F65" i="82"/>
  <c r="F60" i="82"/>
  <c r="F57" i="82"/>
  <c r="F88" i="82"/>
  <c r="F80" i="82"/>
  <c r="F72" i="82"/>
  <c r="F68" i="82"/>
  <c r="F51" i="82"/>
  <c r="F48" i="82"/>
  <c r="F92" i="82"/>
  <c r="F79" i="82"/>
  <c r="F75" i="82"/>
  <c r="F71" i="82"/>
  <c r="F67" i="82"/>
  <c r="F62" i="82"/>
  <c r="F59" i="82"/>
  <c r="F90" i="82"/>
  <c r="F78" i="82"/>
  <c r="F70" i="82"/>
  <c r="F53" i="82"/>
  <c r="F50" i="82"/>
  <c r="F84" i="82"/>
  <c r="F77" i="82"/>
  <c r="F64" i="82"/>
  <c r="F61" i="82"/>
  <c r="F56" i="82"/>
  <c r="F83" i="82"/>
  <c r="F74" i="82"/>
  <c r="F66" i="82"/>
  <c r="F89" i="82"/>
  <c r="F86" i="82"/>
  <c r="F82" i="82"/>
  <c r="F69" i="82"/>
  <c r="F54" i="82"/>
  <c r="F49" i="82"/>
  <c r="F46" i="82"/>
  <c r="F63" i="82"/>
  <c r="F58" i="82"/>
  <c r="F39" i="82"/>
  <c r="F35" i="82"/>
  <c r="F27" i="82"/>
  <c r="F19" i="82"/>
  <c r="F38" i="82"/>
  <c r="F34" i="82"/>
  <c r="F25" i="82"/>
  <c r="F55" i="82"/>
  <c r="F37" i="82"/>
  <c r="F33" i="82"/>
  <c r="F45" i="82"/>
  <c r="F44" i="82"/>
  <c r="F32" i="82"/>
  <c r="F87" i="82"/>
  <c r="F52" i="82"/>
  <c r="F43" i="82"/>
  <c r="F31" i="82"/>
  <c r="F26" i="82"/>
  <c r="F18" i="82"/>
  <c r="F42" i="82"/>
  <c r="F30" i="82"/>
  <c r="F93" i="82"/>
  <c r="F47" i="82"/>
  <c r="F41" i="82"/>
  <c r="F36" i="82"/>
  <c r="F29" i="82"/>
  <c r="D23" i="82"/>
  <c r="F23" i="82" s="1"/>
  <c r="F21" i="82"/>
  <c r="F20" i="82"/>
  <c r="V19" i="76"/>
  <c r="V27" i="76"/>
  <c r="J31" i="76"/>
  <c r="V35" i="76"/>
  <c r="V39" i="76"/>
  <c r="J43" i="76"/>
  <c r="V51" i="76"/>
  <c r="J53" i="76"/>
  <c r="V55" i="76"/>
  <c r="J59" i="76"/>
  <c r="V63" i="76"/>
  <c r="J65" i="76"/>
  <c r="V67" i="76"/>
  <c r="V71" i="76"/>
  <c r="V75" i="76"/>
  <c r="J79" i="76"/>
  <c r="J85" i="76"/>
  <c r="F14" i="77"/>
  <c r="V14" i="77"/>
  <c r="F18" i="77"/>
  <c r="V18" i="77"/>
  <c r="J22" i="77"/>
  <c r="F24" i="77"/>
  <c r="V24" i="77"/>
  <c r="J24" i="78"/>
  <c r="F25" i="78"/>
  <c r="R33" i="78"/>
  <c r="J36" i="78"/>
  <c r="F37" i="78"/>
  <c r="F41" i="78"/>
  <c r="R42" i="78"/>
  <c r="J44" i="78"/>
  <c r="J52" i="78"/>
  <c r="J56" i="78"/>
  <c r="F57" i="78"/>
  <c r="R58" i="78"/>
  <c r="J60" i="78"/>
  <c r="F61" i="78"/>
  <c r="R62" i="78"/>
  <c r="J64" i="78"/>
  <c r="J77" i="78"/>
  <c r="R81" i="78"/>
  <c r="V16" i="79"/>
  <c r="X64" i="82"/>
  <c r="Z64" i="82" s="1"/>
  <c r="N66" i="82"/>
  <c r="L66" i="82"/>
  <c r="J22" i="79"/>
  <c r="N12" i="80"/>
  <c r="J14" i="80"/>
  <c r="R16" i="80"/>
  <c r="J18" i="80"/>
  <c r="J20" i="80"/>
  <c r="V24" i="80"/>
  <c r="F28" i="80"/>
  <c r="V28" i="80"/>
  <c r="V30" i="80"/>
  <c r="F35" i="80"/>
  <c r="V35" i="80"/>
  <c r="N12" i="81"/>
  <c r="J14" i="81"/>
  <c r="R16" i="81"/>
  <c r="J18" i="81"/>
  <c r="J20" i="81"/>
  <c r="V24" i="81"/>
  <c r="F28" i="81"/>
  <c r="V28" i="81"/>
  <c r="V30" i="81"/>
  <c r="F35" i="81"/>
  <c r="V35" i="81"/>
  <c r="N12" i="82"/>
  <c r="J20" i="82"/>
  <c r="T23" i="82"/>
  <c r="V23" i="82" s="1"/>
  <c r="J28" i="82"/>
  <c r="V32" i="82"/>
  <c r="V36" i="82"/>
  <c r="J40" i="82"/>
  <c r="J69" i="82"/>
  <c r="V75" i="82"/>
  <c r="J89" i="82"/>
  <c r="Z46" i="83"/>
  <c r="F49" i="87"/>
  <c r="F34" i="87"/>
  <c r="F29" i="87"/>
  <c r="F22" i="87"/>
  <c r="D16" i="87"/>
  <c r="F52" i="87"/>
  <c r="F45" i="87"/>
  <c r="F40" i="87"/>
  <c r="F33" i="87"/>
  <c r="F21" i="87"/>
  <c r="F66" i="87"/>
  <c r="F59" i="87"/>
  <c r="F48" i="87"/>
  <c r="F32" i="87"/>
  <c r="F28" i="87"/>
  <c r="F20" i="87"/>
  <c r="L12" i="87"/>
  <c r="F54" i="87"/>
  <c r="F51" i="87"/>
  <c r="F47" i="87"/>
  <c r="F42" i="87"/>
  <c r="F39" i="87"/>
  <c r="F31" i="87"/>
  <c r="F27" i="87"/>
  <c r="F18" i="87"/>
  <c r="F14" i="87"/>
  <c r="F63" i="87"/>
  <c r="F57" i="87"/>
  <c r="F36" i="87"/>
  <c r="F24" i="87"/>
  <c r="F19" i="87"/>
  <c r="F61" i="87"/>
  <c r="F55" i="87"/>
  <c r="F46" i="87"/>
  <c r="F43" i="87"/>
  <c r="F35" i="87"/>
  <c r="F23" i="87"/>
  <c r="F16" i="87"/>
  <c r="F44" i="87"/>
  <c r="F25" i="87"/>
  <c r="F53" i="87"/>
  <c r="F50" i="87"/>
  <c r="F41" i="87"/>
  <c r="F37" i="87"/>
  <c r="F26" i="87"/>
  <c r="F30" i="87"/>
  <c r="R21" i="79"/>
  <c r="R24" i="79"/>
  <c r="J25" i="79"/>
  <c r="D16" i="80"/>
  <c r="T16" i="80"/>
  <c r="R19" i="80"/>
  <c r="F21" i="80"/>
  <c r="V21" i="80"/>
  <c r="R22" i="80"/>
  <c r="J23" i="80"/>
  <c r="D16" i="81"/>
  <c r="T16" i="81"/>
  <c r="R19" i="81"/>
  <c r="F21" i="81"/>
  <c r="V21" i="81"/>
  <c r="R22" i="81"/>
  <c r="J23" i="81"/>
  <c r="J21" i="82"/>
  <c r="J29" i="82"/>
  <c r="V33" i="82"/>
  <c r="J41" i="82"/>
  <c r="J46" i="82"/>
  <c r="Z58" i="82"/>
  <c r="L74" i="82"/>
  <c r="J20" i="79"/>
  <c r="R28" i="79"/>
  <c r="J30" i="79"/>
  <c r="R34" i="79"/>
  <c r="J37" i="79"/>
  <c r="V16" i="80"/>
  <c r="V22" i="80"/>
  <c r="R26" i="80"/>
  <c r="J28" i="80"/>
  <c r="R32" i="80"/>
  <c r="J35" i="80"/>
  <c r="V16" i="81"/>
  <c r="V22" i="81"/>
  <c r="R26" i="81"/>
  <c r="J28" i="81"/>
  <c r="R32" i="81"/>
  <c r="J35" i="81"/>
  <c r="V76" i="82"/>
  <c r="V60" i="82"/>
  <c r="V52" i="82"/>
  <c r="V83" i="82"/>
  <c r="V63" i="82"/>
  <c r="V55" i="82"/>
  <c r="V51" i="82"/>
  <c r="V92" i="82"/>
  <c r="V86" i="82"/>
  <c r="V82" i="82"/>
  <c r="V62" i="82"/>
  <c r="V54" i="82"/>
  <c r="V46" i="82"/>
  <c r="V97" i="82"/>
  <c r="V85" i="82"/>
  <c r="V81" i="82"/>
  <c r="V73" i="82"/>
  <c r="V65" i="82"/>
  <c r="V57" i="82"/>
  <c r="V53" i="82"/>
  <c r="V45" i="82"/>
  <c r="V88" i="82"/>
  <c r="V84" i="82"/>
  <c r="V80" i="82"/>
  <c r="V72" i="82"/>
  <c r="V68" i="82"/>
  <c r="V64" i="82"/>
  <c r="V56" i="82"/>
  <c r="V48" i="82"/>
  <c r="V44" i="82"/>
  <c r="V90" i="82"/>
  <c r="V78" i="82"/>
  <c r="V74" i="82"/>
  <c r="V70" i="82"/>
  <c r="V66" i="82"/>
  <c r="V93" i="82"/>
  <c r="V89" i="82"/>
  <c r="V77" i="82"/>
  <c r="V69" i="82"/>
  <c r="V61" i="82"/>
  <c r="V49" i="82"/>
  <c r="V18" i="82"/>
  <c r="H23" i="82"/>
  <c r="J23" i="82" s="1"/>
  <c r="V26" i="82"/>
  <c r="J30" i="82"/>
  <c r="V34" i="82"/>
  <c r="J36" i="82"/>
  <c r="V38" i="82"/>
  <c r="J42" i="82"/>
  <c r="V58" i="82"/>
  <c r="N74" i="82"/>
  <c r="J48" i="83"/>
  <c r="R19" i="79"/>
  <c r="R22" i="79"/>
  <c r="J23" i="79"/>
  <c r="X12" i="80"/>
  <c r="H16" i="80"/>
  <c r="F19" i="80"/>
  <c r="V19" i="80"/>
  <c r="R20" i="80"/>
  <c r="J21" i="80"/>
  <c r="F24" i="80"/>
  <c r="F30" i="80"/>
  <c r="X12" i="81"/>
  <c r="H16" i="81"/>
  <c r="F19" i="81"/>
  <c r="V19" i="81"/>
  <c r="R20" i="81"/>
  <c r="J21" i="81"/>
  <c r="F24" i="81"/>
  <c r="F30" i="81"/>
  <c r="V19" i="82"/>
  <c r="V27" i="82"/>
  <c r="J31" i="82"/>
  <c r="V35" i="82"/>
  <c r="V39" i="82"/>
  <c r="J43" i="82"/>
  <c r="X47" i="82"/>
  <c r="V71" i="82"/>
  <c r="L13" i="83"/>
  <c r="N13" i="83" s="1"/>
  <c r="D12" i="83"/>
  <c r="J26" i="82"/>
  <c r="V28" i="82"/>
  <c r="J32" i="82"/>
  <c r="V40" i="82"/>
  <c r="J44" i="82"/>
  <c r="V79" i="82"/>
  <c r="N16" i="84"/>
  <c r="H53" i="84"/>
  <c r="X16" i="79"/>
  <c r="R20" i="79"/>
  <c r="J21" i="79"/>
  <c r="R25" i="79"/>
  <c r="J19" i="80"/>
  <c r="F22" i="80"/>
  <c r="R23" i="80"/>
  <c r="J19" i="81"/>
  <c r="F22" i="81"/>
  <c r="R23" i="81"/>
  <c r="V21" i="82"/>
  <c r="V25" i="82"/>
  <c r="V29" i="82"/>
  <c r="J33" i="82"/>
  <c r="J37" i="82"/>
  <c r="V41" i="82"/>
  <c r="V47" i="82"/>
  <c r="L49" i="82"/>
  <c r="J55" i="82"/>
  <c r="V67" i="82"/>
  <c r="Z87" i="82"/>
  <c r="J16" i="83"/>
  <c r="J24" i="79"/>
  <c r="J28" i="79"/>
  <c r="R30" i="79"/>
  <c r="F14" i="80"/>
  <c r="V14" i="80"/>
  <c r="J22" i="80"/>
  <c r="J26" i="80"/>
  <c r="R28" i="80"/>
  <c r="F14" i="81"/>
  <c r="V14" i="81"/>
  <c r="J22" i="81"/>
  <c r="J26" i="81"/>
  <c r="R28" i="81"/>
  <c r="J92" i="82"/>
  <c r="J88" i="82"/>
  <c r="J80" i="82"/>
  <c r="J72" i="82"/>
  <c r="J68" i="82"/>
  <c r="J62" i="82"/>
  <c r="J48" i="82"/>
  <c r="J79" i="82"/>
  <c r="J75" i="82"/>
  <c r="J71" i="82"/>
  <c r="J67" i="82"/>
  <c r="J59" i="82"/>
  <c r="J53" i="82"/>
  <c r="J90" i="82"/>
  <c r="J84" i="82"/>
  <c r="J78" i="82"/>
  <c r="J70" i="82"/>
  <c r="J64" i="82"/>
  <c r="J56" i="82"/>
  <c r="J50" i="82"/>
  <c r="J87" i="82"/>
  <c r="J77" i="82"/>
  <c r="J61" i="82"/>
  <c r="J47" i="82"/>
  <c r="J93" i="82"/>
  <c r="J74" i="82"/>
  <c r="J66" i="82"/>
  <c r="J58" i="82"/>
  <c r="J52" i="82"/>
  <c r="J86" i="82"/>
  <c r="J82" i="82"/>
  <c r="J76" i="82"/>
  <c r="J97" i="82"/>
  <c r="J85" i="82"/>
  <c r="J81" i="82"/>
  <c r="J73" i="82"/>
  <c r="J65" i="82"/>
  <c r="J57" i="82"/>
  <c r="J51" i="82"/>
  <c r="J45" i="82"/>
  <c r="V30" i="82"/>
  <c r="J34" i="82"/>
  <c r="J38" i="82"/>
  <c r="V42" i="82"/>
  <c r="J54" i="82"/>
  <c r="X56" i="82"/>
  <c r="Z56" i="82" s="1"/>
  <c r="X84" i="82"/>
  <c r="Z84" i="82" s="1"/>
  <c r="V87" i="82"/>
  <c r="J83" i="83"/>
  <c r="J77" i="83"/>
  <c r="J71" i="83"/>
  <c r="J67" i="83"/>
  <c r="J63" i="83"/>
  <c r="J59" i="83"/>
  <c r="J80" i="83"/>
  <c r="J70" i="83"/>
  <c r="J62" i="83"/>
  <c r="J86" i="83"/>
  <c r="J69" i="83"/>
  <c r="J82" i="83"/>
  <c r="J76" i="83"/>
  <c r="J66" i="83"/>
  <c r="J58" i="83"/>
  <c r="J52" i="83"/>
  <c r="J79" i="83"/>
  <c r="J75" i="83"/>
  <c r="J61" i="83"/>
  <c r="J85" i="83"/>
  <c r="J81" i="83"/>
  <c r="J73" i="83"/>
  <c r="J65" i="83"/>
  <c r="J57" i="83"/>
  <c r="J47" i="83"/>
  <c r="J39" i="83"/>
  <c r="J33" i="83"/>
  <c r="J27" i="83"/>
  <c r="H20" i="83"/>
  <c r="J20" i="83" s="1"/>
  <c r="J90" i="83"/>
  <c r="J50" i="83"/>
  <c r="J44" i="83"/>
  <c r="J38" i="83"/>
  <c r="J26" i="83"/>
  <c r="J18" i="83"/>
  <c r="J74" i="83"/>
  <c r="J68" i="83"/>
  <c r="J53" i="83"/>
  <c r="J49" i="83"/>
  <c r="J37" i="83"/>
  <c r="J25" i="83"/>
  <c r="J17" i="83"/>
  <c r="J78" i="83"/>
  <c r="J60" i="83"/>
  <c r="J55" i="83"/>
  <c r="J54" i="83"/>
  <c r="J46" i="83"/>
  <c r="J36" i="83"/>
  <c r="J32" i="83"/>
  <c r="J24" i="83"/>
  <c r="J22" i="83"/>
  <c r="J72" i="83"/>
  <c r="J56" i="83"/>
  <c r="J43" i="83"/>
  <c r="J35" i="83"/>
  <c r="J31" i="83"/>
  <c r="J45" i="83"/>
  <c r="J41" i="83"/>
  <c r="J29" i="83"/>
  <c r="J23" i="83"/>
  <c r="J51" i="83"/>
  <c r="J40" i="83"/>
  <c r="J28" i="83"/>
  <c r="N46" i="83"/>
  <c r="Z12" i="83"/>
  <c r="V16" i="83"/>
  <c r="R17" i="83"/>
  <c r="R22" i="83"/>
  <c r="V24" i="83"/>
  <c r="R25" i="83"/>
  <c r="V32" i="83"/>
  <c r="V36" i="83"/>
  <c r="R37" i="83"/>
  <c r="R46" i="83"/>
  <c r="V48" i="83"/>
  <c r="R49" i="83"/>
  <c r="R59" i="83"/>
  <c r="V68" i="83"/>
  <c r="R82" i="83"/>
  <c r="P85" i="83"/>
  <c r="X85" i="83" s="1"/>
  <c r="X86" i="83"/>
  <c r="V32" i="84"/>
  <c r="X41" i="84"/>
  <c r="V50" i="84"/>
  <c r="L19" i="87"/>
  <c r="N19" i="87" s="1"/>
  <c r="L18" i="88"/>
  <c r="N18" i="88" s="1"/>
  <c r="V37" i="83"/>
  <c r="R38" i="83"/>
  <c r="V49" i="83"/>
  <c r="R50" i="83"/>
  <c r="V53" i="83"/>
  <c r="L61" i="83"/>
  <c r="N61" i="83" s="1"/>
  <c r="V62" i="83"/>
  <c r="R66" i="83"/>
  <c r="V86" i="83"/>
  <c r="L43" i="84"/>
  <c r="V27" i="83"/>
  <c r="R28" i="83"/>
  <c r="R33" i="83"/>
  <c r="V39" i="83"/>
  <c r="R40" i="83"/>
  <c r="V47" i="83"/>
  <c r="R58" i="83"/>
  <c r="V66" i="83"/>
  <c r="R92" i="83"/>
  <c r="P63" i="87"/>
  <c r="D92" i="82"/>
  <c r="L92" i="82" s="1"/>
  <c r="R20" i="83"/>
  <c r="V28" i="83"/>
  <c r="R29" i="83"/>
  <c r="V40" i="83"/>
  <c r="R41" i="83"/>
  <c r="V44" i="83"/>
  <c r="R45" i="83"/>
  <c r="Z58" i="83"/>
  <c r="N68" i="83"/>
  <c r="L19" i="84"/>
  <c r="V20" i="84"/>
  <c r="V30" i="84"/>
  <c r="V38" i="84"/>
  <c r="R32" i="85"/>
  <c r="R26" i="85"/>
  <c r="R28" i="85"/>
  <c r="R22" i="85"/>
  <c r="R21" i="85"/>
  <c r="R35" i="85"/>
  <c r="R18" i="85"/>
  <c r="R14" i="85"/>
  <c r="R30" i="85"/>
  <c r="R20" i="85"/>
  <c r="X12" i="85"/>
  <c r="R16" i="85"/>
  <c r="L18" i="85"/>
  <c r="N18" i="85" s="1"/>
  <c r="R24" i="85"/>
  <c r="R76" i="83"/>
  <c r="R61" i="83"/>
  <c r="R79" i="83"/>
  <c r="R75" i="83"/>
  <c r="R68" i="83"/>
  <c r="R90" i="83"/>
  <c r="R85" i="83"/>
  <c r="R78" i="83"/>
  <c r="R74" i="83"/>
  <c r="R95" i="83"/>
  <c r="R88" i="83"/>
  <c r="R81" i="83"/>
  <c r="R73" i="83"/>
  <c r="R65" i="83"/>
  <c r="R57" i="83"/>
  <c r="R77" i="83"/>
  <c r="R72" i="83"/>
  <c r="R64" i="83"/>
  <c r="R60" i="83"/>
  <c r="R56" i="83"/>
  <c r="R53" i="83"/>
  <c r="R86" i="83"/>
  <c r="R70" i="83"/>
  <c r="R62" i="83"/>
  <c r="R55" i="83"/>
  <c r="T20" i="83"/>
  <c r="R23" i="83"/>
  <c r="V29" i="83"/>
  <c r="R30" i="83"/>
  <c r="V33" i="83"/>
  <c r="R34" i="83"/>
  <c r="V41" i="83"/>
  <c r="R42" i="83"/>
  <c r="V45" i="83"/>
  <c r="R52" i="83"/>
  <c r="X61" i="83"/>
  <c r="Z61" i="83" s="1"/>
  <c r="R69" i="83"/>
  <c r="R83" i="83"/>
  <c r="X43" i="84"/>
  <c r="V85" i="83"/>
  <c r="V79" i="83"/>
  <c r="V75" i="83"/>
  <c r="V90" i="83"/>
  <c r="V78" i="83"/>
  <c r="V74" i="83"/>
  <c r="V54" i="83"/>
  <c r="V81" i="83"/>
  <c r="V77" i="83"/>
  <c r="V73" i="83"/>
  <c r="V65" i="83"/>
  <c r="V57" i="83"/>
  <c r="V80" i="83"/>
  <c r="V72" i="83"/>
  <c r="V64" i="83"/>
  <c r="V60" i="83"/>
  <c r="V56" i="83"/>
  <c r="V83" i="83"/>
  <c r="V71" i="83"/>
  <c r="V67" i="83"/>
  <c r="V63" i="83"/>
  <c r="V59" i="83"/>
  <c r="V55" i="83"/>
  <c r="V69" i="83"/>
  <c r="V61" i="83"/>
  <c r="R16" i="83"/>
  <c r="V20" i="83"/>
  <c r="V30" i="83"/>
  <c r="R31" i="83"/>
  <c r="V34" i="83"/>
  <c r="R35" i="83"/>
  <c r="V42" i="83"/>
  <c r="R43" i="83"/>
  <c r="R48" i="83"/>
  <c r="V51" i="83"/>
  <c r="V52" i="83"/>
  <c r="R54" i="83"/>
  <c r="X55" i="83"/>
  <c r="Z55" i="83" s="1"/>
  <c r="R63" i="83"/>
  <c r="R67" i="83"/>
  <c r="L49" i="84"/>
  <c r="D48" i="84"/>
  <c r="L48" i="84" s="1"/>
  <c r="N48" i="84" s="1"/>
  <c r="L16" i="85"/>
  <c r="D28" i="85"/>
  <c r="Z18" i="85"/>
  <c r="R23" i="85"/>
  <c r="T28" i="85"/>
  <c r="V23" i="83"/>
  <c r="R24" i="83"/>
  <c r="V31" i="83"/>
  <c r="R32" i="83"/>
  <c r="V35" i="83"/>
  <c r="R36" i="83"/>
  <c r="V43" i="83"/>
  <c r="R71" i="83"/>
  <c r="V49" i="84"/>
  <c r="V45" i="84"/>
  <c r="V37" i="84"/>
  <c r="V29" i="84"/>
  <c r="V25" i="84"/>
  <c r="T16" i="84"/>
  <c r="V40" i="84"/>
  <c r="V36" i="84"/>
  <c r="V28" i="84"/>
  <c r="V24" i="84"/>
  <c r="V57" i="84"/>
  <c r="V51" i="84"/>
  <c r="V39" i="84"/>
  <c r="V35" i="84"/>
  <c r="V23" i="84"/>
  <c r="V48" i="84"/>
  <c r="V42" i="84"/>
  <c r="V34" i="84"/>
  <c r="V22" i="84"/>
  <c r="V18" i="84"/>
  <c r="V14" i="84"/>
  <c r="V41" i="84"/>
  <c r="V33" i="84"/>
  <c r="V21" i="84"/>
  <c r="V60" i="84"/>
  <c r="V55" i="84"/>
  <c r="V53" i="84"/>
  <c r="V43" i="84"/>
  <c r="V31" i="84"/>
  <c r="V27" i="84"/>
  <c r="V19" i="84"/>
  <c r="L45" i="84"/>
  <c r="P16" i="85"/>
  <c r="R19" i="85"/>
  <c r="J77" i="88"/>
  <c r="J73" i="88"/>
  <c r="J69" i="88"/>
  <c r="J65" i="88"/>
  <c r="J57" i="88"/>
  <c r="J49" i="88"/>
  <c r="J45" i="88"/>
  <c r="J33" i="88"/>
  <c r="J86" i="88"/>
  <c r="J76" i="88"/>
  <c r="J72" i="88"/>
  <c r="J68" i="88"/>
  <c r="J62" i="88"/>
  <c r="J54" i="88"/>
  <c r="J44" i="88"/>
  <c r="J32" i="88"/>
  <c r="J26" i="88"/>
  <c r="J83" i="88"/>
  <c r="J71" i="88"/>
  <c r="J67" i="88"/>
  <c r="J59" i="88"/>
  <c r="J51" i="88"/>
  <c r="J43" i="88"/>
  <c r="J82" i="88"/>
  <c r="J64" i="88"/>
  <c r="J56" i="88"/>
  <c r="J48" i="88"/>
  <c r="J42" i="88"/>
  <c r="J30" i="88"/>
  <c r="H23" i="88"/>
  <c r="J89" i="88"/>
  <c r="J85" i="88"/>
  <c r="J81" i="88"/>
  <c r="J75" i="88"/>
  <c r="J61" i="88"/>
  <c r="J53" i="88"/>
  <c r="J41" i="88"/>
  <c r="J29" i="88"/>
  <c r="J21" i="88"/>
  <c r="J93" i="88"/>
  <c r="J87" i="88"/>
  <c r="J79" i="88"/>
  <c r="J63" i="88"/>
  <c r="J55" i="88"/>
  <c r="J47" i="88"/>
  <c r="J39" i="88"/>
  <c r="J35" i="88"/>
  <c r="J27" i="88"/>
  <c r="J25" i="88"/>
  <c r="J19" i="88"/>
  <c r="J70" i="88"/>
  <c r="J36" i="88"/>
  <c r="J66" i="88"/>
  <c r="J52" i="88"/>
  <c r="J60" i="88"/>
  <c r="J38" i="88"/>
  <c r="J80" i="88"/>
  <c r="J74" i="88"/>
  <c r="J46" i="88"/>
  <c r="J34" i="88"/>
  <c r="J50" i="88"/>
  <c r="J40" i="88"/>
  <c r="J31" i="88"/>
  <c r="J28" i="88"/>
  <c r="J58" i="88"/>
  <c r="J37" i="88"/>
  <c r="J78" i="88"/>
  <c r="J20" i="88"/>
  <c r="J84" i="88"/>
  <c r="J18" i="88"/>
  <c r="X12" i="84"/>
  <c r="F19" i="84"/>
  <c r="R20" i="84"/>
  <c r="J23" i="84"/>
  <c r="F24" i="84"/>
  <c r="R32" i="84"/>
  <c r="J35" i="84"/>
  <c r="F36" i="84"/>
  <c r="F40" i="84"/>
  <c r="R41" i="84"/>
  <c r="F43" i="84"/>
  <c r="R44" i="84"/>
  <c r="J45" i="84"/>
  <c r="F49" i="84"/>
  <c r="R50" i="84"/>
  <c r="F53" i="84"/>
  <c r="F60" i="84"/>
  <c r="N12" i="85"/>
  <c r="J14" i="85"/>
  <c r="J18" i="85"/>
  <c r="J20" i="85"/>
  <c r="V21" i="85"/>
  <c r="J31" i="86"/>
  <c r="J23" i="86"/>
  <c r="H18" i="86"/>
  <c r="J28" i="86"/>
  <c r="J16" i="86"/>
  <c r="J25" i="86"/>
  <c r="J40" i="86"/>
  <c r="J34" i="86"/>
  <c r="J30" i="86"/>
  <c r="J22" i="86"/>
  <c r="J20" i="86"/>
  <c r="N12" i="86"/>
  <c r="J29" i="86"/>
  <c r="J21" i="86"/>
  <c r="J43" i="86"/>
  <c r="J36" i="86"/>
  <c r="J26" i="86"/>
  <c r="J18" i="86"/>
  <c r="L26" i="88"/>
  <c r="N26" i="88" s="1"/>
  <c r="N75" i="88"/>
  <c r="J19" i="84"/>
  <c r="R22" i="84"/>
  <c r="J25" i="84"/>
  <c r="F26" i="84"/>
  <c r="J29" i="84"/>
  <c r="F30" i="84"/>
  <c r="R34" i="84"/>
  <c r="J37" i="84"/>
  <c r="F38" i="84"/>
  <c r="R39" i="84"/>
  <c r="F41" i="84"/>
  <c r="R42" i="84"/>
  <c r="J43" i="84"/>
  <c r="F46" i="84"/>
  <c r="J53" i="84"/>
  <c r="R57" i="84"/>
  <c r="J60" i="84"/>
  <c r="V22" i="85"/>
  <c r="V35" i="85"/>
  <c r="V30" i="85"/>
  <c r="V28" i="85"/>
  <c r="V32" i="85"/>
  <c r="V26" i="85"/>
  <c r="F16" i="85"/>
  <c r="V16" i="85"/>
  <c r="F22" i="85"/>
  <c r="X23" i="85"/>
  <c r="Z25" i="86"/>
  <c r="X25" i="86"/>
  <c r="N18" i="87"/>
  <c r="N42" i="87"/>
  <c r="L25" i="88"/>
  <c r="N25" i="88" s="1"/>
  <c r="F14" i="84"/>
  <c r="F18" i="84"/>
  <c r="R23" i="84"/>
  <c r="J26" i="84"/>
  <c r="F27" i="84"/>
  <c r="R28" i="84"/>
  <c r="J30" i="84"/>
  <c r="F31" i="84"/>
  <c r="R35" i="84"/>
  <c r="J38" i="84"/>
  <c r="J46" i="84"/>
  <c r="F48" i="84"/>
  <c r="F50" i="84"/>
  <c r="R51" i="84"/>
  <c r="F55" i="84"/>
  <c r="H16" i="85"/>
  <c r="F19" i="85"/>
  <c r="V19" i="85"/>
  <c r="J22" i="85"/>
  <c r="T40" i="86"/>
  <c r="R31" i="86"/>
  <c r="P36" i="86"/>
  <c r="R36" i="86" s="1"/>
  <c r="Z14" i="87"/>
  <c r="X14" i="87"/>
  <c r="X14" i="84"/>
  <c r="P16" i="84"/>
  <c r="F20" i="84"/>
  <c r="R24" i="84"/>
  <c r="J27" i="84"/>
  <c r="J31" i="84"/>
  <c r="F32" i="84"/>
  <c r="R36" i="84"/>
  <c r="F39" i="84"/>
  <c r="R40" i="84"/>
  <c r="J41" i="84"/>
  <c r="F44" i="84"/>
  <c r="R45" i="84"/>
  <c r="J50" i="84"/>
  <c r="J55" i="84"/>
  <c r="F57" i="84"/>
  <c r="Z12" i="85"/>
  <c r="J16" i="85"/>
  <c r="V20" i="85"/>
  <c r="N15" i="86"/>
  <c r="L15" i="86"/>
  <c r="F22" i="86"/>
  <c r="N27" i="86"/>
  <c r="L27" i="86"/>
  <c r="F34" i="86"/>
  <c r="J38" i="86"/>
  <c r="Z54" i="87"/>
  <c r="X54" i="87"/>
  <c r="D85" i="83"/>
  <c r="L85" i="83" s="1"/>
  <c r="R16" i="84"/>
  <c r="J18" i="84"/>
  <c r="J20" i="84"/>
  <c r="F21" i="84"/>
  <c r="R25" i="84"/>
  <c r="F28" i="84"/>
  <c r="R29" i="84"/>
  <c r="J32" i="84"/>
  <c r="F33" i="84"/>
  <c r="R37" i="84"/>
  <c r="J44" i="84"/>
  <c r="J48" i="84"/>
  <c r="R49" i="84"/>
  <c r="F30" i="85"/>
  <c r="F24" i="85"/>
  <c r="F35" i="85"/>
  <c r="F28" i="85"/>
  <c r="F32" i="85"/>
  <c r="F26" i="85"/>
  <c r="J19" i="85"/>
  <c r="X21" i="85"/>
  <c r="J23" i="85"/>
  <c r="J15" i="86"/>
  <c r="J27" i="86"/>
  <c r="N34" i="86"/>
  <c r="L34" i="86"/>
  <c r="X18" i="87"/>
  <c r="Z18" i="87" s="1"/>
  <c r="Z42" i="87"/>
  <c r="X42" i="87"/>
  <c r="L44" i="87"/>
  <c r="N44" i="87" s="1"/>
  <c r="X13" i="88"/>
  <c r="P12" i="88"/>
  <c r="T92" i="90"/>
  <c r="V23" i="90"/>
  <c r="R86" i="91"/>
  <c r="R83" i="91"/>
  <c r="R78" i="91"/>
  <c r="R74" i="91"/>
  <c r="R46" i="91"/>
  <c r="R38" i="91"/>
  <c r="R34" i="91"/>
  <c r="R77" i="91"/>
  <c r="R73" i="91"/>
  <c r="R69" i="91"/>
  <c r="R65" i="91"/>
  <c r="R62" i="91"/>
  <c r="R57" i="91"/>
  <c r="R54" i="91"/>
  <c r="R49" i="91"/>
  <c r="R45" i="91"/>
  <c r="R33" i="91"/>
  <c r="R26" i="91"/>
  <c r="R18" i="91"/>
  <c r="R94" i="91"/>
  <c r="R88" i="91"/>
  <c r="R85" i="91"/>
  <c r="R76" i="91"/>
  <c r="R72" i="91"/>
  <c r="R68" i="91"/>
  <c r="R44" i="91"/>
  <c r="R37" i="91"/>
  <c r="R32" i="91"/>
  <c r="R71" i="91"/>
  <c r="R67" i="91"/>
  <c r="R64" i="91"/>
  <c r="R59" i="91"/>
  <c r="R56" i="91"/>
  <c r="R51" i="91"/>
  <c r="R48" i="91"/>
  <c r="R43" i="91"/>
  <c r="R31" i="91"/>
  <c r="R87" i="91"/>
  <c r="R82" i="91"/>
  <c r="R75" i="91"/>
  <c r="R42" i="91"/>
  <c r="R30" i="91"/>
  <c r="R84" i="91"/>
  <c r="R80" i="91"/>
  <c r="R40" i="91"/>
  <c r="R36" i="91"/>
  <c r="R28" i="91"/>
  <c r="R25" i="91"/>
  <c r="R20" i="91"/>
  <c r="R63" i="91"/>
  <c r="R61" i="91"/>
  <c r="R90" i="91"/>
  <c r="R50" i="91"/>
  <c r="R41" i="91"/>
  <c r="R35" i="91"/>
  <c r="R29" i="91"/>
  <c r="R19" i="91"/>
  <c r="R81" i="91"/>
  <c r="R66" i="91"/>
  <c r="R70" i="91"/>
  <c r="R52" i="91"/>
  <c r="X12" i="91"/>
  <c r="Z12" i="91" s="1"/>
  <c r="R21" i="91"/>
  <c r="R60" i="91"/>
  <c r="R39" i="91"/>
  <c r="R58" i="91"/>
  <c r="R27" i="91"/>
  <c r="P23" i="91"/>
  <c r="R53" i="91"/>
  <c r="R47" i="91"/>
  <c r="R55" i="91"/>
  <c r="L14" i="91"/>
  <c r="N14" i="91" s="1"/>
  <c r="D12" i="91"/>
  <c r="D16" i="84"/>
  <c r="R19" i="84"/>
  <c r="F22" i="84"/>
  <c r="R26" i="84"/>
  <c r="R30" i="84"/>
  <c r="J33" i="84"/>
  <c r="F34" i="84"/>
  <c r="R38" i="84"/>
  <c r="J39" i="84"/>
  <c r="F42" i="84"/>
  <c r="R43" i="84"/>
  <c r="F45" i="84"/>
  <c r="R46" i="84"/>
  <c r="R53" i="84"/>
  <c r="J21" i="85"/>
  <c r="J35" i="85"/>
  <c r="J28" i="85"/>
  <c r="J30" i="85"/>
  <c r="J24" i="85"/>
  <c r="F29" i="86"/>
  <c r="F26" i="86"/>
  <c r="F21" i="86"/>
  <c r="F18" i="86"/>
  <c r="F31" i="86"/>
  <c r="F28" i="86"/>
  <c r="F23" i="86"/>
  <c r="D18" i="86"/>
  <c r="F16" i="86"/>
  <c r="F38" i="86"/>
  <c r="F32" i="86"/>
  <c r="F27" i="86"/>
  <c r="F24" i="86"/>
  <c r="F15" i="86"/>
  <c r="L20" i="86"/>
  <c r="N20" i="86" s="1"/>
  <c r="J32" i="86"/>
  <c r="L89" i="88"/>
  <c r="Z18" i="86"/>
  <c r="R20" i="86"/>
  <c r="V22" i="86"/>
  <c r="V30" i="86"/>
  <c r="R34" i="86"/>
  <c r="V16" i="87"/>
  <c r="J22" i="87"/>
  <c r="V26" i="87"/>
  <c r="R27" i="87"/>
  <c r="V30" i="87"/>
  <c r="R31" i="87"/>
  <c r="J34" i="87"/>
  <c r="V38" i="87"/>
  <c r="R39" i="87"/>
  <c r="J40" i="87"/>
  <c r="R44" i="87"/>
  <c r="V46" i="87"/>
  <c r="R47" i="87"/>
  <c r="V50" i="87"/>
  <c r="R51" i="87"/>
  <c r="J52" i="87"/>
  <c r="V82" i="88"/>
  <c r="Z58" i="90"/>
  <c r="R16" i="86"/>
  <c r="R25" i="86"/>
  <c r="V27" i="86"/>
  <c r="R28" i="86"/>
  <c r="H16" i="87"/>
  <c r="V19" i="87"/>
  <c r="R20" i="87"/>
  <c r="J23" i="87"/>
  <c r="V27" i="87"/>
  <c r="R28" i="87"/>
  <c r="J29" i="87"/>
  <c r="V31" i="87"/>
  <c r="R32" i="87"/>
  <c r="J35" i="87"/>
  <c r="V39" i="87"/>
  <c r="J43" i="87"/>
  <c r="V47" i="87"/>
  <c r="R48" i="87"/>
  <c r="J49" i="87"/>
  <c r="V51" i="87"/>
  <c r="J55" i="87"/>
  <c r="V57" i="87"/>
  <c r="J61" i="87"/>
  <c r="V63" i="87"/>
  <c r="D12" i="88"/>
  <c r="X37" i="88"/>
  <c r="Z37" i="88" s="1"/>
  <c r="V66" i="88"/>
  <c r="L75" i="88"/>
  <c r="V76" i="88"/>
  <c r="N16" i="89"/>
  <c r="H24" i="89"/>
  <c r="P28" i="89"/>
  <c r="R18" i="86"/>
  <c r="V26" i="86"/>
  <c r="J26" i="87"/>
  <c r="J30" i="87"/>
  <c r="V34" i="87"/>
  <c r="R35" i="87"/>
  <c r="J38" i="87"/>
  <c r="R40" i="87"/>
  <c r="V42" i="87"/>
  <c r="R43" i="87"/>
  <c r="J44" i="87"/>
  <c r="J50" i="87"/>
  <c r="R52" i="87"/>
  <c r="V54" i="87"/>
  <c r="R55" i="87"/>
  <c r="R61" i="87"/>
  <c r="V66" i="87"/>
  <c r="V50" i="88"/>
  <c r="V64" i="88"/>
  <c r="V68" i="88"/>
  <c r="Z75" i="88"/>
  <c r="R21" i="86"/>
  <c r="R24" i="86"/>
  <c r="R29" i="86"/>
  <c r="V31" i="86"/>
  <c r="R32" i="86"/>
  <c r="R38" i="86"/>
  <c r="V23" i="87"/>
  <c r="R24" i="87"/>
  <c r="J27" i="87"/>
  <c r="R29" i="87"/>
  <c r="J31" i="87"/>
  <c r="V35" i="87"/>
  <c r="R36" i="87"/>
  <c r="J39" i="87"/>
  <c r="V43" i="87"/>
  <c r="J47" i="87"/>
  <c r="R49" i="87"/>
  <c r="J51" i="87"/>
  <c r="V55" i="87"/>
  <c r="V59" i="87"/>
  <c r="V61" i="87"/>
  <c r="V85" i="88"/>
  <c r="V81" i="88"/>
  <c r="V61" i="88"/>
  <c r="V53" i="88"/>
  <c r="V41" i="88"/>
  <c r="V29" i="88"/>
  <c r="V84" i="88"/>
  <c r="V80" i="88"/>
  <c r="V60" i="88"/>
  <c r="V52" i="88"/>
  <c r="V40" i="88"/>
  <c r="V36" i="88"/>
  <c r="V28" i="88"/>
  <c r="V93" i="88"/>
  <c r="V87" i="88"/>
  <c r="V79" i="88"/>
  <c r="V63" i="88"/>
  <c r="V55" i="88"/>
  <c r="V47" i="88"/>
  <c r="V86" i="88"/>
  <c r="V78" i="88"/>
  <c r="V74" i="88"/>
  <c r="V62" i="88"/>
  <c r="V54" i="88"/>
  <c r="V46" i="88"/>
  <c r="V38" i="88"/>
  <c r="V34" i="88"/>
  <c r="V26" i="88"/>
  <c r="V18" i="88"/>
  <c r="V77" i="88"/>
  <c r="V73" i="88"/>
  <c r="V69" i="88"/>
  <c r="V65" i="88"/>
  <c r="V57" i="88"/>
  <c r="V49" i="88"/>
  <c r="V45" i="88"/>
  <c r="V37" i="88"/>
  <c r="V33" i="88"/>
  <c r="V89" i="88"/>
  <c r="V83" i="88"/>
  <c r="V75" i="88"/>
  <c r="V71" i="88"/>
  <c r="V67" i="88"/>
  <c r="V59" i="88"/>
  <c r="V51" i="88"/>
  <c r="V43" i="88"/>
  <c r="V31" i="88"/>
  <c r="V27" i="88"/>
  <c r="V30" i="88"/>
  <c r="V39" i="88"/>
  <c r="Z56" i="88"/>
  <c r="F28" i="89"/>
  <c r="F26" i="89"/>
  <c r="F16" i="89"/>
  <c r="F31" i="89"/>
  <c r="F19" i="89"/>
  <c r="D16" i="89"/>
  <c r="L12" i="89"/>
  <c r="F18" i="89"/>
  <c r="F14" i="89"/>
  <c r="F22" i="89"/>
  <c r="F20" i="89"/>
  <c r="N62" i="90"/>
  <c r="V18" i="86"/>
  <c r="V24" i="86"/>
  <c r="V32" i="86"/>
  <c r="V36" i="86"/>
  <c r="V38" i="86"/>
  <c r="V43" i="86"/>
  <c r="N12" i="87"/>
  <c r="J14" i="87"/>
  <c r="R16" i="87"/>
  <c r="J18" i="87"/>
  <c r="J20" i="87"/>
  <c r="V24" i="87"/>
  <c r="R25" i="87"/>
  <c r="J28" i="87"/>
  <c r="J32" i="87"/>
  <c r="V36" i="87"/>
  <c r="R37" i="87"/>
  <c r="V40" i="87"/>
  <c r="R41" i="87"/>
  <c r="J42" i="87"/>
  <c r="R46" i="87"/>
  <c r="J48" i="87"/>
  <c r="V52" i="87"/>
  <c r="R53" i="87"/>
  <c r="J54" i="87"/>
  <c r="V19" i="88"/>
  <c r="V20" i="88"/>
  <c r="V21" i="88"/>
  <c r="T23" i="88"/>
  <c r="V23" i="88" s="1"/>
  <c r="Z48" i="88"/>
  <c r="V56" i="88"/>
  <c r="X89" i="88"/>
  <c r="X26" i="90"/>
  <c r="Z26" i="90" s="1"/>
  <c r="X12" i="86"/>
  <c r="R15" i="86"/>
  <c r="V21" i="86"/>
  <c r="R22" i="86"/>
  <c r="R27" i="86"/>
  <c r="T16" i="87"/>
  <c r="R19" i="87"/>
  <c r="J21" i="87"/>
  <c r="V25" i="87"/>
  <c r="R26" i="87"/>
  <c r="V29" i="87"/>
  <c r="R30" i="87"/>
  <c r="J33" i="87"/>
  <c r="V37" i="87"/>
  <c r="R38" i="87"/>
  <c r="V41" i="87"/>
  <c r="J45" i="87"/>
  <c r="V49" i="87"/>
  <c r="R50" i="87"/>
  <c r="R57" i="87"/>
  <c r="J59" i="87"/>
  <c r="V25" i="88"/>
  <c r="V42" i="88"/>
  <c r="V48" i="88"/>
  <c r="X14" i="89"/>
  <c r="P12" i="90"/>
  <c r="Z12" i="89"/>
  <c r="R14" i="89"/>
  <c r="Z48" i="90"/>
  <c r="X50" i="90"/>
  <c r="Z50" i="90" s="1"/>
  <c r="Z56" i="90"/>
  <c r="X58" i="90"/>
  <c r="X66" i="90"/>
  <c r="Z66" i="90" s="1"/>
  <c r="J28" i="89"/>
  <c r="J22" i="89"/>
  <c r="J31" i="89"/>
  <c r="J24" i="89"/>
  <c r="V14" i="89"/>
  <c r="R19" i="89"/>
  <c r="V26" i="89"/>
  <c r="V31" i="89"/>
  <c r="N60" i="90"/>
  <c r="X62" i="90"/>
  <c r="Z62" i="90" s="1"/>
  <c r="N64" i="90"/>
  <c r="L64" i="90"/>
  <c r="V28" i="89"/>
  <c r="Z37" i="90"/>
  <c r="X74" i="90"/>
  <c r="L76" i="90"/>
  <c r="L90" i="90"/>
  <c r="Z74" i="90"/>
  <c r="N76" i="90"/>
  <c r="R26" i="89"/>
  <c r="R20" i="89"/>
  <c r="R31" i="89"/>
  <c r="R24" i="89"/>
  <c r="R28" i="89"/>
  <c r="R22" i="89"/>
  <c r="T16" i="89"/>
  <c r="V22" i="89"/>
  <c r="N26" i="90"/>
  <c r="N50" i="90"/>
  <c r="Z52" i="90"/>
  <c r="X54" i="90"/>
  <c r="Z54" i="90" s="1"/>
  <c r="N58" i="90"/>
  <c r="X83" i="91"/>
  <c r="Z83" i="91" s="1"/>
  <c r="V16" i="89"/>
  <c r="X22" i="89"/>
  <c r="D12" i="90"/>
  <c r="N18" i="90"/>
  <c r="N48" i="90"/>
  <c r="L48" i="90"/>
  <c r="L56" i="90"/>
  <c r="N56" i="90" s="1"/>
  <c r="Z76" i="90"/>
  <c r="V18" i="90"/>
  <c r="H23" i="90"/>
  <c r="V26" i="90"/>
  <c r="J30" i="90"/>
  <c r="V34" i="90"/>
  <c r="V38" i="90"/>
  <c r="J42" i="90"/>
  <c r="V46" i="90"/>
  <c r="J48" i="90"/>
  <c r="V54" i="90"/>
  <c r="J56" i="90"/>
  <c r="V62" i="90"/>
  <c r="J64" i="90"/>
  <c r="J70" i="90"/>
  <c r="J78" i="90"/>
  <c r="V82" i="90"/>
  <c r="V86" i="90"/>
  <c r="V85" i="91"/>
  <c r="V77" i="91"/>
  <c r="V73" i="91"/>
  <c r="V69" i="91"/>
  <c r="V65" i="91"/>
  <c r="V57" i="91"/>
  <c r="V49" i="91"/>
  <c r="V45" i="91"/>
  <c r="V37" i="91"/>
  <c r="V33" i="91"/>
  <c r="V23" i="91"/>
  <c r="V94" i="91"/>
  <c r="V88" i="91"/>
  <c r="V76" i="91"/>
  <c r="V72" i="91"/>
  <c r="V68" i="91"/>
  <c r="V64" i="91"/>
  <c r="V56" i="91"/>
  <c r="V48" i="91"/>
  <c r="V44" i="91"/>
  <c r="V32" i="91"/>
  <c r="T23" i="91"/>
  <c r="V87" i="91"/>
  <c r="V75" i="91"/>
  <c r="V71" i="91"/>
  <c r="V67" i="91"/>
  <c r="V59" i="91"/>
  <c r="V51" i="91"/>
  <c r="V43" i="91"/>
  <c r="V31" i="91"/>
  <c r="V82" i="91"/>
  <c r="V70" i="91"/>
  <c r="V66" i="91"/>
  <c r="V58" i="91"/>
  <c r="V50" i="91"/>
  <c r="V42" i="91"/>
  <c r="V30" i="91"/>
  <c r="V81" i="91"/>
  <c r="V61" i="91"/>
  <c r="V53" i="91"/>
  <c r="V41" i="91"/>
  <c r="V29" i="91"/>
  <c r="V83" i="91"/>
  <c r="V79" i="91"/>
  <c r="V63" i="91"/>
  <c r="V55" i="91"/>
  <c r="V47" i="91"/>
  <c r="V39" i="91"/>
  <c r="V35" i="91"/>
  <c r="V27" i="91"/>
  <c r="V19" i="91"/>
  <c r="V28" i="91"/>
  <c r="V40" i="91"/>
  <c r="V62" i="91"/>
  <c r="J72" i="91"/>
  <c r="L44" i="92"/>
  <c r="V35" i="90"/>
  <c r="J37" i="90"/>
  <c r="V39" i="90"/>
  <c r="J43" i="90"/>
  <c r="V47" i="90"/>
  <c r="J51" i="90"/>
  <c r="V55" i="90"/>
  <c r="J59" i="90"/>
  <c r="V63" i="90"/>
  <c r="J67" i="90"/>
  <c r="J71" i="90"/>
  <c r="J75" i="90"/>
  <c r="J79" i="90"/>
  <c r="V83" i="90"/>
  <c r="J85" i="90"/>
  <c r="J32" i="91"/>
  <c r="J42" i="91"/>
  <c r="V46" i="91"/>
  <c r="V54" i="91"/>
  <c r="V60" i="91"/>
  <c r="N75" i="91"/>
  <c r="N85" i="91"/>
  <c r="V86" i="91"/>
  <c r="N44" i="92"/>
  <c r="J26" i="90"/>
  <c r="V28" i="90"/>
  <c r="J32" i="90"/>
  <c r="V36" i="90"/>
  <c r="V40" i="90"/>
  <c r="J44" i="90"/>
  <c r="V52" i="90"/>
  <c r="J54" i="90"/>
  <c r="V60" i="90"/>
  <c r="J62" i="90"/>
  <c r="J68" i="90"/>
  <c r="J72" i="90"/>
  <c r="V76" i="90"/>
  <c r="J80" i="90"/>
  <c r="V84" i="90"/>
  <c r="J88" i="90"/>
  <c r="V90" i="90"/>
  <c r="J94" i="90"/>
  <c r="V78" i="91"/>
  <c r="X19" i="92"/>
  <c r="Z42" i="92"/>
  <c r="V77" i="92"/>
  <c r="V65" i="92"/>
  <c r="V61" i="92"/>
  <c r="V57" i="92"/>
  <c r="V49" i="92"/>
  <c r="V41" i="92"/>
  <c r="V68" i="92"/>
  <c r="V64" i="92"/>
  <c r="V52" i="92"/>
  <c r="V48" i="92"/>
  <c r="V67" i="92"/>
  <c r="V63" i="92"/>
  <c r="V51" i="92"/>
  <c r="V43" i="92"/>
  <c r="V39" i="92"/>
  <c r="V70" i="92"/>
  <c r="V54" i="92"/>
  <c r="V42" i="92"/>
  <c r="V38" i="92"/>
  <c r="V73" i="92"/>
  <c r="V69" i="92"/>
  <c r="V53" i="92"/>
  <c r="V60" i="92"/>
  <c r="V56" i="92"/>
  <c r="V59" i="92"/>
  <c r="V55" i="92"/>
  <c r="V47" i="92"/>
  <c r="V72" i="92"/>
  <c r="V66" i="92"/>
  <c r="V44" i="92"/>
  <c r="V31" i="92"/>
  <c r="V27" i="92"/>
  <c r="V17" i="92"/>
  <c r="V40" i="92"/>
  <c r="V26" i="92"/>
  <c r="T17" i="92"/>
  <c r="V45" i="92"/>
  <c r="V25" i="92"/>
  <c r="V58" i="92"/>
  <c r="V24" i="92"/>
  <c r="V37" i="92"/>
  <c r="V36" i="92"/>
  <c r="V23" i="92"/>
  <c r="V19" i="92"/>
  <c r="V15" i="92"/>
  <c r="V62" i="92"/>
  <c r="V33" i="92"/>
  <c r="V29" i="92"/>
  <c r="V21" i="92"/>
  <c r="P17" i="92"/>
  <c r="X15" i="92"/>
  <c r="Z19" i="92"/>
  <c r="V35" i="92"/>
  <c r="V30" i="90"/>
  <c r="J34" i="90"/>
  <c r="J38" i="90"/>
  <c r="V42" i="90"/>
  <c r="J46" i="90"/>
  <c r="V50" i="90"/>
  <c r="J52" i="90"/>
  <c r="V58" i="90"/>
  <c r="J60" i="90"/>
  <c r="V66" i="90"/>
  <c r="V70" i="90"/>
  <c r="V74" i="90"/>
  <c r="J76" i="90"/>
  <c r="V78" i="90"/>
  <c r="J82" i="90"/>
  <c r="J86" i="90"/>
  <c r="J90" i="90"/>
  <c r="J87" i="91"/>
  <c r="J81" i="91"/>
  <c r="J75" i="91"/>
  <c r="J61" i="91"/>
  <c r="J53" i="91"/>
  <c r="J41" i="91"/>
  <c r="J29" i="91"/>
  <c r="J21" i="91"/>
  <c r="J84" i="91"/>
  <c r="J80" i="91"/>
  <c r="J70" i="91"/>
  <c r="J66" i="91"/>
  <c r="J58" i="91"/>
  <c r="J50" i="91"/>
  <c r="J40" i="91"/>
  <c r="J36" i="91"/>
  <c r="J28" i="91"/>
  <c r="J20" i="91"/>
  <c r="J79" i="91"/>
  <c r="J63" i="91"/>
  <c r="J55" i="91"/>
  <c r="J47" i="91"/>
  <c r="J39" i="91"/>
  <c r="J35" i="91"/>
  <c r="J27" i="91"/>
  <c r="J25" i="91"/>
  <c r="J19" i="91"/>
  <c r="J90" i="91"/>
  <c r="J86" i="91"/>
  <c r="J78" i="91"/>
  <c r="J74" i="91"/>
  <c r="J60" i="91"/>
  <c r="J52" i="91"/>
  <c r="J46" i="91"/>
  <c r="J38" i="91"/>
  <c r="J34" i="91"/>
  <c r="J83" i="91"/>
  <c r="J77" i="91"/>
  <c r="J73" i="91"/>
  <c r="J69" i="91"/>
  <c r="J65" i="91"/>
  <c r="J57" i="91"/>
  <c r="J49" i="91"/>
  <c r="J45" i="91"/>
  <c r="J33" i="91"/>
  <c r="J85" i="91"/>
  <c r="J71" i="91"/>
  <c r="J67" i="91"/>
  <c r="J59" i="91"/>
  <c r="J51" i="91"/>
  <c r="J43" i="91"/>
  <c r="J37" i="91"/>
  <c r="J31" i="91"/>
  <c r="H23" i="91"/>
  <c r="J44" i="91"/>
  <c r="J56" i="91"/>
  <c r="Z58" i="91"/>
  <c r="J62" i="91"/>
  <c r="V74" i="91"/>
  <c r="Z75" i="91"/>
  <c r="V80" i="91"/>
  <c r="V84" i="91"/>
  <c r="J94" i="91"/>
  <c r="V20" i="92"/>
  <c r="V32" i="92"/>
  <c r="J19" i="90"/>
  <c r="J25" i="90"/>
  <c r="J27" i="90"/>
  <c r="V31" i="90"/>
  <c r="J35" i="90"/>
  <c r="J39" i="90"/>
  <c r="V43" i="90"/>
  <c r="J47" i="90"/>
  <c r="V51" i="90"/>
  <c r="J55" i="90"/>
  <c r="V59" i="90"/>
  <c r="J63" i="90"/>
  <c r="V67" i="90"/>
  <c r="J69" i="90"/>
  <c r="V71" i="90"/>
  <c r="V75" i="90"/>
  <c r="V79" i="90"/>
  <c r="J83" i="90"/>
  <c r="V87" i="90"/>
  <c r="Z25" i="91"/>
  <c r="N37" i="91"/>
  <c r="V38" i="91"/>
  <c r="J48" i="91"/>
  <c r="J54" i="91"/>
  <c r="N83" i="91"/>
  <c r="H75" i="92"/>
  <c r="J75" i="92" s="1"/>
  <c r="V22" i="92"/>
  <c r="V28" i="92"/>
  <c r="L31" i="92"/>
  <c r="N31" i="92" s="1"/>
  <c r="V50" i="92"/>
  <c r="V64" i="90"/>
  <c r="J66" i="90"/>
  <c r="V68" i="90"/>
  <c r="V72" i="90"/>
  <c r="J74" i="90"/>
  <c r="V80" i="90"/>
  <c r="V88" i="90"/>
  <c r="V92" i="90"/>
  <c r="V94" i="90"/>
  <c r="V34" i="92"/>
  <c r="X12" i="92"/>
  <c r="Z12" i="92" s="1"/>
  <c r="R15" i="92"/>
  <c r="J17" i="92"/>
  <c r="R19" i="92"/>
  <c r="R22" i="92"/>
  <c r="J25" i="92"/>
  <c r="R30" i="92"/>
  <c r="J31" i="92"/>
  <c r="R34" i="92"/>
  <c r="R35" i="92"/>
  <c r="R59" i="92"/>
  <c r="L61" i="92"/>
  <c r="N61" i="92" s="1"/>
  <c r="X29" i="94"/>
  <c r="D12" i="92"/>
  <c r="R24" i="92"/>
  <c r="J27" i="92"/>
  <c r="J40" i="92"/>
  <c r="J41" i="92"/>
  <c r="Z53" i="92"/>
  <c r="J16" i="94"/>
  <c r="J67" i="92"/>
  <c r="J63" i="92"/>
  <c r="J51" i="92"/>
  <c r="J45" i="92"/>
  <c r="J37" i="92"/>
  <c r="J73" i="92"/>
  <c r="J60" i="92"/>
  <c r="J56" i="92"/>
  <c r="J69" i="92"/>
  <c r="J59" i="92"/>
  <c r="J53" i="92"/>
  <c r="J47" i="92"/>
  <c r="J66" i="92"/>
  <c r="J62" i="92"/>
  <c r="J58" i="92"/>
  <c r="J50" i="92"/>
  <c r="J44" i="92"/>
  <c r="J77" i="92"/>
  <c r="J65" i="92"/>
  <c r="J55" i="92"/>
  <c r="J49" i="92"/>
  <c r="J72" i="92"/>
  <c r="J68" i="92"/>
  <c r="J64" i="92"/>
  <c r="J52" i="92"/>
  <c r="J61" i="92"/>
  <c r="J57" i="92"/>
  <c r="J43" i="92"/>
  <c r="J39" i="92"/>
  <c r="R25" i="92"/>
  <c r="J28" i="92"/>
  <c r="J32" i="92"/>
  <c r="J42" i="92"/>
  <c r="R45" i="92"/>
  <c r="N55" i="92"/>
  <c r="L57" i="92"/>
  <c r="Z61" i="92"/>
  <c r="N67" i="92"/>
  <c r="J70" i="92"/>
  <c r="L15" i="93"/>
  <c r="L33" i="93"/>
  <c r="X25" i="94"/>
  <c r="J15" i="92"/>
  <c r="J19" i="92"/>
  <c r="J21" i="92"/>
  <c r="R26" i="92"/>
  <c r="J29" i="92"/>
  <c r="R31" i="92"/>
  <c r="J33" i="92"/>
  <c r="R44" i="92"/>
  <c r="R47" i="92"/>
  <c r="N51" i="92"/>
  <c r="J54" i="92"/>
  <c r="X55" i="92"/>
  <c r="N57" i="92"/>
  <c r="P27" i="94"/>
  <c r="J22" i="92"/>
  <c r="R27" i="92"/>
  <c r="J30" i="92"/>
  <c r="J34" i="92"/>
  <c r="R41" i="92"/>
  <c r="X42" i="92"/>
  <c r="Z55" i="92"/>
  <c r="R66" i="92"/>
  <c r="R62" i="92"/>
  <c r="R58" i="92"/>
  <c r="R55" i="92"/>
  <c r="R50" i="92"/>
  <c r="R77" i="92"/>
  <c r="R72" i="92"/>
  <c r="R65" i="92"/>
  <c r="R49" i="92"/>
  <c r="R68" i="92"/>
  <c r="R64" i="92"/>
  <c r="R61" i="92"/>
  <c r="R57" i="92"/>
  <c r="R52" i="92"/>
  <c r="R40" i="92"/>
  <c r="R48" i="92"/>
  <c r="R43" i="92"/>
  <c r="R39" i="92"/>
  <c r="R70" i="92"/>
  <c r="R67" i="92"/>
  <c r="R63" i="92"/>
  <c r="R54" i="92"/>
  <c r="R51" i="92"/>
  <c r="R73" i="92"/>
  <c r="R69" i="92"/>
  <c r="R60" i="92"/>
  <c r="R56" i="92"/>
  <c r="R53" i="92"/>
  <c r="J23" i="92"/>
  <c r="R28" i="92"/>
  <c r="R32" i="92"/>
  <c r="J35" i="92"/>
  <c r="J36" i="92"/>
  <c r="J38" i="92"/>
  <c r="R42" i="92"/>
  <c r="Z57" i="92"/>
  <c r="J34" i="94"/>
  <c r="J31" i="94"/>
  <c r="J27" i="94"/>
  <c r="J24" i="94"/>
  <c r="J21" i="94"/>
  <c r="J18" i="94"/>
  <c r="J36" i="94"/>
  <c r="J33" i="94"/>
  <c r="J29" i="94"/>
  <c r="J25" i="94"/>
  <c r="H18" i="94"/>
  <c r="J15" i="94"/>
  <c r="J22" i="94"/>
  <c r="N12" i="94"/>
  <c r="J15" i="93"/>
  <c r="H18" i="93"/>
  <c r="F21" i="93"/>
  <c r="V21" i="93"/>
  <c r="J25" i="93"/>
  <c r="R27" i="93"/>
  <c r="J29" i="93"/>
  <c r="R31" i="93"/>
  <c r="J33" i="93"/>
  <c r="R34" i="93"/>
  <c r="J36" i="93"/>
  <c r="L12" i="94"/>
  <c r="F15" i="94"/>
  <c r="V15" i="94"/>
  <c r="D18" i="94"/>
  <c r="T18" i="94"/>
  <c r="X18" i="94" s="1"/>
  <c r="L20" i="94"/>
  <c r="R21" i="94"/>
  <c r="F25" i="94"/>
  <c r="V25" i="94"/>
  <c r="F29" i="94"/>
  <c r="V29" i="94"/>
  <c r="F33" i="94"/>
  <c r="V33" i="94"/>
  <c r="F36" i="94"/>
  <c r="V36" i="94"/>
  <c r="R15" i="95"/>
  <c r="X16" i="95"/>
  <c r="P18" i="95"/>
  <c r="X20" i="95"/>
  <c r="R25" i="95"/>
  <c r="J27" i="95"/>
  <c r="R29" i="95"/>
  <c r="J31" i="95"/>
  <c r="R33" i="95"/>
  <c r="J34" i="95"/>
  <c r="R36" i="95"/>
  <c r="R16" i="93"/>
  <c r="J18" i="93"/>
  <c r="R20" i="93"/>
  <c r="F24" i="93"/>
  <c r="V24" i="93"/>
  <c r="X15" i="94"/>
  <c r="F18" i="94"/>
  <c r="V18" i="94"/>
  <c r="R24" i="94"/>
  <c r="J16" i="95"/>
  <c r="J20" i="95"/>
  <c r="F22" i="95"/>
  <c r="V22" i="95"/>
  <c r="X12" i="93"/>
  <c r="J21" i="93"/>
  <c r="F27" i="93"/>
  <c r="V27" i="93"/>
  <c r="F31" i="93"/>
  <c r="V31" i="93"/>
  <c r="F34" i="93"/>
  <c r="V34" i="93"/>
  <c r="F21" i="94"/>
  <c r="V21" i="94"/>
  <c r="R27" i="94"/>
  <c r="R31" i="94"/>
  <c r="R34" i="94"/>
  <c r="L12" i="95"/>
  <c r="F15" i="95"/>
  <c r="V15" i="95"/>
  <c r="D18" i="95"/>
  <c r="T18" i="95"/>
  <c r="R21" i="95"/>
  <c r="F25" i="95"/>
  <c r="V25" i="95"/>
  <c r="F29" i="95"/>
  <c r="V29" i="95"/>
  <c r="F33" i="95"/>
  <c r="V33" i="95"/>
  <c r="F36" i="95"/>
  <c r="V36" i="95"/>
  <c r="F16" i="93"/>
  <c r="V16" i="93"/>
  <c r="F20" i="93"/>
  <c r="V20" i="93"/>
  <c r="R22" i="93"/>
  <c r="J24" i="93"/>
  <c r="R16" i="94"/>
  <c r="R20" i="94"/>
  <c r="F24" i="94"/>
  <c r="V24" i="94"/>
  <c r="N12" i="95"/>
  <c r="F18" i="95"/>
  <c r="V18" i="95"/>
  <c r="J22" i="95"/>
  <c r="R24" i="95"/>
  <c r="P18" i="93"/>
  <c r="R25" i="93"/>
  <c r="J27" i="93"/>
  <c r="R29" i="93"/>
  <c r="J31" i="93"/>
  <c r="R33" i="93"/>
  <c r="J34" i="93"/>
  <c r="X12" i="94"/>
  <c r="F27" i="94"/>
  <c r="V27" i="94"/>
  <c r="F31" i="94"/>
  <c r="V31" i="94"/>
  <c r="F34" i="94"/>
  <c r="J15" i="95"/>
  <c r="H18" i="95"/>
  <c r="F21" i="95"/>
  <c r="V21" i="95"/>
  <c r="J25" i="95"/>
  <c r="R27" i="95"/>
  <c r="J29" i="95"/>
  <c r="R31" i="95"/>
  <c r="J33" i="95"/>
  <c r="J36" i="95"/>
  <c r="J16" i="93"/>
  <c r="J20" i="93"/>
  <c r="F16" i="94"/>
  <c r="J18" i="95"/>
  <c r="F24" i="95"/>
  <c r="V24" i="95"/>
  <c r="F15" i="93"/>
  <c r="D18" i="93"/>
  <c r="T18" i="93"/>
  <c r="F25" i="93"/>
  <c r="V25" i="93"/>
  <c r="F29" i="93"/>
  <c r="V29" i="93"/>
  <c r="F33" i="93"/>
  <c r="V33" i="93"/>
  <c r="R25" i="94"/>
  <c r="R29" i="94"/>
  <c r="R33" i="94"/>
  <c r="X12" i="95"/>
  <c r="F27" i="95"/>
  <c r="V27" i="95"/>
  <c r="F31" i="95"/>
  <c r="V31" i="95"/>
  <c r="Z18" i="38" l="1"/>
  <c r="X18" i="5"/>
  <c r="X18" i="17"/>
  <c r="X18" i="44"/>
  <c r="X18" i="27"/>
  <c r="Z18" i="22"/>
  <c r="H27" i="53"/>
  <c r="N27" i="53" s="1"/>
  <c r="X18" i="35"/>
  <c r="X18" i="52"/>
  <c r="L18" i="24"/>
  <c r="D27" i="24"/>
  <c r="L27" i="24" s="1"/>
  <c r="Z18" i="16"/>
  <c r="Z27" i="16"/>
  <c r="X18" i="33"/>
  <c r="Z27" i="8"/>
  <c r="X18" i="7"/>
  <c r="Z18" i="27"/>
  <c r="D51" i="64"/>
  <c r="L48" i="64"/>
  <c r="H67" i="59"/>
  <c r="N16" i="59"/>
  <c r="T27" i="50"/>
  <c r="Z18" i="50"/>
  <c r="H27" i="23"/>
  <c r="N18" i="23"/>
  <c r="X18" i="32"/>
  <c r="P27" i="32"/>
  <c r="P31" i="17"/>
  <c r="P75" i="92"/>
  <c r="R17" i="92"/>
  <c r="X17" i="92"/>
  <c r="T43" i="86"/>
  <c r="Z16" i="84"/>
  <c r="T53" i="84"/>
  <c r="P88" i="83"/>
  <c r="N16" i="81"/>
  <c r="H28" i="81"/>
  <c r="N16" i="80"/>
  <c r="H28" i="80"/>
  <c r="D59" i="87"/>
  <c r="L16" i="87"/>
  <c r="N16" i="77"/>
  <c r="H26" i="77"/>
  <c r="T36" i="75"/>
  <c r="P32" i="81"/>
  <c r="X21" i="73"/>
  <c r="P86" i="73"/>
  <c r="R91" i="65"/>
  <c r="R85" i="65"/>
  <c r="R78" i="65"/>
  <c r="R65" i="65"/>
  <c r="R62" i="65"/>
  <c r="R57" i="65"/>
  <c r="R53" i="65"/>
  <c r="R41" i="65"/>
  <c r="R34" i="65"/>
  <c r="R25" i="65"/>
  <c r="R88" i="65"/>
  <c r="R81" i="65"/>
  <c r="R68" i="65"/>
  <c r="R52" i="65"/>
  <c r="R45" i="65"/>
  <c r="R40" i="65"/>
  <c r="R24" i="65"/>
  <c r="R84" i="65"/>
  <c r="R64" i="65"/>
  <c r="R59" i="65"/>
  <c r="R56" i="65"/>
  <c r="R51" i="65"/>
  <c r="R39" i="65"/>
  <c r="P31" i="65"/>
  <c r="R23" i="65"/>
  <c r="R90" i="65"/>
  <c r="R74" i="65"/>
  <c r="R70" i="65"/>
  <c r="R67" i="65"/>
  <c r="R50" i="65"/>
  <c r="R38" i="65"/>
  <c r="R22" i="65"/>
  <c r="X12" i="65"/>
  <c r="Z12" i="65" s="1"/>
  <c r="R95" i="65"/>
  <c r="R77" i="65"/>
  <c r="R73" i="65"/>
  <c r="R61" i="65"/>
  <c r="R58" i="65"/>
  <c r="R49" i="65"/>
  <c r="R37" i="65"/>
  <c r="R29" i="65"/>
  <c r="R21" i="65"/>
  <c r="R87" i="65"/>
  <c r="R80" i="65"/>
  <c r="R76" i="65"/>
  <c r="R72" i="65"/>
  <c r="R69" i="65"/>
  <c r="R48" i="65"/>
  <c r="R44" i="65"/>
  <c r="R36" i="65"/>
  <c r="R33" i="65"/>
  <c r="R28" i="65"/>
  <c r="R20" i="65"/>
  <c r="R89" i="65"/>
  <c r="R83" i="65"/>
  <c r="R79" i="65"/>
  <c r="R63" i="65"/>
  <c r="R60" i="65"/>
  <c r="R55" i="65"/>
  <c r="R47" i="65"/>
  <c r="R43" i="65"/>
  <c r="R35" i="65"/>
  <c r="R27" i="65"/>
  <c r="R71" i="65"/>
  <c r="R42" i="65"/>
  <c r="R75" i="65"/>
  <c r="R46" i="65"/>
  <c r="R54" i="65"/>
  <c r="R26" i="65"/>
  <c r="R19" i="65"/>
  <c r="R66" i="65"/>
  <c r="R82" i="65"/>
  <c r="H93" i="65"/>
  <c r="P44" i="64"/>
  <c r="X17" i="64"/>
  <c r="Z17" i="62"/>
  <c r="T101" i="62"/>
  <c r="X17" i="62"/>
  <c r="D79" i="56"/>
  <c r="L75" i="56"/>
  <c r="D75" i="48"/>
  <c r="L17" i="48"/>
  <c r="N17" i="48" s="1"/>
  <c r="H27" i="46"/>
  <c r="N18" i="46"/>
  <c r="P31" i="44"/>
  <c r="X18" i="49"/>
  <c r="P27" i="49"/>
  <c r="L18" i="47"/>
  <c r="D27" i="47"/>
  <c r="N75" i="56"/>
  <c r="H79" i="56"/>
  <c r="T27" i="46"/>
  <c r="X27" i="46" s="1"/>
  <c r="Z18" i="46"/>
  <c r="R107" i="42"/>
  <c r="R95" i="42"/>
  <c r="R87" i="42"/>
  <c r="R79" i="42"/>
  <c r="R71" i="42"/>
  <c r="R68" i="42"/>
  <c r="R63" i="42"/>
  <c r="R51" i="42"/>
  <c r="R48" i="42"/>
  <c r="R43" i="42"/>
  <c r="R31" i="42"/>
  <c r="R103" i="42"/>
  <c r="R98" i="42"/>
  <c r="R94" i="42"/>
  <c r="R86" i="42"/>
  <c r="R83" i="42"/>
  <c r="R78" i="42"/>
  <c r="R75" i="42"/>
  <c r="R62" i="42"/>
  <c r="R59" i="42"/>
  <c r="R42" i="42"/>
  <c r="R30" i="42"/>
  <c r="R22" i="42"/>
  <c r="X12" i="42"/>
  <c r="Z12" i="42" s="1"/>
  <c r="R109" i="42"/>
  <c r="R97" i="42"/>
  <c r="R93" i="42"/>
  <c r="R70" i="42"/>
  <c r="R65" i="42"/>
  <c r="R53" i="42"/>
  <c r="R50" i="42"/>
  <c r="R41" i="42"/>
  <c r="R29" i="42"/>
  <c r="R26" i="42"/>
  <c r="R21" i="42"/>
  <c r="R114" i="42"/>
  <c r="R100" i="42"/>
  <c r="R92" i="42"/>
  <c r="R85" i="42"/>
  <c r="R77" i="42"/>
  <c r="R61" i="42"/>
  <c r="R56" i="42"/>
  <c r="R40" i="42"/>
  <c r="R36" i="42"/>
  <c r="R28" i="42"/>
  <c r="R20" i="42"/>
  <c r="R106" i="42"/>
  <c r="R96" i="42"/>
  <c r="R91" i="42"/>
  <c r="R67" i="42"/>
  <c r="R64" i="42"/>
  <c r="R55" i="42"/>
  <c r="R52" i="42"/>
  <c r="R47" i="42"/>
  <c r="R39" i="42"/>
  <c r="R35" i="42"/>
  <c r="R108" i="42"/>
  <c r="R102" i="42"/>
  <c r="R99" i="42"/>
  <c r="R90" i="42"/>
  <c r="R82" i="42"/>
  <c r="R74" i="42"/>
  <c r="R58" i="42"/>
  <c r="R46" i="42"/>
  <c r="R38" i="42"/>
  <c r="R34" i="42"/>
  <c r="R27" i="42"/>
  <c r="R19" i="42"/>
  <c r="R89" i="42"/>
  <c r="R81" i="42"/>
  <c r="R73" i="42"/>
  <c r="R69" i="42"/>
  <c r="R66" i="42"/>
  <c r="R54" i="42"/>
  <c r="R49" i="42"/>
  <c r="R45" i="42"/>
  <c r="R33" i="42"/>
  <c r="R60" i="42"/>
  <c r="R32" i="42"/>
  <c r="R104" i="42"/>
  <c r="R57" i="42"/>
  <c r="R37" i="42"/>
  <c r="P24" i="42"/>
  <c r="R24" i="42" s="1"/>
  <c r="R110" i="42"/>
  <c r="R76" i="42"/>
  <c r="R72" i="42"/>
  <c r="R101" i="42"/>
  <c r="R88" i="42"/>
  <c r="R80" i="42"/>
  <c r="R44" i="42"/>
  <c r="R84" i="42"/>
  <c r="H27" i="41"/>
  <c r="N18" i="41"/>
  <c r="X18" i="50"/>
  <c r="R111" i="39"/>
  <c r="R105" i="39"/>
  <c r="R102" i="39"/>
  <c r="R93" i="39"/>
  <c r="R85" i="39"/>
  <c r="R92" i="39"/>
  <c r="R113" i="39"/>
  <c r="R107" i="39"/>
  <c r="R104" i="39"/>
  <c r="R91" i="39"/>
  <c r="R87" i="39"/>
  <c r="R83" i="39"/>
  <c r="R79" i="39"/>
  <c r="R75" i="39"/>
  <c r="R71" i="39"/>
  <c r="R110" i="39"/>
  <c r="R98" i="39"/>
  <c r="R90" i="39"/>
  <c r="R112" i="39"/>
  <c r="R100" i="39"/>
  <c r="R96" i="39"/>
  <c r="R117" i="39"/>
  <c r="R103" i="39"/>
  <c r="R95" i="39"/>
  <c r="R68" i="39"/>
  <c r="R56" i="39"/>
  <c r="R51" i="39"/>
  <c r="R47" i="39"/>
  <c r="R35" i="39"/>
  <c r="R28" i="39"/>
  <c r="R20" i="39"/>
  <c r="R109" i="39"/>
  <c r="R106" i="39"/>
  <c r="R94" i="39"/>
  <c r="R82" i="39"/>
  <c r="R62" i="39"/>
  <c r="R59" i="39"/>
  <c r="R46" i="39"/>
  <c r="R39" i="39"/>
  <c r="R34" i="39"/>
  <c r="R97" i="39"/>
  <c r="R86" i="39"/>
  <c r="R81" i="39"/>
  <c r="R80" i="39"/>
  <c r="R70" i="39"/>
  <c r="R65" i="39"/>
  <c r="R53" i="39"/>
  <c r="R50" i="39"/>
  <c r="R45" i="39"/>
  <c r="R33" i="39"/>
  <c r="P25" i="39"/>
  <c r="R101" i="39"/>
  <c r="R84" i="39"/>
  <c r="R78" i="39"/>
  <c r="R64" i="39"/>
  <c r="R61" i="39"/>
  <c r="R44" i="39"/>
  <c r="R32" i="39"/>
  <c r="X12" i="39"/>
  <c r="Z12" i="39" s="1"/>
  <c r="R88" i="39"/>
  <c r="R77" i="39"/>
  <c r="R74" i="39"/>
  <c r="R67" i="39"/>
  <c r="R55" i="39"/>
  <c r="R52" i="39"/>
  <c r="R43" i="39"/>
  <c r="R31" i="39"/>
  <c r="R23" i="39"/>
  <c r="R89" i="39"/>
  <c r="R73" i="39"/>
  <c r="R63" i="39"/>
  <c r="R58" i="39"/>
  <c r="R42" i="39"/>
  <c r="R38" i="39"/>
  <c r="R30" i="39"/>
  <c r="R27" i="39"/>
  <c r="R22" i="39"/>
  <c r="R99" i="39"/>
  <c r="R76" i="39"/>
  <c r="R72" i="39"/>
  <c r="R69" i="39"/>
  <c r="R66" i="39"/>
  <c r="R57" i="39"/>
  <c r="R54" i="39"/>
  <c r="R49" i="39"/>
  <c r="R41" i="39"/>
  <c r="R37" i="39"/>
  <c r="R29" i="39"/>
  <c r="R21" i="39"/>
  <c r="R60" i="39"/>
  <c r="R36" i="39"/>
  <c r="R48" i="39"/>
  <c r="R40" i="39"/>
  <c r="H122" i="28"/>
  <c r="T31" i="32"/>
  <c r="Z27" i="32"/>
  <c r="H27" i="29"/>
  <c r="L27" i="29" s="1"/>
  <c r="N18" i="29"/>
  <c r="T27" i="30"/>
  <c r="Z18" i="30"/>
  <c r="H27" i="40"/>
  <c r="N18" i="40"/>
  <c r="L40" i="28"/>
  <c r="N40" i="28" s="1"/>
  <c r="D122" i="28"/>
  <c r="Z18" i="23"/>
  <c r="T27" i="23"/>
  <c r="P31" i="23"/>
  <c r="D27" i="17"/>
  <c r="L18" i="17"/>
  <c r="H159" i="18"/>
  <c r="H27" i="11"/>
  <c r="N18" i="11"/>
  <c r="D97" i="9"/>
  <c r="L16" i="9"/>
  <c r="H27" i="8"/>
  <c r="N18" i="8"/>
  <c r="T36" i="16"/>
  <c r="Z36" i="16" s="1"/>
  <c r="Z31" i="16"/>
  <c r="L18" i="13"/>
  <c r="D27" i="13"/>
  <c r="T79" i="31"/>
  <c r="H27" i="4"/>
  <c r="L27" i="4" s="1"/>
  <c r="N18" i="4"/>
  <c r="H176" i="3"/>
  <c r="L18" i="53"/>
  <c r="D27" i="53"/>
  <c r="P83" i="58"/>
  <c r="L18" i="49"/>
  <c r="D27" i="49"/>
  <c r="H115" i="39"/>
  <c r="T31" i="27"/>
  <c r="Z27" i="27"/>
  <c r="H97" i="9"/>
  <c r="N16" i="9"/>
  <c r="D31" i="4"/>
  <c r="X18" i="93"/>
  <c r="P27" i="93"/>
  <c r="X18" i="95"/>
  <c r="P27" i="95"/>
  <c r="H27" i="94"/>
  <c r="N18" i="94"/>
  <c r="P92" i="91"/>
  <c r="X23" i="91"/>
  <c r="P53" i="84"/>
  <c r="X16" i="84"/>
  <c r="D32" i="85"/>
  <c r="D77" i="78"/>
  <c r="L16" i="78"/>
  <c r="R16" i="72"/>
  <c r="R23" i="72"/>
  <c r="R19" i="72"/>
  <c r="P19" i="72"/>
  <c r="R27" i="72"/>
  <c r="R17" i="72"/>
  <c r="R21" i="72"/>
  <c r="X12" i="72"/>
  <c r="Z12" i="72" s="1"/>
  <c r="H81" i="78"/>
  <c r="H29" i="72"/>
  <c r="R108" i="67"/>
  <c r="R84" i="67"/>
  <c r="R81" i="67"/>
  <c r="R60" i="67"/>
  <c r="R53" i="67"/>
  <c r="R48" i="67"/>
  <c r="R99" i="67"/>
  <c r="R91" i="67"/>
  <c r="R87" i="67"/>
  <c r="R75" i="67"/>
  <c r="R72" i="67"/>
  <c r="R67" i="67"/>
  <c r="R64" i="67"/>
  <c r="R59" i="67"/>
  <c r="R105" i="67"/>
  <c r="R98" i="67"/>
  <c r="R94" i="67"/>
  <c r="R90" i="67"/>
  <c r="R86" i="67"/>
  <c r="R83" i="67"/>
  <c r="R107" i="67"/>
  <c r="R101" i="67"/>
  <c r="R97" i="67"/>
  <c r="R93" i="67"/>
  <c r="R89" i="67"/>
  <c r="R77" i="67"/>
  <c r="R74" i="67"/>
  <c r="R69" i="67"/>
  <c r="R66" i="67"/>
  <c r="R57" i="67"/>
  <c r="R45" i="67"/>
  <c r="R42" i="67"/>
  <c r="R112" i="67"/>
  <c r="R96" i="67"/>
  <c r="R85" i="67"/>
  <c r="R80" i="67"/>
  <c r="R56" i="67"/>
  <c r="R52" i="67"/>
  <c r="R103" i="67"/>
  <c r="R100" i="67"/>
  <c r="R92" i="67"/>
  <c r="R88" i="67"/>
  <c r="R76" i="67"/>
  <c r="R71" i="67"/>
  <c r="R68" i="67"/>
  <c r="R63" i="67"/>
  <c r="R55" i="67"/>
  <c r="R51" i="67"/>
  <c r="R106" i="67"/>
  <c r="R95" i="67"/>
  <c r="R82" i="67"/>
  <c r="R79" i="67"/>
  <c r="R62" i="67"/>
  <c r="R54" i="67"/>
  <c r="R50" i="67"/>
  <c r="R43" i="67"/>
  <c r="P40" i="67"/>
  <c r="R31" i="67"/>
  <c r="R23" i="67"/>
  <c r="R38" i="67"/>
  <c r="R30" i="67"/>
  <c r="R22" i="67"/>
  <c r="X12" i="67"/>
  <c r="Z12" i="67" s="1"/>
  <c r="R65" i="67"/>
  <c r="R49" i="67"/>
  <c r="R44" i="67"/>
  <c r="R37" i="67"/>
  <c r="R29" i="67"/>
  <c r="R21" i="67"/>
  <c r="R73" i="67"/>
  <c r="R61" i="67"/>
  <c r="R36" i="67"/>
  <c r="R28" i="67"/>
  <c r="R20" i="67"/>
  <c r="R35" i="67"/>
  <c r="R27" i="67"/>
  <c r="R78" i="67"/>
  <c r="R58" i="67"/>
  <c r="R34" i="67"/>
  <c r="R26" i="67"/>
  <c r="R19" i="67"/>
  <c r="R102" i="67"/>
  <c r="R70" i="67"/>
  <c r="R33" i="67"/>
  <c r="R25" i="67"/>
  <c r="R47" i="67"/>
  <c r="R24" i="67"/>
  <c r="R32" i="67"/>
  <c r="R46" i="67"/>
  <c r="R40" i="67"/>
  <c r="R77" i="71"/>
  <c r="R71" i="71"/>
  <c r="R64" i="71"/>
  <c r="R60" i="71"/>
  <c r="R53" i="71"/>
  <c r="R48" i="71"/>
  <c r="R45" i="71"/>
  <c r="R40" i="71"/>
  <c r="R28" i="71"/>
  <c r="P20" i="71"/>
  <c r="R67" i="71"/>
  <c r="R63" i="71"/>
  <c r="R59" i="71"/>
  <c r="R56" i="71"/>
  <c r="R62" i="71"/>
  <c r="R50" i="71"/>
  <c r="R47" i="71"/>
  <c r="R38" i="71"/>
  <c r="R26" i="71"/>
  <c r="R75" i="71"/>
  <c r="R69" i="71"/>
  <c r="R66" i="71"/>
  <c r="R58" i="71"/>
  <c r="R37" i="71"/>
  <c r="R33" i="71"/>
  <c r="R25" i="71"/>
  <c r="R22" i="71"/>
  <c r="R17" i="71"/>
  <c r="R80" i="71"/>
  <c r="R73" i="71"/>
  <c r="R61" i="71"/>
  <c r="R52" i="71"/>
  <c r="R49" i="71"/>
  <c r="R44" i="71"/>
  <c r="R36" i="71"/>
  <c r="R32" i="71"/>
  <c r="R24" i="71"/>
  <c r="X12" i="71"/>
  <c r="Z12" i="71" s="1"/>
  <c r="R68" i="71"/>
  <c r="R55" i="71"/>
  <c r="R43" i="71"/>
  <c r="R35" i="71"/>
  <c r="R31" i="71"/>
  <c r="R16" i="71"/>
  <c r="R54" i="71"/>
  <c r="R51" i="71"/>
  <c r="R46" i="71"/>
  <c r="R42" i="71"/>
  <c r="R30" i="71"/>
  <c r="R23" i="71"/>
  <c r="R41" i="71"/>
  <c r="R34" i="71"/>
  <c r="R29" i="71"/>
  <c r="R57" i="71"/>
  <c r="R27" i="71"/>
  <c r="R65" i="71"/>
  <c r="R39" i="71"/>
  <c r="R18" i="71"/>
  <c r="R20" i="71"/>
  <c r="Z17" i="64"/>
  <c r="T44" i="64"/>
  <c r="T84" i="63"/>
  <c r="D101" i="62"/>
  <c r="L17" i="62"/>
  <c r="P61" i="61"/>
  <c r="X57" i="61"/>
  <c r="T27" i="53"/>
  <c r="Z18" i="53"/>
  <c r="T65" i="60"/>
  <c r="H76" i="58"/>
  <c r="N16" i="58"/>
  <c r="P35" i="55"/>
  <c r="D27" i="46"/>
  <c r="L18" i="46"/>
  <c r="D31" i="54"/>
  <c r="L26" i="54"/>
  <c r="F72" i="48"/>
  <c r="P75" i="48"/>
  <c r="X17" i="48"/>
  <c r="T27" i="33"/>
  <c r="X27" i="33" s="1"/>
  <c r="Z18" i="33"/>
  <c r="X18" i="30"/>
  <c r="P27" i="30"/>
  <c r="H93" i="25"/>
  <c r="J31" i="25"/>
  <c r="P36" i="35"/>
  <c r="H27" i="17"/>
  <c r="N18" i="17"/>
  <c r="H27" i="16"/>
  <c r="L27" i="16" s="1"/>
  <c r="N18" i="16"/>
  <c r="F152" i="18"/>
  <c r="F150" i="18"/>
  <c r="F145" i="18"/>
  <c r="F133" i="18"/>
  <c r="F129" i="18"/>
  <c r="F125" i="18"/>
  <c r="F121" i="18"/>
  <c r="F117" i="18"/>
  <c r="F101" i="18"/>
  <c r="F89" i="18"/>
  <c r="F73" i="18"/>
  <c r="F69" i="18"/>
  <c r="F61" i="18"/>
  <c r="F53" i="18"/>
  <c r="F45" i="18"/>
  <c r="F37" i="18"/>
  <c r="F29" i="18"/>
  <c r="F157" i="18"/>
  <c r="F148" i="18"/>
  <c r="F144" i="18"/>
  <c r="F132" i="18"/>
  <c r="F128" i="18"/>
  <c r="F124" i="18"/>
  <c r="F120" i="18"/>
  <c r="F116" i="18"/>
  <c r="F112" i="18"/>
  <c r="F107" i="18"/>
  <c r="F104" i="18"/>
  <c r="F100" i="18"/>
  <c r="F95" i="18"/>
  <c r="F92" i="18"/>
  <c r="F88" i="18"/>
  <c r="F83" i="18"/>
  <c r="F80" i="18"/>
  <c r="F72" i="18"/>
  <c r="F68" i="18"/>
  <c r="F60" i="18"/>
  <c r="F52" i="18"/>
  <c r="F44" i="18"/>
  <c r="F36" i="18"/>
  <c r="F28" i="18"/>
  <c r="F154" i="18"/>
  <c r="F138" i="18"/>
  <c r="F131" i="18"/>
  <c r="F119" i="18"/>
  <c r="F115" i="18"/>
  <c r="F103" i="18"/>
  <c r="F91" i="18"/>
  <c r="F79" i="18"/>
  <c r="F71" i="18"/>
  <c r="F67" i="18"/>
  <c r="F58" i="18"/>
  <c r="F51" i="18"/>
  <c r="F43" i="18"/>
  <c r="F35" i="18"/>
  <c r="F27" i="18"/>
  <c r="F151" i="18"/>
  <c r="F141" i="18"/>
  <c r="F114" i="18"/>
  <c r="F109" i="18"/>
  <c r="F106" i="18"/>
  <c r="F97" i="18"/>
  <c r="F94" i="18"/>
  <c r="F85" i="18"/>
  <c r="F82" i="18"/>
  <c r="F78" i="18"/>
  <c r="F66" i="18"/>
  <c r="F50" i="18"/>
  <c r="F42" i="18"/>
  <c r="F34" i="18"/>
  <c r="F26" i="18"/>
  <c r="F21" i="18"/>
  <c r="L12" i="18"/>
  <c r="N12" i="18" s="1"/>
  <c r="F161" i="18"/>
  <c r="F156" i="18"/>
  <c r="F137" i="18"/>
  <c r="F77" i="18"/>
  <c r="F65" i="18"/>
  <c r="F49" i="18"/>
  <c r="F41" i="18"/>
  <c r="F33" i="18"/>
  <c r="F25" i="18"/>
  <c r="F153" i="18"/>
  <c r="F147" i="18"/>
  <c r="F143" i="18"/>
  <c r="F140" i="18"/>
  <c r="F136" i="18"/>
  <c r="F127" i="18"/>
  <c r="F123" i="18"/>
  <c r="F111" i="18"/>
  <c r="F108" i="18"/>
  <c r="F99" i="18"/>
  <c r="F96" i="18"/>
  <c r="F87" i="18"/>
  <c r="F84" i="18"/>
  <c r="F76" i="18"/>
  <c r="F64" i="18"/>
  <c r="F59" i="18"/>
  <c r="F48" i="18"/>
  <c r="F40" i="18"/>
  <c r="F32" i="18"/>
  <c r="F24" i="18"/>
  <c r="F139" i="18"/>
  <c r="F135" i="18"/>
  <c r="F130" i="18"/>
  <c r="F118" i="18"/>
  <c r="F102" i="18"/>
  <c r="F90" i="18"/>
  <c r="F75" i="18"/>
  <c r="F70" i="18"/>
  <c r="F63" i="18"/>
  <c r="F47" i="18"/>
  <c r="F39" i="18"/>
  <c r="F31" i="18"/>
  <c r="F23" i="18"/>
  <c r="F113" i="18"/>
  <c r="F105" i="18"/>
  <c r="F30" i="18"/>
  <c r="F155" i="18"/>
  <c r="F86" i="18"/>
  <c r="F142" i="18"/>
  <c r="F134" i="18"/>
  <c r="F122" i="18"/>
  <c r="F110" i="18"/>
  <c r="F93" i="18"/>
  <c r="F126" i="18"/>
  <c r="F54" i="18"/>
  <c r="F38" i="18"/>
  <c r="F146" i="18"/>
  <c r="F98" i="18"/>
  <c r="F74" i="18"/>
  <c r="F22" i="18"/>
  <c r="F62" i="18"/>
  <c r="D56" i="18"/>
  <c r="F46" i="18"/>
  <c r="F81" i="18"/>
  <c r="H27" i="30"/>
  <c r="N18" i="30"/>
  <c r="D36" i="19"/>
  <c r="H27" i="10"/>
  <c r="N18" i="10"/>
  <c r="X16" i="6"/>
  <c r="P22" i="6"/>
  <c r="X18" i="11"/>
  <c r="P27" i="11"/>
  <c r="F153" i="15"/>
  <c r="F148" i="15"/>
  <c r="F132" i="15"/>
  <c r="F125" i="15"/>
  <c r="F113" i="15"/>
  <c r="F109" i="15"/>
  <c r="F97" i="15"/>
  <c r="F145" i="15"/>
  <c r="F135" i="15"/>
  <c r="F108" i="15"/>
  <c r="F103" i="15"/>
  <c r="F100" i="15"/>
  <c r="F91" i="15"/>
  <c r="F88" i="15"/>
  <c r="F79" i="15"/>
  <c r="F131" i="15"/>
  <c r="F147" i="15"/>
  <c r="F141" i="15"/>
  <c r="F137" i="15"/>
  <c r="F134" i="15"/>
  <c r="F130" i="15"/>
  <c r="F121" i="15"/>
  <c r="F117" i="15"/>
  <c r="F105" i="15"/>
  <c r="F102" i="15"/>
  <c r="F93" i="15"/>
  <c r="F90" i="15"/>
  <c r="F81" i="15"/>
  <c r="F78" i="15"/>
  <c r="F133" i="15"/>
  <c r="F129" i="15"/>
  <c r="F124" i="15"/>
  <c r="F149" i="15"/>
  <c r="F140" i="15"/>
  <c r="F136" i="15"/>
  <c r="F128" i="15"/>
  <c r="F120" i="15"/>
  <c r="F116" i="15"/>
  <c r="F107" i="15"/>
  <c r="F104" i="15"/>
  <c r="F99" i="15"/>
  <c r="F92" i="15"/>
  <c r="F146" i="15"/>
  <c r="F144" i="15"/>
  <c r="F139" i="15"/>
  <c r="F127" i="15"/>
  <c r="F123" i="15"/>
  <c r="F119" i="15"/>
  <c r="F115" i="15"/>
  <c r="F111" i="15"/>
  <c r="F95" i="15"/>
  <c r="F118" i="15"/>
  <c r="F112" i="15"/>
  <c r="F89" i="15"/>
  <c r="F87" i="15"/>
  <c r="F73" i="15"/>
  <c r="F65" i="15"/>
  <c r="F61" i="15"/>
  <c r="F52" i="15"/>
  <c r="F45" i="15"/>
  <c r="F37" i="15"/>
  <c r="F29" i="15"/>
  <c r="F142" i="15"/>
  <c r="F96" i="15"/>
  <c r="F77" i="15"/>
  <c r="F72" i="15"/>
  <c r="F60" i="15"/>
  <c r="F44" i="15"/>
  <c r="F36" i="15"/>
  <c r="F28" i="15"/>
  <c r="F122" i="15"/>
  <c r="F101" i="15"/>
  <c r="F71" i="15"/>
  <c r="F59" i="15"/>
  <c r="F43" i="15"/>
  <c r="F35" i="15"/>
  <c r="F27" i="15"/>
  <c r="F110" i="15"/>
  <c r="F106" i="15"/>
  <c r="F76" i="15"/>
  <c r="F70" i="15"/>
  <c r="F58" i="15"/>
  <c r="F53" i="15"/>
  <c r="F42" i="15"/>
  <c r="F34" i="15"/>
  <c r="F26" i="15"/>
  <c r="F21" i="15"/>
  <c r="L12" i="15"/>
  <c r="N12" i="15" s="1"/>
  <c r="F114" i="15"/>
  <c r="F94" i="15"/>
  <c r="F82" i="15"/>
  <c r="F80" i="15"/>
  <c r="F69" i="15"/>
  <c r="F64" i="15"/>
  <c r="F57" i="15"/>
  <c r="F41" i="15"/>
  <c r="F33" i="15"/>
  <c r="F25" i="15"/>
  <c r="F138" i="15"/>
  <c r="F98" i="15"/>
  <c r="F83" i="15"/>
  <c r="F75" i="15"/>
  <c r="F68" i="15"/>
  <c r="F56" i="15"/>
  <c r="D50" i="15"/>
  <c r="F50" i="15" s="1"/>
  <c r="F48" i="15"/>
  <c r="F40" i="15"/>
  <c r="F32" i="15"/>
  <c r="F24" i="15"/>
  <c r="F126" i="15"/>
  <c r="F84" i="15"/>
  <c r="F67" i="15"/>
  <c r="F63" i="15"/>
  <c r="F55" i="15"/>
  <c r="F47" i="15"/>
  <c r="F39" i="15"/>
  <c r="F31" i="15"/>
  <c r="F23" i="15"/>
  <c r="F85" i="15"/>
  <c r="F54" i="15"/>
  <c r="F30" i="15"/>
  <c r="F86" i="15"/>
  <c r="F66" i="15"/>
  <c r="F74" i="15"/>
  <c r="F46" i="15"/>
  <c r="F62" i="15"/>
  <c r="F38" i="15"/>
  <c r="F22" i="15"/>
  <c r="X18" i="13"/>
  <c r="P27" i="13"/>
  <c r="F78" i="88"/>
  <c r="F74" i="88"/>
  <c r="F46" i="88"/>
  <c r="F38" i="88"/>
  <c r="F34" i="88"/>
  <c r="F84" i="88"/>
  <c r="F77" i="88"/>
  <c r="F73" i="88"/>
  <c r="F69" i="88"/>
  <c r="F65" i="88"/>
  <c r="F60" i="88"/>
  <c r="F57" i="88"/>
  <c r="F52" i="88"/>
  <c r="F49" i="88"/>
  <c r="F45" i="88"/>
  <c r="F33" i="88"/>
  <c r="F76" i="88"/>
  <c r="F72" i="88"/>
  <c r="F68" i="88"/>
  <c r="F44" i="88"/>
  <c r="F86" i="88"/>
  <c r="F83" i="88"/>
  <c r="F71" i="88"/>
  <c r="F67" i="88"/>
  <c r="F62" i="88"/>
  <c r="F59" i="88"/>
  <c r="F54" i="88"/>
  <c r="F51" i="88"/>
  <c r="F43" i="88"/>
  <c r="F31" i="88"/>
  <c r="F26" i="88"/>
  <c r="F18" i="88"/>
  <c r="F82" i="88"/>
  <c r="F42" i="88"/>
  <c r="F37" i="88"/>
  <c r="F30" i="88"/>
  <c r="F89" i="88"/>
  <c r="F80" i="88"/>
  <c r="F75" i="88"/>
  <c r="F40" i="88"/>
  <c r="F36" i="88"/>
  <c r="F28" i="88"/>
  <c r="F20" i="88"/>
  <c r="L12" i="88"/>
  <c r="N12" i="88" s="1"/>
  <c r="F79" i="88"/>
  <c r="F50" i="88"/>
  <c r="F32" i="88"/>
  <c r="F29" i="88"/>
  <c r="F87" i="88"/>
  <c r="F64" i="88"/>
  <c r="F58" i="88"/>
  <c r="F70" i="88"/>
  <c r="F66" i="88"/>
  <c r="F53" i="88"/>
  <c r="F19" i="88"/>
  <c r="F93" i="88"/>
  <c r="F85" i="88"/>
  <c r="F81" i="88"/>
  <c r="F55" i="88"/>
  <c r="F48" i="88"/>
  <c r="F35" i="88"/>
  <c r="F25" i="88"/>
  <c r="D23" i="88"/>
  <c r="F63" i="88"/>
  <c r="F56" i="88"/>
  <c r="F41" i="88"/>
  <c r="F27" i="88"/>
  <c r="F61" i="88"/>
  <c r="F21" i="88"/>
  <c r="F39" i="88"/>
  <c r="F47" i="88"/>
  <c r="Z16" i="80"/>
  <c r="T28" i="80"/>
  <c r="P90" i="74"/>
  <c r="X24" i="74"/>
  <c r="Z24" i="74" s="1"/>
  <c r="F88" i="73"/>
  <c r="F82" i="73"/>
  <c r="F74" i="73"/>
  <c r="F70" i="73"/>
  <c r="F66" i="73"/>
  <c r="F49" i="73"/>
  <c r="F46" i="73"/>
  <c r="F42" i="73"/>
  <c r="F30" i="73"/>
  <c r="F73" i="73"/>
  <c r="F69" i="73"/>
  <c r="F65" i="73"/>
  <c r="F60" i="73"/>
  <c r="F57" i="73"/>
  <c r="F41" i="73"/>
  <c r="F29" i="73"/>
  <c r="F24" i="73"/>
  <c r="F16" i="73"/>
  <c r="F51" i="73"/>
  <c r="F48" i="73"/>
  <c r="F40" i="73"/>
  <c r="F28" i="73"/>
  <c r="F21" i="73"/>
  <c r="F78" i="73"/>
  <c r="F62" i="73"/>
  <c r="F59" i="73"/>
  <c r="F54" i="73"/>
  <c r="F39" i="73"/>
  <c r="F34" i="73"/>
  <c r="F27" i="73"/>
  <c r="D21" i="73"/>
  <c r="F19" i="73"/>
  <c r="F81" i="73"/>
  <c r="F50" i="73"/>
  <c r="F45" i="73"/>
  <c r="F38" i="73"/>
  <c r="F26" i="73"/>
  <c r="F18" i="73"/>
  <c r="F77" i="73"/>
  <c r="F72" i="73"/>
  <c r="F68" i="73"/>
  <c r="F64" i="73"/>
  <c r="F61" i="73"/>
  <c r="F56" i="73"/>
  <c r="F53" i="73"/>
  <c r="F37" i="73"/>
  <c r="F33" i="73"/>
  <c r="F25" i="73"/>
  <c r="F17" i="73"/>
  <c r="F80" i="73"/>
  <c r="F76" i="73"/>
  <c r="F52" i="73"/>
  <c r="F47" i="73"/>
  <c r="F44" i="73"/>
  <c r="F36" i="73"/>
  <c r="F32" i="73"/>
  <c r="F23" i="73"/>
  <c r="L12" i="73"/>
  <c r="N12" i="73" s="1"/>
  <c r="F55" i="73"/>
  <c r="F75" i="73"/>
  <c r="F43" i="73"/>
  <c r="F79" i="73"/>
  <c r="F35" i="73"/>
  <c r="F84" i="73"/>
  <c r="F58" i="73"/>
  <c r="F31" i="73"/>
  <c r="F63" i="73"/>
  <c r="F67" i="73"/>
  <c r="F71" i="73"/>
  <c r="L18" i="52"/>
  <c r="D27" i="52"/>
  <c r="L18" i="93"/>
  <c r="D27" i="93"/>
  <c r="H27" i="95"/>
  <c r="N18" i="95"/>
  <c r="L18" i="95"/>
  <c r="D27" i="95"/>
  <c r="P31" i="94"/>
  <c r="H92" i="91"/>
  <c r="T24" i="89"/>
  <c r="Z16" i="89"/>
  <c r="X16" i="89"/>
  <c r="T59" i="87"/>
  <c r="Z16" i="87"/>
  <c r="P31" i="89"/>
  <c r="L16" i="84"/>
  <c r="D53" i="84"/>
  <c r="T96" i="90"/>
  <c r="H91" i="88"/>
  <c r="X16" i="87"/>
  <c r="Z16" i="81"/>
  <c r="T28" i="81"/>
  <c r="X28" i="81" s="1"/>
  <c r="L16" i="80"/>
  <c r="D28" i="80"/>
  <c r="H91" i="76"/>
  <c r="H94" i="74"/>
  <c r="Z23" i="68"/>
  <c r="T75" i="68"/>
  <c r="H110" i="67"/>
  <c r="H51" i="64"/>
  <c r="N48" i="64"/>
  <c r="L16" i="58"/>
  <c r="D76" i="58"/>
  <c r="P71" i="57"/>
  <c r="D84" i="63"/>
  <c r="L30" i="63"/>
  <c r="N30" i="63" s="1"/>
  <c r="P75" i="56"/>
  <c r="X16" i="56"/>
  <c r="R74" i="51"/>
  <c r="R67" i="51"/>
  <c r="R64" i="51"/>
  <c r="R59" i="51"/>
  <c r="R56" i="51"/>
  <c r="R51" i="51"/>
  <c r="R39" i="51"/>
  <c r="P31" i="51"/>
  <c r="R23" i="51"/>
  <c r="R76" i="51"/>
  <c r="R70" i="51"/>
  <c r="R50" i="51"/>
  <c r="R38" i="51"/>
  <c r="R22" i="51"/>
  <c r="X12" i="51"/>
  <c r="Z12" i="51" s="1"/>
  <c r="R81" i="51"/>
  <c r="R69" i="51"/>
  <c r="R66" i="51"/>
  <c r="R61" i="51"/>
  <c r="R58" i="51"/>
  <c r="R49" i="51"/>
  <c r="R37" i="51"/>
  <c r="R29" i="51"/>
  <c r="R21" i="51"/>
  <c r="R72" i="51"/>
  <c r="R48" i="51"/>
  <c r="R44" i="51"/>
  <c r="R36" i="51"/>
  <c r="R33" i="51"/>
  <c r="R28" i="51"/>
  <c r="R20" i="51"/>
  <c r="R75" i="51"/>
  <c r="R68" i="51"/>
  <c r="R63" i="51"/>
  <c r="R60" i="51"/>
  <c r="R55" i="51"/>
  <c r="R47" i="51"/>
  <c r="R43" i="51"/>
  <c r="R35" i="51"/>
  <c r="R27" i="51"/>
  <c r="R71" i="51"/>
  <c r="R54" i="51"/>
  <c r="R46" i="51"/>
  <c r="R42" i="51"/>
  <c r="R26" i="51"/>
  <c r="R19" i="51"/>
  <c r="R77" i="51"/>
  <c r="R65" i="51"/>
  <c r="R62" i="51"/>
  <c r="R57" i="51"/>
  <c r="R53" i="51"/>
  <c r="R41" i="51"/>
  <c r="R34" i="51"/>
  <c r="R25" i="51"/>
  <c r="R45" i="51"/>
  <c r="R31" i="51"/>
  <c r="R24" i="51"/>
  <c r="R40" i="51"/>
  <c r="R52" i="51"/>
  <c r="T79" i="51"/>
  <c r="H31" i="54"/>
  <c r="N26" i="54"/>
  <c r="P31" i="46"/>
  <c r="L18" i="44"/>
  <c r="D27" i="44"/>
  <c r="F91" i="42"/>
  <c r="F70" i="42"/>
  <c r="F67" i="42"/>
  <c r="F55" i="42"/>
  <c r="F50" i="42"/>
  <c r="F47" i="42"/>
  <c r="F39" i="42"/>
  <c r="F35" i="42"/>
  <c r="F26" i="42"/>
  <c r="F102" i="42"/>
  <c r="F90" i="42"/>
  <c r="F85" i="42"/>
  <c r="F82" i="42"/>
  <c r="F77" i="42"/>
  <c r="F74" i="42"/>
  <c r="F61" i="42"/>
  <c r="F58" i="42"/>
  <c r="F46" i="42"/>
  <c r="F38" i="42"/>
  <c r="F34" i="42"/>
  <c r="F108" i="42"/>
  <c r="F106" i="42"/>
  <c r="F96" i="42"/>
  <c r="F89" i="42"/>
  <c r="F81" i="42"/>
  <c r="F73" i="42"/>
  <c r="F69" i="42"/>
  <c r="F64" i="42"/>
  <c r="F52" i="42"/>
  <c r="F49" i="42"/>
  <c r="F45" i="42"/>
  <c r="F33" i="42"/>
  <c r="F104" i="42"/>
  <c r="F99" i="42"/>
  <c r="F88" i="42"/>
  <c r="F84" i="42"/>
  <c r="F80" i="42"/>
  <c r="F76" i="42"/>
  <c r="F72" i="42"/>
  <c r="F60" i="42"/>
  <c r="F44" i="42"/>
  <c r="F32" i="42"/>
  <c r="F27" i="42"/>
  <c r="F19" i="42"/>
  <c r="F110" i="42"/>
  <c r="F95" i="42"/>
  <c r="F87" i="42"/>
  <c r="F79" i="42"/>
  <c r="F71" i="42"/>
  <c r="F66" i="42"/>
  <c r="F63" i="42"/>
  <c r="F54" i="42"/>
  <c r="F51" i="42"/>
  <c r="F43" i="42"/>
  <c r="F31" i="42"/>
  <c r="F107" i="42"/>
  <c r="F101" i="42"/>
  <c r="F98" i="42"/>
  <c r="F94" i="42"/>
  <c r="F86" i="42"/>
  <c r="F78" i="42"/>
  <c r="F62" i="42"/>
  <c r="F57" i="42"/>
  <c r="F42" i="42"/>
  <c r="F37" i="42"/>
  <c r="F30" i="42"/>
  <c r="D24" i="42"/>
  <c r="F22" i="42"/>
  <c r="L12" i="42"/>
  <c r="N12" i="42" s="1"/>
  <c r="F97" i="42"/>
  <c r="F93" i="42"/>
  <c r="F68" i="42"/>
  <c r="F65" i="42"/>
  <c r="F53" i="42"/>
  <c r="F48" i="42"/>
  <c r="F41" i="42"/>
  <c r="F29" i="42"/>
  <c r="F21" i="42"/>
  <c r="F75" i="42"/>
  <c r="F114" i="42"/>
  <c r="F83" i="42"/>
  <c r="F59" i="42"/>
  <c r="F56" i="42"/>
  <c r="F36" i="42"/>
  <c r="F103" i="42"/>
  <c r="F92" i="42"/>
  <c r="F40" i="42"/>
  <c r="F20" i="42"/>
  <c r="F109" i="42"/>
  <c r="F100" i="42"/>
  <c r="F28" i="42"/>
  <c r="D27" i="33"/>
  <c r="L18" i="33"/>
  <c r="F116" i="34"/>
  <c r="F113" i="34"/>
  <c r="F104" i="34"/>
  <c r="F100" i="34"/>
  <c r="F96" i="34"/>
  <c r="F81" i="34"/>
  <c r="F72" i="34"/>
  <c r="F69" i="34"/>
  <c r="F61" i="34"/>
  <c r="F49" i="34"/>
  <c r="F33" i="34"/>
  <c r="F25" i="34"/>
  <c r="F125" i="34"/>
  <c r="F119" i="34"/>
  <c r="F112" i="34"/>
  <c r="F107" i="34"/>
  <c r="F92" i="34"/>
  <c r="F87" i="34"/>
  <c r="F84" i="34"/>
  <c r="F80" i="34"/>
  <c r="F75" i="34"/>
  <c r="F60" i="34"/>
  <c r="F55" i="34"/>
  <c r="F48" i="34"/>
  <c r="D42" i="34"/>
  <c r="F42" i="34" s="1"/>
  <c r="F40" i="34"/>
  <c r="F32" i="34"/>
  <c r="F24" i="34"/>
  <c r="F19" i="34"/>
  <c r="F115" i="34"/>
  <c r="F111" i="34"/>
  <c r="F103" i="34"/>
  <c r="F99" i="34"/>
  <c r="F95" i="34"/>
  <c r="F83" i="34"/>
  <c r="F71" i="34"/>
  <c r="F66" i="34"/>
  <c r="F59" i="34"/>
  <c r="F47" i="34"/>
  <c r="F39" i="34"/>
  <c r="F31" i="34"/>
  <c r="F23" i="34"/>
  <c r="F118" i="34"/>
  <c r="F110" i="34"/>
  <c r="F106" i="34"/>
  <c r="F102" i="34"/>
  <c r="F98" i="34"/>
  <c r="F94" i="34"/>
  <c r="F89" i="34"/>
  <c r="F86" i="34"/>
  <c r="F77" i="34"/>
  <c r="F74" i="34"/>
  <c r="F58" i="34"/>
  <c r="F54" i="34"/>
  <c r="F46" i="34"/>
  <c r="F38" i="34"/>
  <c r="F30" i="34"/>
  <c r="F22" i="34"/>
  <c r="L12" i="34"/>
  <c r="N12" i="34" s="1"/>
  <c r="F129" i="34"/>
  <c r="F124" i="34"/>
  <c r="F122" i="34"/>
  <c r="F117" i="34"/>
  <c r="F109" i="34"/>
  <c r="F105" i="34"/>
  <c r="F101" i="34"/>
  <c r="F97" i="34"/>
  <c r="F73" i="34"/>
  <c r="F68" i="34"/>
  <c r="F65" i="34"/>
  <c r="F57" i="34"/>
  <c r="F53" i="34"/>
  <c r="F44" i="34"/>
  <c r="F37" i="34"/>
  <c r="F29" i="34"/>
  <c r="F21" i="34"/>
  <c r="F120" i="34"/>
  <c r="F108" i="34"/>
  <c r="F91" i="34"/>
  <c r="F88" i="34"/>
  <c r="F79" i="34"/>
  <c r="F76" i="34"/>
  <c r="F64" i="34"/>
  <c r="F56" i="34"/>
  <c r="F52" i="34"/>
  <c r="F36" i="34"/>
  <c r="F28" i="34"/>
  <c r="F20" i="34"/>
  <c r="F114" i="34"/>
  <c r="F82" i="34"/>
  <c r="F70" i="34"/>
  <c r="F67" i="34"/>
  <c r="F63" i="34"/>
  <c r="F51" i="34"/>
  <c r="F35" i="34"/>
  <c r="F27" i="34"/>
  <c r="F62" i="34"/>
  <c r="F50" i="34"/>
  <c r="F26" i="34"/>
  <c r="F93" i="34"/>
  <c r="F90" i="34"/>
  <c r="F45" i="34"/>
  <c r="F34" i="34"/>
  <c r="F123" i="34"/>
  <c r="F78" i="34"/>
  <c r="F85" i="34"/>
  <c r="X18" i="29"/>
  <c r="P27" i="29"/>
  <c r="D31" i="38"/>
  <c r="H131" i="34"/>
  <c r="P26" i="54"/>
  <c r="X22" i="54"/>
  <c r="T31" i="22"/>
  <c r="Z27" i="22"/>
  <c r="T27" i="19"/>
  <c r="Z18" i="19"/>
  <c r="D31" i="16"/>
  <c r="L18" i="26"/>
  <c r="D27" i="26"/>
  <c r="H27" i="20"/>
  <c r="L27" i="20" s="1"/>
  <c r="N18" i="20"/>
  <c r="D27" i="22"/>
  <c r="L18" i="22"/>
  <c r="D31" i="20"/>
  <c r="H158" i="12"/>
  <c r="D27" i="14"/>
  <c r="L18" i="14"/>
  <c r="L18" i="8"/>
  <c r="D27" i="8"/>
  <c r="X18" i="4"/>
  <c r="P27" i="4"/>
  <c r="L18" i="4"/>
  <c r="H79" i="92"/>
  <c r="D24" i="89"/>
  <c r="L16" i="89"/>
  <c r="P84" i="78"/>
  <c r="D91" i="76"/>
  <c r="L23" i="76"/>
  <c r="N23" i="76" s="1"/>
  <c r="F23" i="76"/>
  <c r="D73" i="71"/>
  <c r="L20" i="71"/>
  <c r="N16" i="61"/>
  <c r="H57" i="61"/>
  <c r="D93" i="65"/>
  <c r="L31" i="65"/>
  <c r="N31" i="65" s="1"/>
  <c r="X18" i="37"/>
  <c r="P27" i="37"/>
  <c r="H27" i="38"/>
  <c r="L27" i="38" s="1"/>
  <c r="N18" i="38"/>
  <c r="T27" i="40"/>
  <c r="Z18" i="40"/>
  <c r="X18" i="26"/>
  <c r="P27" i="26"/>
  <c r="R156" i="12"/>
  <c r="R151" i="12"/>
  <c r="R140" i="12"/>
  <c r="R136" i="12"/>
  <c r="R113" i="12"/>
  <c r="R108" i="12"/>
  <c r="R105" i="12"/>
  <c r="R96" i="12"/>
  <c r="R93" i="12"/>
  <c r="R84" i="12"/>
  <c r="R81" i="12"/>
  <c r="R72" i="12"/>
  <c r="R60" i="12"/>
  <c r="R52" i="12"/>
  <c r="R44" i="12"/>
  <c r="R36" i="12"/>
  <c r="R28" i="12"/>
  <c r="R153" i="12"/>
  <c r="R147" i="12"/>
  <c r="R143" i="12"/>
  <c r="R135" i="12"/>
  <c r="R127" i="12"/>
  <c r="R99" i="12"/>
  <c r="R87" i="12"/>
  <c r="R71" i="12"/>
  <c r="R67" i="12"/>
  <c r="R59" i="12"/>
  <c r="R56" i="12"/>
  <c r="R51" i="12"/>
  <c r="R43" i="12"/>
  <c r="R35" i="12"/>
  <c r="R27" i="12"/>
  <c r="R146" i="12"/>
  <c r="R139" i="12"/>
  <c r="R134" i="12"/>
  <c r="R130" i="12"/>
  <c r="R126" i="12"/>
  <c r="R122" i="12"/>
  <c r="R110" i="12"/>
  <c r="R107" i="12"/>
  <c r="R102" i="12"/>
  <c r="R98" i="12"/>
  <c r="R95" i="12"/>
  <c r="R90" i="12"/>
  <c r="R86" i="12"/>
  <c r="R83" i="12"/>
  <c r="R78" i="12"/>
  <c r="R70" i="12"/>
  <c r="R66" i="12"/>
  <c r="R58" i="12"/>
  <c r="R50" i="12"/>
  <c r="R42" i="12"/>
  <c r="R34" i="12"/>
  <c r="R26" i="12"/>
  <c r="R155" i="12"/>
  <c r="R149" i="12"/>
  <c r="R145" i="12"/>
  <c r="R142" i="12"/>
  <c r="R133" i="12"/>
  <c r="R129" i="12"/>
  <c r="R125" i="12"/>
  <c r="R121" i="12"/>
  <c r="R117" i="12"/>
  <c r="R101" i="12"/>
  <c r="R89" i="12"/>
  <c r="R77" i="12"/>
  <c r="R69" i="12"/>
  <c r="R65" i="12"/>
  <c r="R49" i="12"/>
  <c r="R41" i="12"/>
  <c r="R33" i="12"/>
  <c r="R25" i="12"/>
  <c r="R160" i="12"/>
  <c r="R152" i="12"/>
  <c r="R132" i="12"/>
  <c r="R124" i="12"/>
  <c r="R120" i="12"/>
  <c r="R116" i="12"/>
  <c r="R112" i="12"/>
  <c r="R109" i="12"/>
  <c r="R104" i="12"/>
  <c r="R97" i="12"/>
  <c r="R92" i="12"/>
  <c r="R85" i="12"/>
  <c r="R80" i="12"/>
  <c r="R76" i="12"/>
  <c r="R64" i="12"/>
  <c r="R57" i="12"/>
  <c r="R48" i="12"/>
  <c r="R40" i="12"/>
  <c r="R32" i="12"/>
  <c r="R24" i="12"/>
  <c r="R148" i="12"/>
  <c r="R144" i="12"/>
  <c r="R128" i="12"/>
  <c r="R119" i="12"/>
  <c r="R115" i="12"/>
  <c r="R100" i="12"/>
  <c r="R88" i="12"/>
  <c r="R75" i="12"/>
  <c r="R68" i="12"/>
  <c r="R63" i="12"/>
  <c r="R47" i="12"/>
  <c r="R39" i="12"/>
  <c r="R31" i="12"/>
  <c r="R154" i="12"/>
  <c r="R138" i="12"/>
  <c r="R131" i="12"/>
  <c r="R123" i="12"/>
  <c r="R114" i="12"/>
  <c r="R111" i="12"/>
  <c r="R106" i="12"/>
  <c r="R103" i="12"/>
  <c r="R94" i="12"/>
  <c r="R91" i="12"/>
  <c r="R82" i="12"/>
  <c r="R79" i="12"/>
  <c r="R74" i="12"/>
  <c r="R62" i="12"/>
  <c r="P54" i="12"/>
  <c r="R54" i="12" s="1"/>
  <c r="R46" i="12"/>
  <c r="R38" i="12"/>
  <c r="R30" i="12"/>
  <c r="R23" i="12"/>
  <c r="X12" i="12"/>
  <c r="Z12" i="12" s="1"/>
  <c r="R137" i="12"/>
  <c r="R29" i="12"/>
  <c r="R61" i="12"/>
  <c r="R37" i="12"/>
  <c r="R118" i="12"/>
  <c r="R73" i="12"/>
  <c r="R45" i="12"/>
  <c r="R141" i="12"/>
  <c r="L23" i="21"/>
  <c r="N23" i="21" s="1"/>
  <c r="D93" i="21"/>
  <c r="T163" i="18"/>
  <c r="V159" i="18"/>
  <c r="H27" i="7"/>
  <c r="N18" i="7"/>
  <c r="H27" i="93"/>
  <c r="N18" i="93"/>
  <c r="J23" i="91"/>
  <c r="N24" i="89"/>
  <c r="H28" i="89"/>
  <c r="F85" i="91"/>
  <c r="F82" i="91"/>
  <c r="F42" i="91"/>
  <c r="F37" i="91"/>
  <c r="F30" i="91"/>
  <c r="F23" i="91"/>
  <c r="F81" i="91"/>
  <c r="F64" i="91"/>
  <c r="F61" i="91"/>
  <c r="F56" i="91"/>
  <c r="F53" i="91"/>
  <c r="F48" i="91"/>
  <c r="F41" i="91"/>
  <c r="F29" i="91"/>
  <c r="D23" i="91"/>
  <c r="F21" i="91"/>
  <c r="F87" i="91"/>
  <c r="F84" i="91"/>
  <c r="F80" i="91"/>
  <c r="F75" i="91"/>
  <c r="F40" i="91"/>
  <c r="F36" i="91"/>
  <c r="F28" i="91"/>
  <c r="F20" i="91"/>
  <c r="F79" i="91"/>
  <c r="F70" i="91"/>
  <c r="F66" i="91"/>
  <c r="F63" i="91"/>
  <c r="F58" i="91"/>
  <c r="F55" i="91"/>
  <c r="F50" i="91"/>
  <c r="F47" i="91"/>
  <c r="F39" i="91"/>
  <c r="F35" i="91"/>
  <c r="F27" i="91"/>
  <c r="F86" i="91"/>
  <c r="F78" i="91"/>
  <c r="F74" i="91"/>
  <c r="F46" i="91"/>
  <c r="F38" i="91"/>
  <c r="F34" i="91"/>
  <c r="F94" i="91"/>
  <c r="F88" i="91"/>
  <c r="F83" i="91"/>
  <c r="F76" i="91"/>
  <c r="F72" i="91"/>
  <c r="F68" i="91"/>
  <c r="F44" i="91"/>
  <c r="F32" i="91"/>
  <c r="F73" i="91"/>
  <c r="F59" i="91"/>
  <c r="F52" i="91"/>
  <c r="F43" i="91"/>
  <c r="F67" i="91"/>
  <c r="L12" i="91"/>
  <c r="N12" i="91" s="1"/>
  <c r="F77" i="91"/>
  <c r="F71" i="91"/>
  <c r="F60" i="91"/>
  <c r="F49" i="91"/>
  <c r="F31" i="91"/>
  <c r="F65" i="91"/>
  <c r="F62" i="91"/>
  <c r="F45" i="91"/>
  <c r="F25" i="91"/>
  <c r="F90" i="91"/>
  <c r="F69" i="91"/>
  <c r="F26" i="91"/>
  <c r="F19" i="91"/>
  <c r="F51" i="91"/>
  <c r="F54" i="91"/>
  <c r="F33" i="91"/>
  <c r="F57" i="91"/>
  <c r="F18" i="91"/>
  <c r="R23" i="91"/>
  <c r="R89" i="88"/>
  <c r="R82" i="88"/>
  <c r="R75" i="88"/>
  <c r="R42" i="88"/>
  <c r="R30" i="88"/>
  <c r="R85" i="88"/>
  <c r="R81" i="88"/>
  <c r="R70" i="88"/>
  <c r="R66" i="88"/>
  <c r="R61" i="88"/>
  <c r="R58" i="88"/>
  <c r="R53" i="88"/>
  <c r="R50" i="88"/>
  <c r="R41" i="88"/>
  <c r="R29" i="88"/>
  <c r="R80" i="88"/>
  <c r="R93" i="88"/>
  <c r="R87" i="88"/>
  <c r="R84" i="88"/>
  <c r="R79" i="88"/>
  <c r="R63" i="88"/>
  <c r="R60" i="88"/>
  <c r="R55" i="88"/>
  <c r="R52" i="88"/>
  <c r="R47" i="88"/>
  <c r="R39" i="88"/>
  <c r="R35" i="88"/>
  <c r="R27" i="88"/>
  <c r="R19" i="88"/>
  <c r="R78" i="88"/>
  <c r="R74" i="88"/>
  <c r="R46" i="88"/>
  <c r="R38" i="88"/>
  <c r="R34" i="88"/>
  <c r="R76" i="88"/>
  <c r="R72" i="88"/>
  <c r="R68" i="88"/>
  <c r="R44" i="88"/>
  <c r="R37" i="88"/>
  <c r="R32" i="88"/>
  <c r="R71" i="88"/>
  <c r="R65" i="88"/>
  <c r="R26" i="88"/>
  <c r="R18" i="88"/>
  <c r="R83" i="88"/>
  <c r="R77" i="88"/>
  <c r="R67" i="88"/>
  <c r="X12" i="88"/>
  <c r="Z12" i="88" s="1"/>
  <c r="R54" i="88"/>
  <c r="R48" i="88"/>
  <c r="R43" i="88"/>
  <c r="R25" i="88"/>
  <c r="P23" i="88"/>
  <c r="R23" i="88" s="1"/>
  <c r="R21" i="88"/>
  <c r="R20" i="88"/>
  <c r="R62" i="88"/>
  <c r="R56" i="88"/>
  <c r="R40" i="88"/>
  <c r="R31" i="88"/>
  <c r="R57" i="88"/>
  <c r="R51" i="88"/>
  <c r="R73" i="88"/>
  <c r="R69" i="88"/>
  <c r="R59" i="88"/>
  <c r="R45" i="88"/>
  <c r="R33" i="88"/>
  <c r="R64" i="88"/>
  <c r="R49" i="88"/>
  <c r="R28" i="88"/>
  <c r="R36" i="88"/>
  <c r="R86" i="88"/>
  <c r="N16" i="85"/>
  <c r="H28" i="85"/>
  <c r="L28" i="85" s="1"/>
  <c r="J23" i="88"/>
  <c r="T88" i="83"/>
  <c r="X20" i="83"/>
  <c r="Z20" i="83"/>
  <c r="L16" i="81"/>
  <c r="D28" i="81"/>
  <c r="Z16" i="79"/>
  <c r="T30" i="79"/>
  <c r="F34" i="75"/>
  <c r="F28" i="75"/>
  <c r="F39" i="75"/>
  <c r="F32" i="75"/>
  <c r="F22" i="75"/>
  <c r="F27" i="75"/>
  <c r="D22" i="75"/>
  <c r="F20" i="75"/>
  <c r="F19" i="75"/>
  <c r="F26" i="75"/>
  <c r="F18" i="75"/>
  <c r="L12" i="75"/>
  <c r="N12" i="75" s="1"/>
  <c r="F30" i="75"/>
  <c r="F17" i="75"/>
  <c r="F36" i="75"/>
  <c r="F25" i="75"/>
  <c r="F24" i="75"/>
  <c r="Z21" i="73"/>
  <c r="V21" i="73"/>
  <c r="T86" i="73"/>
  <c r="H73" i="71"/>
  <c r="N20" i="71"/>
  <c r="R74" i="69"/>
  <c r="R67" i="69"/>
  <c r="R64" i="69"/>
  <c r="R59" i="69"/>
  <c r="R56" i="69"/>
  <c r="R51" i="69"/>
  <c r="R39" i="69"/>
  <c r="P31" i="69"/>
  <c r="R23" i="69"/>
  <c r="R76" i="69"/>
  <c r="R70" i="69"/>
  <c r="R50" i="69"/>
  <c r="R38" i="69"/>
  <c r="R22" i="69"/>
  <c r="X12" i="69"/>
  <c r="Z12" i="69" s="1"/>
  <c r="R81" i="69"/>
  <c r="R69" i="69"/>
  <c r="R66" i="69"/>
  <c r="R61" i="69"/>
  <c r="R58" i="69"/>
  <c r="R49" i="69"/>
  <c r="R37" i="69"/>
  <c r="R29" i="69"/>
  <c r="R21" i="69"/>
  <c r="R72" i="69"/>
  <c r="R48" i="69"/>
  <c r="R44" i="69"/>
  <c r="R36" i="69"/>
  <c r="R33" i="69"/>
  <c r="R28" i="69"/>
  <c r="R20" i="69"/>
  <c r="R75" i="69"/>
  <c r="R68" i="69"/>
  <c r="R63" i="69"/>
  <c r="R60" i="69"/>
  <c r="R55" i="69"/>
  <c r="R47" i="69"/>
  <c r="R43" i="69"/>
  <c r="R35" i="69"/>
  <c r="R27" i="69"/>
  <c r="R71" i="69"/>
  <c r="R54" i="69"/>
  <c r="R46" i="69"/>
  <c r="R42" i="69"/>
  <c r="R26" i="69"/>
  <c r="R19" i="69"/>
  <c r="R77" i="69"/>
  <c r="R65" i="69"/>
  <c r="R62" i="69"/>
  <c r="R57" i="69"/>
  <c r="R53" i="69"/>
  <c r="R41" i="69"/>
  <c r="R34" i="69"/>
  <c r="R25" i="69"/>
  <c r="R45" i="69"/>
  <c r="R40" i="69"/>
  <c r="R31" i="69"/>
  <c r="R24" i="69"/>
  <c r="R52" i="69"/>
  <c r="T79" i="69"/>
  <c r="L23" i="68"/>
  <c r="D75" i="68"/>
  <c r="J40" i="67"/>
  <c r="T61" i="61"/>
  <c r="Z57" i="61"/>
  <c r="P58" i="60"/>
  <c r="X16" i="60"/>
  <c r="L16" i="59"/>
  <c r="D67" i="59"/>
  <c r="H27" i="52"/>
  <c r="N18" i="52"/>
  <c r="D67" i="57"/>
  <c r="L16" i="57"/>
  <c r="H27" i="50"/>
  <c r="N18" i="50"/>
  <c r="H27" i="47"/>
  <c r="N18" i="47"/>
  <c r="D99" i="45"/>
  <c r="L23" i="45"/>
  <c r="N23" i="45" s="1"/>
  <c r="T27" i="43"/>
  <c r="X27" i="43" s="1"/>
  <c r="Z18" i="43"/>
  <c r="H38" i="55"/>
  <c r="T27" i="37"/>
  <c r="Z18" i="37"/>
  <c r="T120" i="36"/>
  <c r="L18" i="41"/>
  <c r="D27" i="41"/>
  <c r="P36" i="41"/>
  <c r="D115" i="39"/>
  <c r="L25" i="39"/>
  <c r="N25" i="39" s="1"/>
  <c r="F25" i="39"/>
  <c r="X18" i="46"/>
  <c r="H124" i="36"/>
  <c r="L18" i="38"/>
  <c r="R115" i="28"/>
  <c r="R100" i="28"/>
  <c r="R87" i="28"/>
  <c r="R84" i="28"/>
  <c r="R75" i="28"/>
  <c r="R72" i="28"/>
  <c r="R67" i="28"/>
  <c r="R64" i="28"/>
  <c r="R59" i="28"/>
  <c r="R47" i="28"/>
  <c r="R31" i="28"/>
  <c r="R23" i="28"/>
  <c r="R118" i="28"/>
  <c r="R111" i="28"/>
  <c r="R103" i="28"/>
  <c r="R78" i="28"/>
  <c r="R58" i="28"/>
  <c r="R46" i="28"/>
  <c r="R38" i="28"/>
  <c r="R30" i="28"/>
  <c r="R22" i="28"/>
  <c r="X12" i="28"/>
  <c r="Z12" i="28" s="1"/>
  <c r="R114" i="28"/>
  <c r="R89" i="28"/>
  <c r="R86" i="28"/>
  <c r="R81" i="28"/>
  <c r="R77" i="28"/>
  <c r="R74" i="28"/>
  <c r="R69" i="28"/>
  <c r="R66" i="28"/>
  <c r="R57" i="28"/>
  <c r="R45" i="28"/>
  <c r="R42" i="28"/>
  <c r="R37" i="28"/>
  <c r="R29" i="28"/>
  <c r="R21" i="28"/>
  <c r="R120" i="28"/>
  <c r="R108" i="28"/>
  <c r="R96" i="28"/>
  <c r="R92" i="28"/>
  <c r="R80" i="28"/>
  <c r="R56" i="28"/>
  <c r="R52" i="28"/>
  <c r="R44" i="28"/>
  <c r="R36" i="28"/>
  <c r="R28" i="28"/>
  <c r="R20" i="28"/>
  <c r="R107" i="28"/>
  <c r="R99" i="28"/>
  <c r="R95" i="28"/>
  <c r="R91" i="28"/>
  <c r="R88" i="28"/>
  <c r="R83" i="28"/>
  <c r="R76" i="28"/>
  <c r="R71" i="28"/>
  <c r="R68" i="28"/>
  <c r="R63" i="28"/>
  <c r="R55" i="28"/>
  <c r="R51" i="28"/>
  <c r="R35" i="28"/>
  <c r="R27" i="28"/>
  <c r="R117" i="28"/>
  <c r="R110" i="28"/>
  <c r="R106" i="28"/>
  <c r="R102" i="28"/>
  <c r="R98" i="28"/>
  <c r="R94" i="28"/>
  <c r="R79" i="28"/>
  <c r="R62" i="28"/>
  <c r="R54" i="28"/>
  <c r="R50" i="28"/>
  <c r="R43" i="28"/>
  <c r="R34" i="28"/>
  <c r="R26" i="28"/>
  <c r="R19" i="28"/>
  <c r="R119" i="28"/>
  <c r="R113" i="28"/>
  <c r="R105" i="28"/>
  <c r="R101" i="28"/>
  <c r="R90" i="28"/>
  <c r="R85" i="28"/>
  <c r="R82" i="28"/>
  <c r="R73" i="28"/>
  <c r="R70" i="28"/>
  <c r="R65" i="28"/>
  <c r="R61" i="28"/>
  <c r="R49" i="28"/>
  <c r="R33" i="28"/>
  <c r="R25" i="28"/>
  <c r="R93" i="28"/>
  <c r="R32" i="28"/>
  <c r="R112" i="28"/>
  <c r="R97" i="28"/>
  <c r="R53" i="28"/>
  <c r="R24" i="28"/>
  <c r="R124" i="28"/>
  <c r="R109" i="28"/>
  <c r="R60" i="28"/>
  <c r="R104" i="28"/>
  <c r="R48" i="28"/>
  <c r="P40" i="28"/>
  <c r="R40" i="28" s="1"/>
  <c r="H27" i="27"/>
  <c r="N18" i="27"/>
  <c r="H27" i="33"/>
  <c r="N18" i="33"/>
  <c r="N18" i="32"/>
  <c r="H27" i="32"/>
  <c r="L27" i="32" s="1"/>
  <c r="X18" i="22"/>
  <c r="P27" i="22"/>
  <c r="D31" i="29"/>
  <c r="T93" i="21"/>
  <c r="H27" i="19"/>
  <c r="N18" i="19"/>
  <c r="L18" i="19"/>
  <c r="L18" i="20"/>
  <c r="N27" i="24"/>
  <c r="H31" i="24"/>
  <c r="Z27" i="20"/>
  <c r="T31" i="20"/>
  <c r="T151" i="15"/>
  <c r="V50" i="15"/>
  <c r="R161" i="18"/>
  <c r="R153" i="18"/>
  <c r="R137" i="18"/>
  <c r="R130" i="18"/>
  <c r="R118" i="18"/>
  <c r="R102" i="18"/>
  <c r="R90" i="18"/>
  <c r="R77" i="18"/>
  <c r="R70" i="18"/>
  <c r="R65" i="18"/>
  <c r="R49" i="18"/>
  <c r="R41" i="18"/>
  <c r="R33" i="18"/>
  <c r="R25" i="18"/>
  <c r="R140" i="18"/>
  <c r="R136" i="18"/>
  <c r="R113" i="18"/>
  <c r="R108" i="18"/>
  <c r="R105" i="18"/>
  <c r="R96" i="18"/>
  <c r="R93" i="18"/>
  <c r="R84" i="18"/>
  <c r="R81" i="18"/>
  <c r="R76" i="18"/>
  <c r="R64" i="18"/>
  <c r="P56" i="18"/>
  <c r="R48" i="18"/>
  <c r="R40" i="18"/>
  <c r="R32" i="18"/>
  <c r="R24" i="18"/>
  <c r="R155" i="18"/>
  <c r="R150" i="18"/>
  <c r="R139" i="18"/>
  <c r="R135" i="18"/>
  <c r="R75" i="18"/>
  <c r="R63" i="18"/>
  <c r="R47" i="18"/>
  <c r="R39" i="18"/>
  <c r="R31" i="18"/>
  <c r="R23" i="18"/>
  <c r="R152" i="18"/>
  <c r="R146" i="18"/>
  <c r="R142" i="18"/>
  <c r="R134" i="18"/>
  <c r="R126" i="18"/>
  <c r="R122" i="18"/>
  <c r="R110" i="18"/>
  <c r="R107" i="18"/>
  <c r="R98" i="18"/>
  <c r="R95" i="18"/>
  <c r="R86" i="18"/>
  <c r="R83" i="18"/>
  <c r="R74" i="18"/>
  <c r="R62" i="18"/>
  <c r="R54" i="18"/>
  <c r="R46" i="18"/>
  <c r="R38" i="18"/>
  <c r="R30" i="18"/>
  <c r="R22" i="18"/>
  <c r="R157" i="18"/>
  <c r="R145" i="18"/>
  <c r="R138" i="18"/>
  <c r="R133" i="18"/>
  <c r="R129" i="18"/>
  <c r="R125" i="18"/>
  <c r="R121" i="18"/>
  <c r="R117" i="18"/>
  <c r="R101" i="18"/>
  <c r="R89" i="18"/>
  <c r="R73" i="18"/>
  <c r="R69" i="18"/>
  <c r="R61" i="18"/>
  <c r="R58" i="18"/>
  <c r="R53" i="18"/>
  <c r="R45" i="18"/>
  <c r="R37" i="18"/>
  <c r="R29" i="18"/>
  <c r="R154" i="18"/>
  <c r="R148" i="18"/>
  <c r="R144" i="18"/>
  <c r="R141" i="18"/>
  <c r="R132" i="18"/>
  <c r="R128" i="18"/>
  <c r="R124" i="18"/>
  <c r="R120" i="18"/>
  <c r="R116" i="18"/>
  <c r="R112" i="18"/>
  <c r="R109" i="18"/>
  <c r="R104" i="18"/>
  <c r="R100" i="18"/>
  <c r="R97" i="18"/>
  <c r="R92" i="18"/>
  <c r="R88" i="18"/>
  <c r="R85" i="18"/>
  <c r="R80" i="18"/>
  <c r="R72" i="18"/>
  <c r="R68" i="18"/>
  <c r="R60" i="18"/>
  <c r="R52" i="18"/>
  <c r="R44" i="18"/>
  <c r="R36" i="18"/>
  <c r="R28" i="18"/>
  <c r="R21" i="18"/>
  <c r="R151" i="18"/>
  <c r="R131" i="18"/>
  <c r="R119" i="18"/>
  <c r="R115" i="18"/>
  <c r="R103" i="18"/>
  <c r="R91" i="18"/>
  <c r="R79" i="18"/>
  <c r="R71" i="18"/>
  <c r="R67" i="18"/>
  <c r="R51" i="18"/>
  <c r="R43" i="18"/>
  <c r="R35" i="18"/>
  <c r="R27" i="18"/>
  <c r="R87" i="18"/>
  <c r="R66" i="18"/>
  <c r="R34" i="18"/>
  <c r="R143" i="18"/>
  <c r="R123" i="18"/>
  <c r="R111" i="18"/>
  <c r="R94" i="18"/>
  <c r="R127" i="18"/>
  <c r="R147" i="18"/>
  <c r="R99" i="18"/>
  <c r="R59" i="18"/>
  <c r="R42" i="18"/>
  <c r="R26" i="18"/>
  <c r="R82" i="18"/>
  <c r="R78" i="18"/>
  <c r="X12" i="18"/>
  <c r="Z12" i="18" s="1"/>
  <c r="R156" i="18"/>
  <c r="R106" i="18"/>
  <c r="R114" i="18"/>
  <c r="R50" i="18"/>
  <c r="Z16" i="6"/>
  <c r="T22" i="6"/>
  <c r="D176" i="3"/>
  <c r="L62" i="3"/>
  <c r="N62" i="3" s="1"/>
  <c r="F70" i="92"/>
  <c r="F61" i="92"/>
  <c r="F57" i="92"/>
  <c r="F54" i="92"/>
  <c r="F38" i="92"/>
  <c r="F48" i="92"/>
  <c r="F73" i="92"/>
  <c r="F67" i="92"/>
  <c r="F63" i="92"/>
  <c r="F60" i="92"/>
  <c r="F56" i="92"/>
  <c r="F51" i="92"/>
  <c r="F59" i="92"/>
  <c r="F47" i="92"/>
  <c r="F42" i="92"/>
  <c r="F69" i="92"/>
  <c r="F66" i="92"/>
  <c r="F62" i="92"/>
  <c r="F58" i="92"/>
  <c r="F53" i="92"/>
  <c r="F50" i="92"/>
  <c r="F77" i="92"/>
  <c r="F65" i="92"/>
  <c r="F49" i="92"/>
  <c r="F68" i="92"/>
  <c r="F64" i="92"/>
  <c r="F55" i="92"/>
  <c r="F52" i="92"/>
  <c r="F40" i="92"/>
  <c r="F37" i="92"/>
  <c r="F31" i="92"/>
  <c r="F24" i="92"/>
  <c r="F39" i="92"/>
  <c r="F36" i="92"/>
  <c r="F35" i="92"/>
  <c r="F23" i="92"/>
  <c r="D17" i="92"/>
  <c r="F17" i="92" s="1"/>
  <c r="F34" i="92"/>
  <c r="F30" i="92"/>
  <c r="F22" i="92"/>
  <c r="L12" i="92"/>
  <c r="N12" i="92" s="1"/>
  <c r="F33" i="92"/>
  <c r="F29" i="92"/>
  <c r="F21" i="92"/>
  <c r="F43" i="92"/>
  <c r="F32" i="92"/>
  <c r="F28" i="92"/>
  <c r="F19" i="92"/>
  <c r="F15" i="92"/>
  <c r="F46" i="92"/>
  <c r="F44" i="92"/>
  <c r="F26" i="92"/>
  <c r="F45" i="92"/>
  <c r="F20" i="92"/>
  <c r="F27" i="92"/>
  <c r="F25" i="92"/>
  <c r="F72" i="92"/>
  <c r="F41" i="92"/>
  <c r="P40" i="86"/>
  <c r="X36" i="86"/>
  <c r="Z36" i="86" s="1"/>
  <c r="P28" i="85"/>
  <c r="X16" i="85"/>
  <c r="P66" i="87"/>
  <c r="T95" i="82"/>
  <c r="L16" i="79"/>
  <c r="D30" i="79"/>
  <c r="R93" i="82"/>
  <c r="R77" i="82"/>
  <c r="R74" i="82"/>
  <c r="R66" i="82"/>
  <c r="R61" i="82"/>
  <c r="R58" i="82"/>
  <c r="R89" i="82"/>
  <c r="R69" i="82"/>
  <c r="R52" i="82"/>
  <c r="R49" i="82"/>
  <c r="R83" i="82"/>
  <c r="R76" i="82"/>
  <c r="R63" i="82"/>
  <c r="R60" i="82"/>
  <c r="R55" i="82"/>
  <c r="R86" i="82"/>
  <c r="R82" i="82"/>
  <c r="R54" i="82"/>
  <c r="R51" i="82"/>
  <c r="R46" i="82"/>
  <c r="R97" i="82"/>
  <c r="R92" i="82"/>
  <c r="R85" i="82"/>
  <c r="R81" i="82"/>
  <c r="R73" i="82"/>
  <c r="R65" i="82"/>
  <c r="R62" i="82"/>
  <c r="R57" i="82"/>
  <c r="R45" i="82"/>
  <c r="R84" i="82"/>
  <c r="R79" i="82"/>
  <c r="R75" i="82"/>
  <c r="R71" i="82"/>
  <c r="R67" i="82"/>
  <c r="R64" i="82"/>
  <c r="R90" i="82"/>
  <c r="R87" i="82"/>
  <c r="R78" i="82"/>
  <c r="R70" i="82"/>
  <c r="R50" i="82"/>
  <c r="R47" i="82"/>
  <c r="R59" i="82"/>
  <c r="R43" i="82"/>
  <c r="R36" i="82"/>
  <c r="R31" i="82"/>
  <c r="P23" i="82"/>
  <c r="R56" i="82"/>
  <c r="R42" i="82"/>
  <c r="R30" i="82"/>
  <c r="R41" i="82"/>
  <c r="R29" i="82"/>
  <c r="R21" i="82"/>
  <c r="R53" i="82"/>
  <c r="R40" i="82"/>
  <c r="R28" i="82"/>
  <c r="R25" i="82"/>
  <c r="R20" i="82"/>
  <c r="X12" i="82"/>
  <c r="Z12" i="82" s="1"/>
  <c r="R88" i="82"/>
  <c r="R68" i="82"/>
  <c r="R39" i="82"/>
  <c r="R35" i="82"/>
  <c r="R27" i="82"/>
  <c r="R19" i="82"/>
  <c r="R80" i="82"/>
  <c r="R48" i="82"/>
  <c r="R38" i="82"/>
  <c r="R34" i="82"/>
  <c r="R72" i="82"/>
  <c r="R37" i="82"/>
  <c r="R33" i="82"/>
  <c r="R26" i="82"/>
  <c r="R18" i="82"/>
  <c r="R32" i="82"/>
  <c r="R44" i="82"/>
  <c r="R23" i="82"/>
  <c r="F84" i="74"/>
  <c r="F67" i="74"/>
  <c r="F64" i="74"/>
  <c r="F59" i="74"/>
  <c r="F88" i="74"/>
  <c r="F83" i="74"/>
  <c r="F70" i="74"/>
  <c r="F55" i="74"/>
  <c r="F80" i="74"/>
  <c r="F76" i="74"/>
  <c r="F69" i="74"/>
  <c r="F57" i="74"/>
  <c r="F72" i="74"/>
  <c r="F82" i="74"/>
  <c r="F79" i="74"/>
  <c r="F75" i="74"/>
  <c r="F71" i="74"/>
  <c r="F85" i="74"/>
  <c r="F78" i="74"/>
  <c r="F74" i="74"/>
  <c r="F65" i="74"/>
  <c r="F62" i="74"/>
  <c r="F86" i="74"/>
  <c r="F44" i="74"/>
  <c r="F32" i="74"/>
  <c r="F27" i="74"/>
  <c r="F63" i="74"/>
  <c r="F51" i="74"/>
  <c r="F43" i="74"/>
  <c r="F31" i="74"/>
  <c r="F18" i="74"/>
  <c r="F66" i="74"/>
  <c r="F42" i="74"/>
  <c r="F37" i="74"/>
  <c r="F30" i="74"/>
  <c r="D24" i="74"/>
  <c r="F22" i="74"/>
  <c r="F56" i="74"/>
  <c r="F53" i="74"/>
  <c r="F48" i="74"/>
  <c r="F41" i="74"/>
  <c r="F29" i="74"/>
  <c r="F21" i="74"/>
  <c r="F92" i="74"/>
  <c r="F58" i="74"/>
  <c r="F54" i="74"/>
  <c r="F40" i="74"/>
  <c r="F36" i="74"/>
  <c r="F28" i="74"/>
  <c r="F20" i="74"/>
  <c r="L12" i="74"/>
  <c r="N12" i="74" s="1"/>
  <c r="F68" i="74"/>
  <c r="F50" i="74"/>
  <c r="F47" i="74"/>
  <c r="F39" i="74"/>
  <c r="F35" i="74"/>
  <c r="F26" i="74"/>
  <c r="F19" i="74"/>
  <c r="F60" i="74"/>
  <c r="F46" i="74"/>
  <c r="F38" i="74"/>
  <c r="F34" i="74"/>
  <c r="F49" i="74"/>
  <c r="F81" i="74"/>
  <c r="F61" i="74"/>
  <c r="F73" i="74"/>
  <c r="F52" i="74"/>
  <c r="F45" i="74"/>
  <c r="F33" i="74"/>
  <c r="F77" i="74"/>
  <c r="H36" i="75"/>
  <c r="D79" i="69"/>
  <c r="L31" i="69"/>
  <c r="P79" i="68"/>
  <c r="X75" i="68"/>
  <c r="D61" i="61"/>
  <c r="L57" i="61"/>
  <c r="Z16" i="57"/>
  <c r="T67" i="57"/>
  <c r="X67" i="57" s="1"/>
  <c r="D31" i="55"/>
  <c r="L16" i="55"/>
  <c r="L18" i="50"/>
  <c r="D27" i="50"/>
  <c r="D27" i="43"/>
  <c r="L18" i="43"/>
  <c r="T74" i="59"/>
  <c r="T31" i="55"/>
  <c r="Z16" i="55"/>
  <c r="T115" i="39"/>
  <c r="V25" i="39"/>
  <c r="L18" i="37"/>
  <c r="D27" i="37"/>
  <c r="T27" i="35"/>
  <c r="Z18" i="35"/>
  <c r="Z18" i="44"/>
  <c r="T27" i="44"/>
  <c r="X18" i="38"/>
  <c r="P27" i="38"/>
  <c r="F112" i="36"/>
  <c r="F103" i="36"/>
  <c r="F96" i="36"/>
  <c r="F88" i="36"/>
  <c r="F83" i="36"/>
  <c r="F80" i="36"/>
  <c r="F64" i="36"/>
  <c r="F59" i="36"/>
  <c r="F44" i="36"/>
  <c r="F39" i="36"/>
  <c r="F32" i="36"/>
  <c r="L12" i="36"/>
  <c r="N12" i="36" s="1"/>
  <c r="F118" i="36"/>
  <c r="F106" i="36"/>
  <c r="F95" i="36"/>
  <c r="F91" i="36"/>
  <c r="F87" i="36"/>
  <c r="F79" i="36"/>
  <c r="F75" i="36"/>
  <c r="F70" i="36"/>
  <c r="F67" i="36"/>
  <c r="F55" i="36"/>
  <c r="F50" i="36"/>
  <c r="F43" i="36"/>
  <c r="F31" i="36"/>
  <c r="D25" i="36"/>
  <c r="F25" i="36" s="1"/>
  <c r="F23" i="36"/>
  <c r="F115" i="36"/>
  <c r="F102" i="36"/>
  <c r="F94" i="36"/>
  <c r="F90" i="36"/>
  <c r="F86" i="36"/>
  <c r="F82" i="36"/>
  <c r="F78" i="36"/>
  <c r="F66" i="36"/>
  <c r="F61" i="36"/>
  <c r="F58" i="36"/>
  <c r="F42" i="36"/>
  <c r="F38" i="36"/>
  <c r="F30" i="36"/>
  <c r="F22" i="36"/>
  <c r="F108" i="36"/>
  <c r="F105" i="36"/>
  <c r="F101" i="36"/>
  <c r="F93" i="36"/>
  <c r="F85" i="36"/>
  <c r="F77" i="36"/>
  <c r="F72" i="36"/>
  <c r="F69" i="36"/>
  <c r="F57" i="36"/>
  <c r="F52" i="36"/>
  <c r="F49" i="36"/>
  <c r="F41" i="36"/>
  <c r="F37" i="36"/>
  <c r="F29" i="36"/>
  <c r="F21" i="36"/>
  <c r="F122" i="36"/>
  <c r="F117" i="36"/>
  <c r="F111" i="36"/>
  <c r="F104" i="36"/>
  <c r="F100" i="36"/>
  <c r="F84" i="36"/>
  <c r="F63" i="36"/>
  <c r="F60" i="36"/>
  <c r="F48" i="36"/>
  <c r="F40" i="36"/>
  <c r="F36" i="36"/>
  <c r="F27" i="36"/>
  <c r="F107" i="36"/>
  <c r="F99" i="36"/>
  <c r="F74" i="36"/>
  <c r="F71" i="36"/>
  <c r="F54" i="36"/>
  <c r="F51" i="36"/>
  <c r="F47" i="36"/>
  <c r="F35" i="36"/>
  <c r="F110" i="36"/>
  <c r="F98" i="36"/>
  <c r="F89" i="36"/>
  <c r="F81" i="36"/>
  <c r="F65" i="36"/>
  <c r="F62" i="36"/>
  <c r="F46" i="36"/>
  <c r="F34" i="36"/>
  <c r="F76" i="36"/>
  <c r="F73" i="36"/>
  <c r="F53" i="36"/>
  <c r="F33" i="36"/>
  <c r="F114" i="36"/>
  <c r="F28" i="36"/>
  <c r="F97" i="36"/>
  <c r="F92" i="36"/>
  <c r="F20" i="36"/>
  <c r="F109" i="36"/>
  <c r="F45" i="36"/>
  <c r="F68" i="36"/>
  <c r="F116" i="36"/>
  <c r="F56" i="36"/>
  <c r="P31" i="33"/>
  <c r="D79" i="51"/>
  <c r="L31" i="51"/>
  <c r="N31" i="51" s="1"/>
  <c r="H27" i="35"/>
  <c r="N18" i="35"/>
  <c r="Z27" i="38"/>
  <c r="T31" i="38"/>
  <c r="T93" i="25"/>
  <c r="H27" i="37"/>
  <c r="N18" i="37"/>
  <c r="L18" i="27"/>
  <c r="D27" i="27"/>
  <c r="X18" i="20"/>
  <c r="P27" i="20"/>
  <c r="F77" i="31"/>
  <c r="F64" i="31"/>
  <c r="F61" i="31"/>
  <c r="F68" i="31"/>
  <c r="F60" i="31"/>
  <c r="F72" i="31"/>
  <c r="F67" i="31"/>
  <c r="F63" i="31"/>
  <c r="F59" i="31"/>
  <c r="F70" i="31"/>
  <c r="F66" i="31"/>
  <c r="F62" i="31"/>
  <c r="F56" i="31"/>
  <c r="F52" i="31"/>
  <c r="F47" i="31"/>
  <c r="F40" i="31"/>
  <c r="F28" i="31"/>
  <c r="F20" i="31"/>
  <c r="F55" i="31"/>
  <c r="F39" i="31"/>
  <c r="F35" i="31"/>
  <c r="F27" i="31"/>
  <c r="F73" i="31"/>
  <c r="F69" i="31"/>
  <c r="F65" i="31"/>
  <c r="F54" i="31"/>
  <c r="F49" i="31"/>
  <c r="F46" i="31"/>
  <c r="F38" i="31"/>
  <c r="F34" i="31"/>
  <c r="F25" i="31"/>
  <c r="F45" i="31"/>
  <c r="F37" i="31"/>
  <c r="F33" i="31"/>
  <c r="F58" i="31"/>
  <c r="F51" i="31"/>
  <c r="F48" i="31"/>
  <c r="F44" i="31"/>
  <c r="F32" i="31"/>
  <c r="F19" i="31"/>
  <c r="F43" i="31"/>
  <c r="F31" i="31"/>
  <c r="F26" i="31"/>
  <c r="F57" i="31"/>
  <c r="F53" i="31"/>
  <c r="F50" i="31"/>
  <c r="F42" i="31"/>
  <c r="F30" i="31"/>
  <c r="F23" i="31"/>
  <c r="L12" i="31"/>
  <c r="N12" i="31" s="1"/>
  <c r="F36" i="31"/>
  <c r="F29" i="31"/>
  <c r="D23" i="31"/>
  <c r="F41" i="31"/>
  <c r="F21" i="31"/>
  <c r="H97" i="21"/>
  <c r="X18" i="19"/>
  <c r="P27" i="19"/>
  <c r="X27" i="27"/>
  <c r="P31" i="27"/>
  <c r="H75" i="31"/>
  <c r="L18" i="23"/>
  <c r="D27" i="23"/>
  <c r="L18" i="29"/>
  <c r="H27" i="14"/>
  <c r="N18" i="14"/>
  <c r="H27" i="13"/>
  <c r="N18" i="13"/>
  <c r="L18" i="11"/>
  <c r="D27" i="11"/>
  <c r="X18" i="14"/>
  <c r="P27" i="14"/>
  <c r="X18" i="10"/>
  <c r="P27" i="10"/>
  <c r="T176" i="3"/>
  <c r="L18" i="16"/>
  <c r="T27" i="93"/>
  <c r="Z18" i="93"/>
  <c r="H88" i="83"/>
  <c r="D95" i="82"/>
  <c r="L23" i="82"/>
  <c r="Z23" i="76"/>
  <c r="T91" i="76"/>
  <c r="V23" i="76"/>
  <c r="P91" i="76"/>
  <c r="X23" i="76"/>
  <c r="T93" i="65"/>
  <c r="V31" i="65"/>
  <c r="H62" i="60"/>
  <c r="P31" i="47"/>
  <c r="H103" i="45"/>
  <c r="P99" i="45"/>
  <c r="X23" i="45"/>
  <c r="Z27" i="29"/>
  <c r="T31" i="29"/>
  <c r="T27" i="14"/>
  <c r="Z18" i="14"/>
  <c r="T27" i="94"/>
  <c r="Z18" i="94"/>
  <c r="T75" i="92"/>
  <c r="Z17" i="92"/>
  <c r="T92" i="91"/>
  <c r="Z23" i="91"/>
  <c r="R81" i="90"/>
  <c r="R73" i="90"/>
  <c r="R65" i="90"/>
  <c r="R62" i="90"/>
  <c r="R94" i="90"/>
  <c r="R88" i="90"/>
  <c r="R85" i="90"/>
  <c r="R80" i="90"/>
  <c r="R72" i="90"/>
  <c r="R68" i="90"/>
  <c r="R44" i="90"/>
  <c r="R37" i="90"/>
  <c r="R32" i="90"/>
  <c r="R79" i="90"/>
  <c r="R75" i="90"/>
  <c r="R71" i="90"/>
  <c r="R67" i="90"/>
  <c r="R64" i="90"/>
  <c r="R59" i="90"/>
  <c r="R56" i="90"/>
  <c r="R51" i="90"/>
  <c r="R48" i="90"/>
  <c r="R43" i="90"/>
  <c r="R31" i="90"/>
  <c r="P23" i="90"/>
  <c r="R77" i="90"/>
  <c r="R74" i="90"/>
  <c r="R66" i="90"/>
  <c r="R61" i="90"/>
  <c r="R58" i="90"/>
  <c r="R53" i="90"/>
  <c r="R50" i="90"/>
  <c r="R41" i="90"/>
  <c r="R29" i="90"/>
  <c r="R84" i="90"/>
  <c r="R69" i="90"/>
  <c r="R40" i="90"/>
  <c r="R36" i="90"/>
  <c r="R28" i="90"/>
  <c r="R25" i="90"/>
  <c r="R90" i="90"/>
  <c r="R83" i="90"/>
  <c r="R76" i="90"/>
  <c r="R63" i="90"/>
  <c r="R60" i="90"/>
  <c r="R55" i="90"/>
  <c r="R52" i="90"/>
  <c r="R47" i="90"/>
  <c r="R39" i="90"/>
  <c r="R35" i="90"/>
  <c r="R27" i="90"/>
  <c r="R19" i="90"/>
  <c r="R70" i="90"/>
  <c r="R86" i="90"/>
  <c r="R87" i="90"/>
  <c r="R54" i="90"/>
  <c r="R46" i="90"/>
  <c r="R45" i="90"/>
  <c r="X12" i="90"/>
  <c r="Z12" i="90" s="1"/>
  <c r="R78" i="90"/>
  <c r="R42" i="90"/>
  <c r="R34" i="90"/>
  <c r="R33" i="90"/>
  <c r="R18" i="90"/>
  <c r="R26" i="90"/>
  <c r="R20" i="90"/>
  <c r="R82" i="90"/>
  <c r="R57" i="90"/>
  <c r="R49" i="90"/>
  <c r="R21" i="90"/>
  <c r="R38" i="90"/>
  <c r="R30" i="90"/>
  <c r="H59" i="87"/>
  <c r="N16" i="87"/>
  <c r="T32" i="85"/>
  <c r="H57" i="84"/>
  <c r="H95" i="82"/>
  <c r="N23" i="82"/>
  <c r="J23" i="76"/>
  <c r="X16" i="80"/>
  <c r="T26" i="77"/>
  <c r="X26" i="77" s="1"/>
  <c r="Z16" i="77"/>
  <c r="P32" i="75"/>
  <c r="X22" i="75"/>
  <c r="Z22" i="75" s="1"/>
  <c r="P30" i="77"/>
  <c r="X16" i="77"/>
  <c r="F23" i="72"/>
  <c r="F19" i="72"/>
  <c r="F27" i="72"/>
  <c r="D19" i="72"/>
  <c r="F17" i="72"/>
  <c r="L12" i="72"/>
  <c r="N12" i="72" s="1"/>
  <c r="F21" i="72"/>
  <c r="F16" i="72"/>
  <c r="F88" i="76"/>
  <c r="T97" i="74"/>
  <c r="T77" i="71"/>
  <c r="H79" i="69"/>
  <c r="N31" i="69"/>
  <c r="H86" i="73"/>
  <c r="T110" i="67"/>
  <c r="D110" i="67"/>
  <c r="L40" i="67"/>
  <c r="N40" i="67" s="1"/>
  <c r="F31" i="65"/>
  <c r="N17" i="62"/>
  <c r="H101" i="62"/>
  <c r="H88" i="63"/>
  <c r="T79" i="56"/>
  <c r="P31" i="52"/>
  <c r="T80" i="58"/>
  <c r="Z76" i="58"/>
  <c r="P27" i="53"/>
  <c r="X18" i="53"/>
  <c r="H27" i="44"/>
  <c r="N18" i="44"/>
  <c r="H27" i="43"/>
  <c r="N18" i="43"/>
  <c r="P31" i="43"/>
  <c r="H112" i="42"/>
  <c r="H86" i="51"/>
  <c r="T112" i="42"/>
  <c r="V24" i="42"/>
  <c r="Z18" i="47"/>
  <c r="T27" i="47"/>
  <c r="L18" i="35"/>
  <c r="D27" i="35"/>
  <c r="R129" i="34"/>
  <c r="R117" i="34"/>
  <c r="R114" i="34"/>
  <c r="R109" i="34"/>
  <c r="R105" i="34"/>
  <c r="R101" i="34"/>
  <c r="R97" i="34"/>
  <c r="R82" i="34"/>
  <c r="R73" i="34"/>
  <c r="R70" i="34"/>
  <c r="R65" i="34"/>
  <c r="R57" i="34"/>
  <c r="R53" i="34"/>
  <c r="R37" i="34"/>
  <c r="R29" i="34"/>
  <c r="R21" i="34"/>
  <c r="R120" i="34"/>
  <c r="R108" i="34"/>
  <c r="R93" i="34"/>
  <c r="R88" i="34"/>
  <c r="R85" i="34"/>
  <c r="R76" i="34"/>
  <c r="R64" i="34"/>
  <c r="R56" i="34"/>
  <c r="R52" i="34"/>
  <c r="R45" i="34"/>
  <c r="R36" i="34"/>
  <c r="R28" i="34"/>
  <c r="R20" i="34"/>
  <c r="R123" i="34"/>
  <c r="R116" i="34"/>
  <c r="R104" i="34"/>
  <c r="R100" i="34"/>
  <c r="R96" i="34"/>
  <c r="R72" i="34"/>
  <c r="R67" i="34"/>
  <c r="R63" i="34"/>
  <c r="R51" i="34"/>
  <c r="R35" i="34"/>
  <c r="R27" i="34"/>
  <c r="R119" i="34"/>
  <c r="R107" i="34"/>
  <c r="R90" i="34"/>
  <c r="R87" i="34"/>
  <c r="R78" i="34"/>
  <c r="R75" i="34"/>
  <c r="R62" i="34"/>
  <c r="R55" i="34"/>
  <c r="R50" i="34"/>
  <c r="P42" i="34"/>
  <c r="R34" i="34"/>
  <c r="R26" i="34"/>
  <c r="R19" i="34"/>
  <c r="R125" i="34"/>
  <c r="R113" i="34"/>
  <c r="R81" i="34"/>
  <c r="R69" i="34"/>
  <c r="R66" i="34"/>
  <c r="R61" i="34"/>
  <c r="R49" i="34"/>
  <c r="R33" i="34"/>
  <c r="R25" i="34"/>
  <c r="R112" i="34"/>
  <c r="R92" i="34"/>
  <c r="R89" i="34"/>
  <c r="R84" i="34"/>
  <c r="R80" i="34"/>
  <c r="R77" i="34"/>
  <c r="R60" i="34"/>
  <c r="R48" i="34"/>
  <c r="R40" i="34"/>
  <c r="R32" i="34"/>
  <c r="R24" i="34"/>
  <c r="R122" i="34"/>
  <c r="R115" i="34"/>
  <c r="R111" i="34"/>
  <c r="R103" i="34"/>
  <c r="R99" i="34"/>
  <c r="R95" i="34"/>
  <c r="R83" i="34"/>
  <c r="R71" i="34"/>
  <c r="R68" i="34"/>
  <c r="R59" i="34"/>
  <c r="R47" i="34"/>
  <c r="R44" i="34"/>
  <c r="R39" i="34"/>
  <c r="R31" i="34"/>
  <c r="R23" i="34"/>
  <c r="R74" i="34"/>
  <c r="R22" i="34"/>
  <c r="R102" i="34"/>
  <c r="R46" i="34"/>
  <c r="R30" i="34"/>
  <c r="R124" i="34"/>
  <c r="R94" i="34"/>
  <c r="R91" i="34"/>
  <c r="R38" i="34"/>
  <c r="R106" i="34"/>
  <c r="R79" i="34"/>
  <c r="R54" i="34"/>
  <c r="R58" i="34"/>
  <c r="R110" i="34"/>
  <c r="R118" i="34"/>
  <c r="R98" i="34"/>
  <c r="R86" i="34"/>
  <c r="X12" i="34"/>
  <c r="Z12" i="34" s="1"/>
  <c r="L18" i="40"/>
  <c r="D27" i="40"/>
  <c r="J25" i="39"/>
  <c r="H79" i="48"/>
  <c r="P27" i="40"/>
  <c r="X18" i="40"/>
  <c r="T75" i="48"/>
  <c r="Z17" i="48"/>
  <c r="T27" i="24"/>
  <c r="Z18" i="24"/>
  <c r="R122" i="36"/>
  <c r="R104" i="36"/>
  <c r="R100" i="36"/>
  <c r="R89" i="36"/>
  <c r="R84" i="36"/>
  <c r="R81" i="36"/>
  <c r="R65" i="36"/>
  <c r="R60" i="36"/>
  <c r="R48" i="36"/>
  <c r="R40" i="36"/>
  <c r="R36" i="36"/>
  <c r="R114" i="36"/>
  <c r="R107" i="36"/>
  <c r="R99" i="36"/>
  <c r="R92" i="36"/>
  <c r="R76" i="36"/>
  <c r="R71" i="36"/>
  <c r="R68" i="36"/>
  <c r="R56" i="36"/>
  <c r="R51" i="36"/>
  <c r="R47" i="36"/>
  <c r="R35" i="36"/>
  <c r="R28" i="36"/>
  <c r="R20" i="36"/>
  <c r="R116" i="36"/>
  <c r="R110" i="36"/>
  <c r="R103" i="36"/>
  <c r="R98" i="36"/>
  <c r="R83" i="36"/>
  <c r="R62" i="36"/>
  <c r="R59" i="36"/>
  <c r="R46" i="36"/>
  <c r="R39" i="36"/>
  <c r="R34" i="36"/>
  <c r="R109" i="36"/>
  <c r="R106" i="36"/>
  <c r="R97" i="36"/>
  <c r="R73" i="36"/>
  <c r="R70" i="36"/>
  <c r="R53" i="36"/>
  <c r="R50" i="36"/>
  <c r="R45" i="36"/>
  <c r="R33" i="36"/>
  <c r="P25" i="36"/>
  <c r="R25" i="36" s="1"/>
  <c r="R118" i="36"/>
  <c r="R112" i="36"/>
  <c r="R96" i="36"/>
  <c r="R88" i="36"/>
  <c r="R80" i="36"/>
  <c r="R64" i="36"/>
  <c r="R61" i="36"/>
  <c r="R44" i="36"/>
  <c r="R32" i="36"/>
  <c r="X12" i="36"/>
  <c r="Z12" i="36" s="1"/>
  <c r="R115" i="36"/>
  <c r="R108" i="36"/>
  <c r="R95" i="36"/>
  <c r="R91" i="36"/>
  <c r="R87" i="36"/>
  <c r="R79" i="36"/>
  <c r="R75" i="36"/>
  <c r="R72" i="36"/>
  <c r="R67" i="36"/>
  <c r="R55" i="36"/>
  <c r="R52" i="36"/>
  <c r="R43" i="36"/>
  <c r="R31" i="36"/>
  <c r="R23" i="36"/>
  <c r="R111" i="36"/>
  <c r="R102" i="36"/>
  <c r="R94" i="36"/>
  <c r="R90" i="36"/>
  <c r="R86" i="36"/>
  <c r="R82" i="36"/>
  <c r="R78" i="36"/>
  <c r="R66" i="36"/>
  <c r="R63" i="36"/>
  <c r="R58" i="36"/>
  <c r="R42" i="36"/>
  <c r="R38" i="36"/>
  <c r="R30" i="36"/>
  <c r="R27" i="36"/>
  <c r="R22" i="36"/>
  <c r="R117" i="36"/>
  <c r="R85" i="36"/>
  <c r="R77" i="36"/>
  <c r="R74" i="36"/>
  <c r="R54" i="36"/>
  <c r="R21" i="36"/>
  <c r="R29" i="36"/>
  <c r="R93" i="36"/>
  <c r="R105" i="36"/>
  <c r="R37" i="36"/>
  <c r="R69" i="36"/>
  <c r="R57" i="36"/>
  <c r="R49" i="36"/>
  <c r="R41" i="36"/>
  <c r="R101" i="36"/>
  <c r="R73" i="31"/>
  <c r="R65" i="31"/>
  <c r="R62" i="31"/>
  <c r="R69" i="31"/>
  <c r="R64" i="31"/>
  <c r="R55" i="31"/>
  <c r="R67" i="31"/>
  <c r="R63" i="31"/>
  <c r="R59" i="31"/>
  <c r="R53" i="31"/>
  <c r="R48" i="31"/>
  <c r="R44" i="31"/>
  <c r="R32" i="31"/>
  <c r="R66" i="31"/>
  <c r="R43" i="31"/>
  <c r="R36" i="31"/>
  <c r="R31" i="31"/>
  <c r="P23" i="31"/>
  <c r="R23" i="31" s="1"/>
  <c r="R60" i="31"/>
  <c r="R57" i="31"/>
  <c r="R50" i="31"/>
  <c r="R47" i="31"/>
  <c r="R42" i="31"/>
  <c r="R30" i="31"/>
  <c r="X12" i="31"/>
  <c r="Z12" i="31" s="1"/>
  <c r="R61" i="31"/>
  <c r="R56" i="31"/>
  <c r="R41" i="31"/>
  <c r="R29" i="31"/>
  <c r="R21" i="31"/>
  <c r="R77" i="31"/>
  <c r="R52" i="31"/>
  <c r="R49" i="31"/>
  <c r="R40" i="31"/>
  <c r="R28" i="31"/>
  <c r="R25" i="31"/>
  <c r="R20" i="31"/>
  <c r="R39" i="31"/>
  <c r="R35" i="31"/>
  <c r="R27" i="31"/>
  <c r="R72" i="31"/>
  <c r="R70" i="31"/>
  <c r="R54" i="31"/>
  <c r="R51" i="31"/>
  <c r="R46" i="31"/>
  <c r="R38" i="31"/>
  <c r="R34" i="31"/>
  <c r="R19" i="31"/>
  <c r="R68" i="31"/>
  <c r="R58" i="31"/>
  <c r="R45" i="31"/>
  <c r="R37" i="31"/>
  <c r="R33" i="31"/>
  <c r="R26" i="31"/>
  <c r="L18" i="30"/>
  <c r="D27" i="30"/>
  <c r="H27" i="22"/>
  <c r="N18" i="22"/>
  <c r="D31" i="32"/>
  <c r="T27" i="10"/>
  <c r="Z18" i="10"/>
  <c r="F160" i="12"/>
  <c r="F155" i="12"/>
  <c r="F139" i="12"/>
  <c r="F132" i="12"/>
  <c r="F124" i="12"/>
  <c r="F120" i="12"/>
  <c r="F116" i="12"/>
  <c r="F112" i="12"/>
  <c r="F107" i="12"/>
  <c r="F104" i="12"/>
  <c r="F95" i="12"/>
  <c r="F92" i="12"/>
  <c r="F83" i="12"/>
  <c r="F80" i="12"/>
  <c r="F76" i="12"/>
  <c r="F64" i="12"/>
  <c r="F48" i="12"/>
  <c r="F40" i="12"/>
  <c r="F32" i="12"/>
  <c r="F24" i="12"/>
  <c r="F152" i="12"/>
  <c r="F142" i="12"/>
  <c r="F119" i="12"/>
  <c r="F115" i="12"/>
  <c r="F75" i="12"/>
  <c r="F63" i="12"/>
  <c r="F47" i="12"/>
  <c r="F39" i="12"/>
  <c r="F31" i="12"/>
  <c r="F138" i="12"/>
  <c r="F114" i="12"/>
  <c r="F109" i="12"/>
  <c r="F106" i="12"/>
  <c r="F97" i="12"/>
  <c r="F94" i="12"/>
  <c r="F85" i="12"/>
  <c r="F82" i="12"/>
  <c r="F74" i="12"/>
  <c r="F62" i="12"/>
  <c r="F57" i="12"/>
  <c r="F46" i="12"/>
  <c r="F38" i="12"/>
  <c r="F30" i="12"/>
  <c r="L12" i="12"/>
  <c r="N12" i="12" s="1"/>
  <c r="F154" i="12"/>
  <c r="F148" i="12"/>
  <c r="F144" i="12"/>
  <c r="F141" i="12"/>
  <c r="F137" i="12"/>
  <c r="F128" i="12"/>
  <c r="F100" i="12"/>
  <c r="F88" i="12"/>
  <c r="F73" i="12"/>
  <c r="F68" i="12"/>
  <c r="F61" i="12"/>
  <c r="F45" i="12"/>
  <c r="F37" i="12"/>
  <c r="F29" i="12"/>
  <c r="F140" i="12"/>
  <c r="F136" i="12"/>
  <c r="F131" i="12"/>
  <c r="F123" i="12"/>
  <c r="F111" i="12"/>
  <c r="F108" i="12"/>
  <c r="F103" i="12"/>
  <c r="F96" i="12"/>
  <c r="F91" i="12"/>
  <c r="F84" i="12"/>
  <c r="F79" i="12"/>
  <c r="F72" i="12"/>
  <c r="F60" i="12"/>
  <c r="D54" i="12"/>
  <c r="F52" i="12"/>
  <c r="F44" i="12"/>
  <c r="F36" i="12"/>
  <c r="F28" i="12"/>
  <c r="F23" i="12"/>
  <c r="F156" i="12"/>
  <c r="F147" i="12"/>
  <c r="F143" i="12"/>
  <c r="F135" i="12"/>
  <c r="F127" i="12"/>
  <c r="F118" i="12"/>
  <c r="F99" i="12"/>
  <c r="F87" i="12"/>
  <c r="F71" i="12"/>
  <c r="F67" i="12"/>
  <c r="F59" i="12"/>
  <c r="F51" i="12"/>
  <c r="F43" i="12"/>
  <c r="F35" i="12"/>
  <c r="F27" i="12"/>
  <c r="F153" i="12"/>
  <c r="F151" i="12"/>
  <c r="F146" i="12"/>
  <c r="F134" i="12"/>
  <c r="F130" i="12"/>
  <c r="F126" i="12"/>
  <c r="F122" i="12"/>
  <c r="F113" i="12"/>
  <c r="F110" i="12"/>
  <c r="F105" i="12"/>
  <c r="F102" i="12"/>
  <c r="F98" i="12"/>
  <c r="F93" i="12"/>
  <c r="F90" i="12"/>
  <c r="F86" i="12"/>
  <c r="F81" i="12"/>
  <c r="F78" i="12"/>
  <c r="F70" i="12"/>
  <c r="F66" i="12"/>
  <c r="F58" i="12"/>
  <c r="F50" i="12"/>
  <c r="F42" i="12"/>
  <c r="F34" i="12"/>
  <c r="F26" i="12"/>
  <c r="F149" i="12"/>
  <c r="F145" i="12"/>
  <c r="F133" i="12"/>
  <c r="F117" i="12"/>
  <c r="F77" i="12"/>
  <c r="F65" i="12"/>
  <c r="F89" i="12"/>
  <c r="F129" i="12"/>
  <c r="F25" i="12"/>
  <c r="F33" i="12"/>
  <c r="F125" i="12"/>
  <c r="F101" i="12"/>
  <c r="F56" i="12"/>
  <c r="F41" i="12"/>
  <c r="F121" i="12"/>
  <c r="F69" i="12"/>
  <c r="F49" i="12"/>
  <c r="P101" i="9"/>
  <c r="R149" i="15"/>
  <c r="R144" i="15"/>
  <c r="R133" i="15"/>
  <c r="R129" i="15"/>
  <c r="R146" i="15"/>
  <c r="R140" i="15"/>
  <c r="R136" i="15"/>
  <c r="R128" i="15"/>
  <c r="R120" i="15"/>
  <c r="R116" i="15"/>
  <c r="R104" i="15"/>
  <c r="R101" i="15"/>
  <c r="R92" i="15"/>
  <c r="R89" i="15"/>
  <c r="R80" i="15"/>
  <c r="R139" i="15"/>
  <c r="R132" i="15"/>
  <c r="R127" i="15"/>
  <c r="R123" i="15"/>
  <c r="R119" i="15"/>
  <c r="R115" i="15"/>
  <c r="R111" i="15"/>
  <c r="R95" i="15"/>
  <c r="R83" i="15"/>
  <c r="R148" i="15"/>
  <c r="R142" i="15"/>
  <c r="R138" i="15"/>
  <c r="R135" i="15"/>
  <c r="R126" i="15"/>
  <c r="R122" i="15"/>
  <c r="R118" i="15"/>
  <c r="R114" i="15"/>
  <c r="R110" i="15"/>
  <c r="R106" i="15"/>
  <c r="R103" i="15"/>
  <c r="R98" i="15"/>
  <c r="R94" i="15"/>
  <c r="R91" i="15"/>
  <c r="R86" i="15"/>
  <c r="R82" i="15"/>
  <c r="R79" i="15"/>
  <c r="R153" i="15"/>
  <c r="R145" i="15"/>
  <c r="R125" i="15"/>
  <c r="R141" i="15"/>
  <c r="R137" i="15"/>
  <c r="R121" i="15"/>
  <c r="R117" i="15"/>
  <c r="R108" i="15"/>
  <c r="R105" i="15"/>
  <c r="R100" i="15"/>
  <c r="R93" i="15"/>
  <c r="R147" i="15"/>
  <c r="R131" i="15"/>
  <c r="R124" i="15"/>
  <c r="R112" i="15"/>
  <c r="R96" i="15"/>
  <c r="R84" i="15"/>
  <c r="R97" i="15"/>
  <c r="R75" i="15"/>
  <c r="R69" i="15"/>
  <c r="R57" i="15"/>
  <c r="R41" i="15"/>
  <c r="R33" i="15"/>
  <c r="R25" i="15"/>
  <c r="R102" i="15"/>
  <c r="R68" i="15"/>
  <c r="R56" i="15"/>
  <c r="R48" i="15"/>
  <c r="R40" i="15"/>
  <c r="R32" i="15"/>
  <c r="R24" i="15"/>
  <c r="R130" i="15"/>
  <c r="R107" i="15"/>
  <c r="R67" i="15"/>
  <c r="R63" i="15"/>
  <c r="R55" i="15"/>
  <c r="R52" i="15"/>
  <c r="R47" i="15"/>
  <c r="R39" i="15"/>
  <c r="R31" i="15"/>
  <c r="R23" i="15"/>
  <c r="R85" i="15"/>
  <c r="R78" i="15"/>
  <c r="R74" i="15"/>
  <c r="R66" i="15"/>
  <c r="R62" i="15"/>
  <c r="R54" i="15"/>
  <c r="R46" i="15"/>
  <c r="R38" i="15"/>
  <c r="R30" i="15"/>
  <c r="R22" i="15"/>
  <c r="R134" i="15"/>
  <c r="R99" i="15"/>
  <c r="R77" i="15"/>
  <c r="R73" i="15"/>
  <c r="R65" i="15"/>
  <c r="R61" i="15"/>
  <c r="R45" i="15"/>
  <c r="R37" i="15"/>
  <c r="R29" i="15"/>
  <c r="R90" i="15"/>
  <c r="R87" i="15"/>
  <c r="R72" i="15"/>
  <c r="R60" i="15"/>
  <c r="R53" i="15"/>
  <c r="R44" i="15"/>
  <c r="R36" i="15"/>
  <c r="R28" i="15"/>
  <c r="R21" i="15"/>
  <c r="R109" i="15"/>
  <c r="R88" i="15"/>
  <c r="R71" i="15"/>
  <c r="R64" i="15"/>
  <c r="R59" i="15"/>
  <c r="R43" i="15"/>
  <c r="R35" i="15"/>
  <c r="R27" i="15"/>
  <c r="R70" i="15"/>
  <c r="R81" i="15"/>
  <c r="X12" i="15"/>
  <c r="Z12" i="15" s="1"/>
  <c r="R26" i="15"/>
  <c r="R113" i="15"/>
  <c r="R58" i="15"/>
  <c r="P50" i="15"/>
  <c r="R42" i="15"/>
  <c r="R34" i="15"/>
  <c r="R76" i="15"/>
  <c r="T36" i="8"/>
  <c r="Z36" i="8" s="1"/>
  <c r="Z31" i="8"/>
  <c r="P31" i="7"/>
  <c r="T27" i="11"/>
  <c r="Z18" i="11"/>
  <c r="N22" i="6"/>
  <c r="H26" i="6"/>
  <c r="T27" i="7"/>
  <c r="X27" i="7" s="1"/>
  <c r="Z18" i="7"/>
  <c r="F166" i="3"/>
  <c r="T27" i="95"/>
  <c r="Z18" i="95"/>
  <c r="L18" i="94"/>
  <c r="D27" i="94"/>
  <c r="J23" i="90"/>
  <c r="H92" i="90"/>
  <c r="F77" i="90"/>
  <c r="F64" i="90"/>
  <c r="F61" i="90"/>
  <c r="F87" i="90"/>
  <c r="F84" i="90"/>
  <c r="F40" i="90"/>
  <c r="F36" i="90"/>
  <c r="F28" i="90"/>
  <c r="F20" i="90"/>
  <c r="L12" i="90"/>
  <c r="N12" i="90" s="1"/>
  <c r="F83" i="90"/>
  <c r="F74" i="90"/>
  <c r="F66" i="90"/>
  <c r="F63" i="90"/>
  <c r="F58" i="90"/>
  <c r="F55" i="90"/>
  <c r="F50" i="90"/>
  <c r="F47" i="90"/>
  <c r="F39" i="90"/>
  <c r="F35" i="90"/>
  <c r="F27" i="90"/>
  <c r="F19" i="90"/>
  <c r="F90" i="90"/>
  <c r="F81" i="90"/>
  <c r="F76" i="90"/>
  <c r="F73" i="90"/>
  <c r="F65" i="90"/>
  <c r="F60" i="90"/>
  <c r="F57" i="90"/>
  <c r="F52" i="90"/>
  <c r="F49" i="90"/>
  <c r="F45" i="90"/>
  <c r="F33" i="90"/>
  <c r="F94" i="90"/>
  <c r="F88" i="90"/>
  <c r="F80" i="90"/>
  <c r="F72" i="90"/>
  <c r="F68" i="90"/>
  <c r="F44" i="90"/>
  <c r="F32" i="90"/>
  <c r="F79" i="90"/>
  <c r="F75" i="90"/>
  <c r="F71" i="90"/>
  <c r="F67" i="90"/>
  <c r="F62" i="90"/>
  <c r="F59" i="90"/>
  <c r="F54" i="90"/>
  <c r="F51" i="90"/>
  <c r="F43" i="90"/>
  <c r="F31" i="90"/>
  <c r="F26" i="90"/>
  <c r="F18" i="90"/>
  <c r="F38" i="90"/>
  <c r="F23" i="90"/>
  <c r="F56" i="90"/>
  <c r="F48" i="90"/>
  <c r="F30" i="90"/>
  <c r="F29" i="90"/>
  <c r="D23" i="90"/>
  <c r="F21" i="90"/>
  <c r="F82" i="90"/>
  <c r="F70" i="90"/>
  <c r="F69" i="90"/>
  <c r="F25" i="90"/>
  <c r="F85" i="90"/>
  <c r="F86" i="90"/>
  <c r="F78" i="90"/>
  <c r="F53" i="90"/>
  <c r="F46" i="90"/>
  <c r="F42" i="90"/>
  <c r="F41" i="90"/>
  <c r="F34" i="90"/>
  <c r="F37" i="90"/>
  <c r="T91" i="88"/>
  <c r="D36" i="86"/>
  <c r="L18" i="86"/>
  <c r="H36" i="86"/>
  <c r="N18" i="86"/>
  <c r="F85" i="83"/>
  <c r="F72" i="83"/>
  <c r="F64" i="83"/>
  <c r="F60" i="83"/>
  <c r="F95" i="83"/>
  <c r="F88" i="83"/>
  <c r="F83" i="83"/>
  <c r="F71" i="83"/>
  <c r="F67" i="83"/>
  <c r="F63" i="83"/>
  <c r="F59" i="83"/>
  <c r="F77" i="83"/>
  <c r="F70" i="83"/>
  <c r="F62" i="83"/>
  <c r="F86" i="83"/>
  <c r="F80" i="83"/>
  <c r="F69" i="83"/>
  <c r="F76" i="83"/>
  <c r="F55" i="83"/>
  <c r="F90" i="83"/>
  <c r="F78" i="83"/>
  <c r="F74" i="83"/>
  <c r="F61" i="83"/>
  <c r="F54" i="83"/>
  <c r="F65" i="83"/>
  <c r="F58" i="83"/>
  <c r="F40" i="83"/>
  <c r="F28" i="83"/>
  <c r="F23" i="83"/>
  <c r="F81" i="83"/>
  <c r="F51" i="83"/>
  <c r="F47" i="83"/>
  <c r="F39" i="83"/>
  <c r="F27" i="83"/>
  <c r="F20" i="83"/>
  <c r="F66" i="83"/>
  <c r="F50" i="83"/>
  <c r="F38" i="83"/>
  <c r="F33" i="83"/>
  <c r="F26" i="83"/>
  <c r="D20" i="83"/>
  <c r="F18" i="83"/>
  <c r="F82" i="83"/>
  <c r="F49" i="83"/>
  <c r="F44" i="83"/>
  <c r="F37" i="83"/>
  <c r="F25" i="83"/>
  <c r="F17" i="83"/>
  <c r="F75" i="83"/>
  <c r="F68" i="83"/>
  <c r="F53" i="83"/>
  <c r="F36" i="83"/>
  <c r="F32" i="83"/>
  <c r="F24" i="83"/>
  <c r="L12" i="83"/>
  <c r="N12" i="83" s="1"/>
  <c r="F79" i="83"/>
  <c r="F42" i="83"/>
  <c r="F34" i="83"/>
  <c r="F30" i="83"/>
  <c r="F73" i="83"/>
  <c r="F57" i="83"/>
  <c r="F48" i="83"/>
  <c r="F45" i="83"/>
  <c r="F41" i="83"/>
  <c r="F29" i="83"/>
  <c r="F16" i="83"/>
  <c r="F56" i="83"/>
  <c r="F46" i="83"/>
  <c r="F35" i="83"/>
  <c r="F43" i="83"/>
  <c r="F92" i="83"/>
  <c r="F52" i="83"/>
  <c r="F22" i="83"/>
  <c r="F31" i="83"/>
  <c r="H34" i="79"/>
  <c r="P32" i="80"/>
  <c r="X28" i="80"/>
  <c r="L16" i="77"/>
  <c r="D26" i="77"/>
  <c r="X16" i="81"/>
  <c r="T77" i="78"/>
  <c r="Z16" i="78"/>
  <c r="P37" i="79"/>
  <c r="R24" i="74"/>
  <c r="X16" i="78"/>
  <c r="N23" i="68"/>
  <c r="J23" i="68"/>
  <c r="H75" i="68"/>
  <c r="V19" i="72"/>
  <c r="T25" i="72"/>
  <c r="X101" i="62"/>
  <c r="P105" i="62"/>
  <c r="P67" i="59"/>
  <c r="X16" i="59"/>
  <c r="F30" i="63"/>
  <c r="P84" i="63"/>
  <c r="X30" i="63"/>
  <c r="Z30" i="63" s="1"/>
  <c r="H71" i="57"/>
  <c r="D62" i="60"/>
  <c r="L58" i="60"/>
  <c r="N58" i="60" s="1"/>
  <c r="Z18" i="52"/>
  <c r="T27" i="52"/>
  <c r="J99" i="45"/>
  <c r="H27" i="49"/>
  <c r="N18" i="49"/>
  <c r="T27" i="49"/>
  <c r="Z18" i="49"/>
  <c r="T27" i="41"/>
  <c r="Z18" i="41"/>
  <c r="X27" i="50"/>
  <c r="P31" i="50"/>
  <c r="T99" i="45"/>
  <c r="Z23" i="45"/>
  <c r="T127" i="34"/>
  <c r="F88" i="25"/>
  <c r="F78" i="25"/>
  <c r="F62" i="25"/>
  <c r="F59" i="25"/>
  <c r="F51" i="25"/>
  <c r="F39" i="25"/>
  <c r="F34" i="25"/>
  <c r="F23" i="25"/>
  <c r="F81" i="25"/>
  <c r="F74" i="25"/>
  <c r="F70" i="25"/>
  <c r="F50" i="25"/>
  <c r="F45" i="25"/>
  <c r="F38" i="25"/>
  <c r="F31" i="25"/>
  <c r="F22" i="25"/>
  <c r="L12" i="25"/>
  <c r="N12" i="25" s="1"/>
  <c r="F95" i="25"/>
  <c r="F90" i="25"/>
  <c r="F84" i="25"/>
  <c r="F77" i="25"/>
  <c r="F73" i="25"/>
  <c r="F64" i="25"/>
  <c r="F61" i="25"/>
  <c r="F56" i="25"/>
  <c r="F49" i="25"/>
  <c r="F37" i="25"/>
  <c r="D31" i="25"/>
  <c r="F29" i="25"/>
  <c r="F21" i="25"/>
  <c r="F80" i="25"/>
  <c r="F76" i="25"/>
  <c r="F72" i="25"/>
  <c r="F67" i="25"/>
  <c r="F48" i="25"/>
  <c r="F44" i="25"/>
  <c r="F36" i="25"/>
  <c r="F28" i="25"/>
  <c r="F20" i="25"/>
  <c r="F83" i="25"/>
  <c r="F79" i="25"/>
  <c r="F63" i="25"/>
  <c r="F58" i="25"/>
  <c r="F55" i="25"/>
  <c r="F47" i="25"/>
  <c r="F43" i="25"/>
  <c r="F35" i="25"/>
  <c r="F27" i="25"/>
  <c r="F89" i="25"/>
  <c r="F87" i="25"/>
  <c r="F82" i="25"/>
  <c r="F69" i="25"/>
  <c r="F66" i="25"/>
  <c r="F54" i="25"/>
  <c r="F46" i="25"/>
  <c r="F42" i="25"/>
  <c r="F33" i="25"/>
  <c r="F26" i="25"/>
  <c r="F85" i="25"/>
  <c r="F65" i="25"/>
  <c r="F60" i="25"/>
  <c r="F57" i="25"/>
  <c r="F53" i="25"/>
  <c r="F41" i="25"/>
  <c r="F25" i="25"/>
  <c r="F71" i="25"/>
  <c r="F68" i="25"/>
  <c r="F52" i="25"/>
  <c r="F75" i="25"/>
  <c r="F40" i="25"/>
  <c r="F19" i="25"/>
  <c r="F24" i="25"/>
  <c r="F91" i="25"/>
  <c r="V40" i="28"/>
  <c r="T122" i="28"/>
  <c r="T27" i="26"/>
  <c r="Z18" i="26"/>
  <c r="H27" i="26"/>
  <c r="N18" i="26"/>
  <c r="T27" i="17"/>
  <c r="Z18" i="17"/>
  <c r="P27" i="24"/>
  <c r="X18" i="24"/>
  <c r="X18" i="16"/>
  <c r="P27" i="16"/>
  <c r="R89" i="25"/>
  <c r="R83" i="25"/>
  <c r="R79" i="25"/>
  <c r="R63" i="25"/>
  <c r="R60" i="25"/>
  <c r="R55" i="25"/>
  <c r="R47" i="25"/>
  <c r="R43" i="25"/>
  <c r="R35" i="25"/>
  <c r="R27" i="25"/>
  <c r="R82" i="25"/>
  <c r="R75" i="25"/>
  <c r="R71" i="25"/>
  <c r="R66" i="25"/>
  <c r="R54" i="25"/>
  <c r="R46" i="25"/>
  <c r="R42" i="25"/>
  <c r="R26" i="25"/>
  <c r="R19" i="25"/>
  <c r="R91" i="25"/>
  <c r="R85" i="25"/>
  <c r="R78" i="25"/>
  <c r="R65" i="25"/>
  <c r="R62" i="25"/>
  <c r="R57" i="25"/>
  <c r="R53" i="25"/>
  <c r="R41" i="25"/>
  <c r="R34" i="25"/>
  <c r="R25" i="25"/>
  <c r="R88" i="25"/>
  <c r="R81" i="25"/>
  <c r="R68" i="25"/>
  <c r="R52" i="25"/>
  <c r="R45" i="25"/>
  <c r="R40" i="25"/>
  <c r="R24" i="25"/>
  <c r="R84" i="25"/>
  <c r="R64" i="25"/>
  <c r="R59" i="25"/>
  <c r="R56" i="25"/>
  <c r="R51" i="25"/>
  <c r="R39" i="25"/>
  <c r="P31" i="25"/>
  <c r="R23" i="25"/>
  <c r="R90" i="25"/>
  <c r="R74" i="25"/>
  <c r="R70" i="25"/>
  <c r="R67" i="25"/>
  <c r="R50" i="25"/>
  <c r="R38" i="25"/>
  <c r="R22" i="25"/>
  <c r="X12" i="25"/>
  <c r="Z12" i="25" s="1"/>
  <c r="R95" i="25"/>
  <c r="R77" i="25"/>
  <c r="R73" i="25"/>
  <c r="R61" i="25"/>
  <c r="R58" i="25"/>
  <c r="R49" i="25"/>
  <c r="R37" i="25"/>
  <c r="R29" i="25"/>
  <c r="R21" i="25"/>
  <c r="R69" i="25"/>
  <c r="R76" i="25"/>
  <c r="R87" i="25"/>
  <c r="R48" i="25"/>
  <c r="R28" i="25"/>
  <c r="R44" i="25"/>
  <c r="R36" i="25"/>
  <c r="R80" i="25"/>
  <c r="R33" i="25"/>
  <c r="R20" i="25"/>
  <c r="R72" i="25"/>
  <c r="T97" i="9"/>
  <c r="Z16" i="9"/>
  <c r="L18" i="32"/>
  <c r="H151" i="15"/>
  <c r="D27" i="10"/>
  <c r="L18" i="10"/>
  <c r="T27" i="5"/>
  <c r="X27" i="5" s="1"/>
  <c r="Z18" i="5"/>
  <c r="R91" i="21"/>
  <c r="R84" i="21"/>
  <c r="R80" i="21"/>
  <c r="R83" i="21"/>
  <c r="R89" i="21"/>
  <c r="R82" i="21"/>
  <c r="R79" i="21"/>
  <c r="R75" i="21"/>
  <c r="R51" i="21"/>
  <c r="R48" i="21"/>
  <c r="R43" i="21"/>
  <c r="R31" i="21"/>
  <c r="P23" i="21"/>
  <c r="R88" i="21"/>
  <c r="R81" i="21"/>
  <c r="R78" i="21"/>
  <c r="R74" i="21"/>
  <c r="R71" i="21"/>
  <c r="R67" i="21"/>
  <c r="R62" i="21"/>
  <c r="R59" i="21"/>
  <c r="R42" i="21"/>
  <c r="R30" i="21"/>
  <c r="R53" i="21"/>
  <c r="R50" i="21"/>
  <c r="R41" i="21"/>
  <c r="R29" i="21"/>
  <c r="R21" i="21"/>
  <c r="R87" i="21"/>
  <c r="R86" i="21"/>
  <c r="R77" i="21"/>
  <c r="R73" i="21"/>
  <c r="R64" i="21"/>
  <c r="R61" i="21"/>
  <c r="R56" i="21"/>
  <c r="R40" i="21"/>
  <c r="R36" i="21"/>
  <c r="R28" i="21"/>
  <c r="R25" i="21"/>
  <c r="R20" i="21"/>
  <c r="X12" i="21"/>
  <c r="Z12" i="21" s="1"/>
  <c r="R55" i="21"/>
  <c r="R52" i="21"/>
  <c r="R47" i="21"/>
  <c r="R39" i="21"/>
  <c r="R35" i="21"/>
  <c r="R27" i="21"/>
  <c r="R19" i="21"/>
  <c r="R70" i="21"/>
  <c r="R66" i="21"/>
  <c r="R63" i="21"/>
  <c r="R58" i="21"/>
  <c r="R46" i="21"/>
  <c r="R38" i="21"/>
  <c r="R34" i="21"/>
  <c r="R69" i="21"/>
  <c r="R54" i="21"/>
  <c r="R49" i="21"/>
  <c r="R45" i="21"/>
  <c r="R33" i="21"/>
  <c r="R26" i="21"/>
  <c r="R18" i="21"/>
  <c r="R85" i="21"/>
  <c r="R72" i="21"/>
  <c r="R76" i="21"/>
  <c r="R60" i="21"/>
  <c r="R37" i="21"/>
  <c r="R68" i="21"/>
  <c r="R95" i="21"/>
  <c r="R65" i="21"/>
  <c r="R57" i="21"/>
  <c r="R44" i="21"/>
  <c r="R32" i="21"/>
  <c r="R23" i="21"/>
  <c r="T27" i="13"/>
  <c r="Z18" i="13"/>
  <c r="R183" i="3"/>
  <c r="R174" i="3"/>
  <c r="R156" i="3"/>
  <c r="R152" i="3"/>
  <c r="R144" i="3"/>
  <c r="R136" i="3"/>
  <c r="R132" i="3"/>
  <c r="R128" i="3"/>
  <c r="R105" i="3"/>
  <c r="R100" i="3"/>
  <c r="R93" i="3"/>
  <c r="R88" i="3"/>
  <c r="R84" i="3"/>
  <c r="R72" i="3"/>
  <c r="R65" i="3"/>
  <c r="R56" i="3"/>
  <c r="R48" i="3"/>
  <c r="R40" i="3"/>
  <c r="R32" i="3"/>
  <c r="R25" i="3"/>
  <c r="R145" i="3"/>
  <c r="R137" i="3"/>
  <c r="R133" i="3"/>
  <c r="R118" i="3"/>
  <c r="R113" i="3"/>
  <c r="R182" i="3"/>
  <c r="R171" i="3"/>
  <c r="R166" i="3"/>
  <c r="R155" i="3"/>
  <c r="R151" i="3"/>
  <c r="R140" i="3"/>
  <c r="R135" i="3"/>
  <c r="R131" i="3"/>
  <c r="R127" i="3"/>
  <c r="R123" i="3"/>
  <c r="R120" i="3"/>
  <c r="R115" i="3"/>
  <c r="R112" i="3"/>
  <c r="R108" i="3"/>
  <c r="R96" i="3"/>
  <c r="R83" i="3"/>
  <c r="R76" i="3"/>
  <c r="R71" i="3"/>
  <c r="R55" i="3"/>
  <c r="R47" i="3"/>
  <c r="R39" i="3"/>
  <c r="R31" i="3"/>
  <c r="R153" i="3"/>
  <c r="R121" i="3"/>
  <c r="R168" i="3"/>
  <c r="R162" i="3"/>
  <c r="R158" i="3"/>
  <c r="R150" i="3"/>
  <c r="R143" i="3"/>
  <c r="R130" i="3"/>
  <c r="R126" i="3"/>
  <c r="R102" i="3"/>
  <c r="R99" i="3"/>
  <c r="R90" i="3"/>
  <c r="R87" i="3"/>
  <c r="R82" i="3"/>
  <c r="R70" i="3"/>
  <c r="P62" i="3"/>
  <c r="R54" i="3"/>
  <c r="R46" i="3"/>
  <c r="R38" i="3"/>
  <c r="R30" i="3"/>
  <c r="R169" i="3"/>
  <c r="R73" i="3"/>
  <c r="R173" i="3"/>
  <c r="R161" i="3"/>
  <c r="R154" i="3"/>
  <c r="R149" i="3"/>
  <c r="R134" i="3"/>
  <c r="R125" i="3"/>
  <c r="R122" i="3"/>
  <c r="R117" i="3"/>
  <c r="R114" i="3"/>
  <c r="R81" i="3"/>
  <c r="R69" i="3"/>
  <c r="R53" i="3"/>
  <c r="R45" i="3"/>
  <c r="R37" i="3"/>
  <c r="R29" i="3"/>
  <c r="R170" i="3"/>
  <c r="R164" i="3"/>
  <c r="R160" i="3"/>
  <c r="R157" i="3"/>
  <c r="R148" i="3"/>
  <c r="R129" i="3"/>
  <c r="R104" i="3"/>
  <c r="R101" i="3"/>
  <c r="R92" i="3"/>
  <c r="R89" i="3"/>
  <c r="R80" i="3"/>
  <c r="R68" i="3"/>
  <c r="R60" i="3"/>
  <c r="R52" i="3"/>
  <c r="R44" i="3"/>
  <c r="R36" i="3"/>
  <c r="R28" i="3"/>
  <c r="R167" i="3"/>
  <c r="R147" i="3"/>
  <c r="R139" i="3"/>
  <c r="R124" i="3"/>
  <c r="R119" i="3"/>
  <c r="R116" i="3"/>
  <c r="R111" i="3"/>
  <c r="R107" i="3"/>
  <c r="R95" i="3"/>
  <c r="R79" i="3"/>
  <c r="R75" i="3"/>
  <c r="R67" i="3"/>
  <c r="R64" i="3"/>
  <c r="R59" i="3"/>
  <c r="R51" i="3"/>
  <c r="R43" i="3"/>
  <c r="R35" i="3"/>
  <c r="R27" i="3"/>
  <c r="R57" i="3"/>
  <c r="R49" i="3"/>
  <c r="R41" i="3"/>
  <c r="R178" i="3"/>
  <c r="R172" i="3"/>
  <c r="R163" i="3"/>
  <c r="R159" i="3"/>
  <c r="R146" i="3"/>
  <c r="R142" i="3"/>
  <c r="R138" i="3"/>
  <c r="R110" i="3"/>
  <c r="R106" i="3"/>
  <c r="R103" i="3"/>
  <c r="R98" i="3"/>
  <c r="R94" i="3"/>
  <c r="R91" i="3"/>
  <c r="R86" i="3"/>
  <c r="R78" i="3"/>
  <c r="R74" i="3"/>
  <c r="R66" i="3"/>
  <c r="R58" i="3"/>
  <c r="R50" i="3"/>
  <c r="R42" i="3"/>
  <c r="R34" i="3"/>
  <c r="R26" i="3"/>
  <c r="X12" i="3"/>
  <c r="Z12" i="3" s="1"/>
  <c r="R141" i="3"/>
  <c r="R109" i="3"/>
  <c r="R97" i="3"/>
  <c r="R85" i="3"/>
  <c r="R77" i="3"/>
  <c r="R33" i="3"/>
  <c r="X18" i="8"/>
  <c r="P27" i="8"/>
  <c r="N18" i="5"/>
  <c r="H27" i="5"/>
  <c r="D22" i="6"/>
  <c r="L16" i="6"/>
  <c r="D27" i="5"/>
  <c r="L18" i="5"/>
  <c r="T27" i="4"/>
  <c r="Z18" i="4"/>
  <c r="T158" i="12"/>
  <c r="L18" i="7"/>
  <c r="D27" i="7"/>
  <c r="P31" i="5"/>
  <c r="H31" i="53" l="1"/>
  <c r="D31" i="24"/>
  <c r="L31" i="24" s="1"/>
  <c r="P95" i="82"/>
  <c r="X23" i="82"/>
  <c r="Z23" i="82" s="1"/>
  <c r="P43" i="86"/>
  <c r="X40" i="86"/>
  <c r="Z40" i="86" s="1"/>
  <c r="R40" i="86"/>
  <c r="D180" i="3"/>
  <c r="L176" i="3"/>
  <c r="F176" i="3"/>
  <c r="H31" i="32"/>
  <c r="N27" i="32"/>
  <c r="D31" i="41"/>
  <c r="L27" i="41"/>
  <c r="X27" i="37"/>
  <c r="P31" i="37"/>
  <c r="H82" i="92"/>
  <c r="J79" i="92"/>
  <c r="D31" i="26"/>
  <c r="L27" i="26"/>
  <c r="D88" i="63"/>
  <c r="L84" i="63"/>
  <c r="N84" i="63" s="1"/>
  <c r="F84" i="63"/>
  <c r="D57" i="84"/>
  <c r="L53" i="84"/>
  <c r="N53" i="84" s="1"/>
  <c r="Z24" i="89"/>
  <c r="T28" i="89"/>
  <c r="X24" i="89"/>
  <c r="N27" i="95"/>
  <c r="H31" i="95"/>
  <c r="T32" i="80"/>
  <c r="Z28" i="80"/>
  <c r="N27" i="10"/>
  <c r="H31" i="10"/>
  <c r="D159" i="18"/>
  <c r="L56" i="18"/>
  <c r="N56" i="18" s="1"/>
  <c r="F56" i="18"/>
  <c r="P38" i="55"/>
  <c r="P64" i="61"/>
  <c r="X61" i="61"/>
  <c r="X20" i="71"/>
  <c r="Z20" i="71" s="1"/>
  <c r="P73" i="71"/>
  <c r="H32" i="72"/>
  <c r="J29" i="72"/>
  <c r="P31" i="95"/>
  <c r="X27" i="95"/>
  <c r="L27" i="53"/>
  <c r="D31" i="53"/>
  <c r="D31" i="13"/>
  <c r="L27" i="13"/>
  <c r="T31" i="23"/>
  <c r="X31" i="23" s="1"/>
  <c r="Z27" i="23"/>
  <c r="H32" i="80"/>
  <c r="H37" i="79"/>
  <c r="T80" i="71"/>
  <c r="V77" i="71"/>
  <c r="H79" i="31"/>
  <c r="J75" i="31"/>
  <c r="P36" i="5"/>
  <c r="D31" i="5"/>
  <c r="L27" i="5"/>
  <c r="P176" i="3"/>
  <c r="X62" i="3"/>
  <c r="Z62" i="3" s="1"/>
  <c r="T126" i="28"/>
  <c r="V122" i="28"/>
  <c r="T131" i="34"/>
  <c r="V127" i="34"/>
  <c r="Z27" i="49"/>
  <c r="T31" i="49"/>
  <c r="H79" i="68"/>
  <c r="J75" i="68"/>
  <c r="T81" i="78"/>
  <c r="X77" i="78"/>
  <c r="Z77" i="78" s="1"/>
  <c r="D36" i="32"/>
  <c r="L31" i="32"/>
  <c r="T79" i="48"/>
  <c r="V75" i="48"/>
  <c r="Z27" i="47"/>
  <c r="T31" i="47"/>
  <c r="X31" i="47" s="1"/>
  <c r="P31" i="53"/>
  <c r="X27" i="53"/>
  <c r="X23" i="90"/>
  <c r="Z23" i="90" s="1"/>
  <c r="P92" i="90"/>
  <c r="T180" i="3"/>
  <c r="V176" i="3"/>
  <c r="N27" i="13"/>
  <c r="H31" i="13"/>
  <c r="P36" i="27"/>
  <c r="X31" i="27"/>
  <c r="D75" i="31"/>
  <c r="L23" i="31"/>
  <c r="N23" i="31" s="1"/>
  <c r="X27" i="20"/>
  <c r="P31" i="20"/>
  <c r="T36" i="38"/>
  <c r="Z36" i="38" s="1"/>
  <c r="Z31" i="38"/>
  <c r="Z27" i="44"/>
  <c r="T31" i="44"/>
  <c r="X31" i="44" s="1"/>
  <c r="T119" i="39"/>
  <c r="V115" i="39"/>
  <c r="P82" i="68"/>
  <c r="R79" i="68"/>
  <c r="T26" i="6"/>
  <c r="Z22" i="6"/>
  <c r="T155" i="15"/>
  <c r="V151" i="15"/>
  <c r="N27" i="19"/>
  <c r="H31" i="19"/>
  <c r="L27" i="19"/>
  <c r="H127" i="36"/>
  <c r="J124" i="36"/>
  <c r="T31" i="43"/>
  <c r="X31" i="43" s="1"/>
  <c r="Z27" i="43"/>
  <c r="D71" i="57"/>
  <c r="L67" i="57"/>
  <c r="N67" i="57" s="1"/>
  <c r="T64" i="61"/>
  <c r="Z61" i="61"/>
  <c r="T92" i="83"/>
  <c r="V88" i="83"/>
  <c r="N27" i="93"/>
  <c r="H31" i="93"/>
  <c r="H162" i="12"/>
  <c r="J158" i="12"/>
  <c r="P31" i="54"/>
  <c r="X31" i="54" s="1"/>
  <c r="Z31" i="54" s="1"/>
  <c r="X26" i="54"/>
  <c r="L24" i="42"/>
  <c r="N24" i="42" s="1"/>
  <c r="D112" i="42"/>
  <c r="T32" i="81"/>
  <c r="X32" i="81" s="1"/>
  <c r="Z28" i="81"/>
  <c r="L27" i="93"/>
  <c r="D31" i="93"/>
  <c r="X75" i="48"/>
  <c r="Z75" i="48" s="1"/>
  <c r="P79" i="48"/>
  <c r="R75" i="48"/>
  <c r="H84" i="78"/>
  <c r="P25" i="72"/>
  <c r="X19" i="72"/>
  <c r="Z19" i="72" s="1"/>
  <c r="D35" i="85"/>
  <c r="T36" i="27"/>
  <c r="Z36" i="27" s="1"/>
  <c r="Z31" i="27"/>
  <c r="N27" i="11"/>
  <c r="H31" i="11"/>
  <c r="H31" i="29"/>
  <c r="L31" i="29" s="1"/>
  <c r="N27" i="29"/>
  <c r="H31" i="41"/>
  <c r="N27" i="41"/>
  <c r="X27" i="44"/>
  <c r="H97" i="65"/>
  <c r="J93" i="65"/>
  <c r="P35" i="81"/>
  <c r="N27" i="23"/>
  <c r="H31" i="23"/>
  <c r="H63" i="87"/>
  <c r="T79" i="92"/>
  <c r="Z75" i="92"/>
  <c r="V75" i="92"/>
  <c r="D31" i="7"/>
  <c r="L27" i="7"/>
  <c r="T101" i="9"/>
  <c r="P93" i="25"/>
  <c r="X31" i="25"/>
  <c r="Z31" i="25" s="1"/>
  <c r="R31" i="25"/>
  <c r="P31" i="24"/>
  <c r="X27" i="24"/>
  <c r="H74" i="57"/>
  <c r="D88" i="83"/>
  <c r="L20" i="83"/>
  <c r="N20" i="83" s="1"/>
  <c r="Z27" i="11"/>
  <c r="T31" i="11"/>
  <c r="P151" i="15"/>
  <c r="X50" i="15"/>
  <c r="Z50" i="15" s="1"/>
  <c r="P127" i="34"/>
  <c r="X42" i="34"/>
  <c r="Z42" i="34" s="1"/>
  <c r="H91" i="63"/>
  <c r="J88" i="63"/>
  <c r="P33" i="77"/>
  <c r="H99" i="82"/>
  <c r="J95" i="82"/>
  <c r="Z27" i="94"/>
  <c r="T31" i="94"/>
  <c r="X31" i="94" s="1"/>
  <c r="H106" i="45"/>
  <c r="J103" i="45"/>
  <c r="D99" i="82"/>
  <c r="L95" i="82"/>
  <c r="N95" i="82" s="1"/>
  <c r="F95" i="82"/>
  <c r="P31" i="10"/>
  <c r="X27" i="10"/>
  <c r="T99" i="82"/>
  <c r="V95" i="82"/>
  <c r="P159" i="18"/>
  <c r="X56" i="18"/>
  <c r="Z56" i="18" s="1"/>
  <c r="T36" i="20"/>
  <c r="Z36" i="20" s="1"/>
  <c r="Z31" i="20"/>
  <c r="T97" i="21"/>
  <c r="V93" i="21"/>
  <c r="X27" i="26"/>
  <c r="P31" i="26"/>
  <c r="D95" i="76"/>
  <c r="L91" i="76"/>
  <c r="F91" i="76"/>
  <c r="P31" i="4"/>
  <c r="X27" i="4"/>
  <c r="D36" i="20"/>
  <c r="P36" i="46"/>
  <c r="P74" i="57"/>
  <c r="H97" i="74"/>
  <c r="J94" i="74"/>
  <c r="H96" i="91"/>
  <c r="J92" i="91"/>
  <c r="D91" i="88"/>
  <c r="L23" i="88"/>
  <c r="N23" i="88" s="1"/>
  <c r="N27" i="16"/>
  <c r="H31" i="16"/>
  <c r="L31" i="16" s="1"/>
  <c r="H80" i="58"/>
  <c r="D105" i="62"/>
  <c r="L101" i="62"/>
  <c r="X27" i="93"/>
  <c r="P31" i="93"/>
  <c r="H119" i="39"/>
  <c r="J115" i="39"/>
  <c r="H163" i="18"/>
  <c r="J159" i="18"/>
  <c r="D126" i="28"/>
  <c r="L122" i="28"/>
  <c r="F122" i="28"/>
  <c r="P115" i="39"/>
  <c r="X25" i="39"/>
  <c r="Z25" i="39" s="1"/>
  <c r="X24" i="42"/>
  <c r="Z24" i="42" s="1"/>
  <c r="P112" i="42"/>
  <c r="T31" i="46"/>
  <c r="Z27" i="46"/>
  <c r="P36" i="44"/>
  <c r="D82" i="56"/>
  <c r="L79" i="56"/>
  <c r="H32" i="81"/>
  <c r="N28" i="81"/>
  <c r="T114" i="67"/>
  <c r="V110" i="67"/>
  <c r="P103" i="45"/>
  <c r="X99" i="45"/>
  <c r="Z99" i="45" s="1"/>
  <c r="R99" i="45"/>
  <c r="P36" i="33"/>
  <c r="D26" i="6"/>
  <c r="L22" i="6"/>
  <c r="T31" i="5"/>
  <c r="Z27" i="5"/>
  <c r="D93" i="25"/>
  <c r="L31" i="25"/>
  <c r="N31" i="25" s="1"/>
  <c r="T103" i="45"/>
  <c r="V99" i="45"/>
  <c r="H31" i="49"/>
  <c r="N27" i="49"/>
  <c r="D30" i="77"/>
  <c r="L26" i="77"/>
  <c r="T31" i="95"/>
  <c r="Z27" i="95"/>
  <c r="P36" i="7"/>
  <c r="X97" i="9"/>
  <c r="Z97" i="9" s="1"/>
  <c r="L54" i="12"/>
  <c r="N54" i="12" s="1"/>
  <c r="D158" i="12"/>
  <c r="N27" i="22"/>
  <c r="H31" i="22"/>
  <c r="P75" i="31"/>
  <c r="X23" i="31"/>
  <c r="Z23" i="31" s="1"/>
  <c r="X27" i="40"/>
  <c r="P31" i="40"/>
  <c r="P36" i="43"/>
  <c r="H105" i="62"/>
  <c r="N101" i="62"/>
  <c r="V97" i="74"/>
  <c r="D25" i="72"/>
  <c r="L19" i="72"/>
  <c r="N19" i="72" s="1"/>
  <c r="X27" i="47"/>
  <c r="T97" i="65"/>
  <c r="V93" i="65"/>
  <c r="N27" i="14"/>
  <c r="H31" i="14"/>
  <c r="X27" i="19"/>
  <c r="P31" i="19"/>
  <c r="D31" i="27"/>
  <c r="L27" i="27"/>
  <c r="T35" i="55"/>
  <c r="X35" i="55" s="1"/>
  <c r="D35" i="55"/>
  <c r="L31" i="55"/>
  <c r="N31" i="55" s="1"/>
  <c r="D83" i="69"/>
  <c r="L79" i="69"/>
  <c r="F79" i="69"/>
  <c r="N27" i="33"/>
  <c r="H31" i="33"/>
  <c r="T124" i="36"/>
  <c r="V120" i="36"/>
  <c r="L99" i="45"/>
  <c r="N99" i="45" s="1"/>
  <c r="D103" i="45"/>
  <c r="F99" i="45"/>
  <c r="N27" i="52"/>
  <c r="H31" i="52"/>
  <c r="D79" i="68"/>
  <c r="L75" i="68"/>
  <c r="N75" i="68" s="1"/>
  <c r="F75" i="68"/>
  <c r="T34" i="79"/>
  <c r="X30" i="79"/>
  <c r="Z30" i="79" s="1"/>
  <c r="N28" i="85"/>
  <c r="H32" i="85"/>
  <c r="H31" i="7"/>
  <c r="N27" i="7"/>
  <c r="D97" i="65"/>
  <c r="L93" i="65"/>
  <c r="N93" i="65" s="1"/>
  <c r="F93" i="65"/>
  <c r="D36" i="16"/>
  <c r="H134" i="34"/>
  <c r="J131" i="34"/>
  <c r="D80" i="58"/>
  <c r="L76" i="58"/>
  <c r="N76" i="58" s="1"/>
  <c r="P36" i="94"/>
  <c r="P31" i="11"/>
  <c r="X27" i="11"/>
  <c r="H97" i="25"/>
  <c r="J93" i="25"/>
  <c r="T88" i="63"/>
  <c r="V84" i="63"/>
  <c r="P110" i="67"/>
  <c r="X40" i="67"/>
  <c r="Z40" i="67" s="1"/>
  <c r="X53" i="84"/>
  <c r="Z53" i="84" s="1"/>
  <c r="P57" i="84"/>
  <c r="N176" i="3"/>
  <c r="H180" i="3"/>
  <c r="J176" i="3"/>
  <c r="T36" i="32"/>
  <c r="Z36" i="32" s="1"/>
  <c r="Z31" i="32"/>
  <c r="H82" i="56"/>
  <c r="N79" i="56"/>
  <c r="T39" i="75"/>
  <c r="V36" i="75"/>
  <c r="X75" i="92"/>
  <c r="P79" i="92"/>
  <c r="R75" i="92"/>
  <c r="T31" i="50"/>
  <c r="Z27" i="50"/>
  <c r="P108" i="62"/>
  <c r="H116" i="42"/>
  <c r="J112" i="42"/>
  <c r="D31" i="50"/>
  <c r="L27" i="50"/>
  <c r="T162" i="12"/>
  <c r="V158" i="12"/>
  <c r="N27" i="5"/>
  <c r="H31" i="5"/>
  <c r="T31" i="13"/>
  <c r="Z27" i="13"/>
  <c r="X23" i="21"/>
  <c r="Z23" i="21" s="1"/>
  <c r="P93" i="21"/>
  <c r="T31" i="17"/>
  <c r="X31" i="17" s="1"/>
  <c r="Z27" i="17"/>
  <c r="P36" i="50"/>
  <c r="P88" i="63"/>
  <c r="X84" i="63"/>
  <c r="Z84" i="63" s="1"/>
  <c r="R84" i="63"/>
  <c r="H40" i="86"/>
  <c r="R50" i="15"/>
  <c r="P104" i="9"/>
  <c r="X101" i="9"/>
  <c r="F54" i="12"/>
  <c r="D31" i="30"/>
  <c r="L27" i="30"/>
  <c r="T116" i="42"/>
  <c r="V112" i="42"/>
  <c r="T83" i="58"/>
  <c r="X32" i="75"/>
  <c r="Z32" i="75" s="1"/>
  <c r="P36" i="75"/>
  <c r="R32" i="75"/>
  <c r="H60" i="84"/>
  <c r="T31" i="14"/>
  <c r="Z27" i="14"/>
  <c r="P36" i="47"/>
  <c r="H92" i="83"/>
  <c r="J88" i="83"/>
  <c r="P31" i="14"/>
  <c r="X27" i="14"/>
  <c r="N27" i="35"/>
  <c r="H31" i="35"/>
  <c r="D120" i="36"/>
  <c r="L25" i="36"/>
  <c r="N25" i="36" s="1"/>
  <c r="Z27" i="35"/>
  <c r="T31" i="35"/>
  <c r="X27" i="35"/>
  <c r="T71" i="57"/>
  <c r="X71" i="57" s="1"/>
  <c r="Z67" i="57"/>
  <c r="R56" i="18"/>
  <c r="H36" i="24"/>
  <c r="N36" i="24" s="1"/>
  <c r="N31" i="24"/>
  <c r="D36" i="29"/>
  <c r="D71" i="59"/>
  <c r="L67" i="59"/>
  <c r="L22" i="75"/>
  <c r="N22" i="75" s="1"/>
  <c r="D32" i="75"/>
  <c r="D92" i="91"/>
  <c r="L23" i="91"/>
  <c r="N23" i="91" s="1"/>
  <c r="H61" i="61"/>
  <c r="N57" i="61"/>
  <c r="D31" i="8"/>
  <c r="L27" i="8"/>
  <c r="D36" i="38"/>
  <c r="D127" i="34"/>
  <c r="L42" i="34"/>
  <c r="N42" i="34" s="1"/>
  <c r="H114" i="67"/>
  <c r="J110" i="67"/>
  <c r="X27" i="94"/>
  <c r="L27" i="52"/>
  <c r="D31" i="52"/>
  <c r="H31" i="30"/>
  <c r="N27" i="30"/>
  <c r="N27" i="17"/>
  <c r="H31" i="17"/>
  <c r="X27" i="30"/>
  <c r="P31" i="30"/>
  <c r="L31" i="54"/>
  <c r="N31" i="54" s="1"/>
  <c r="D31" i="49"/>
  <c r="L27" i="49"/>
  <c r="H126" i="28"/>
  <c r="N122" i="28"/>
  <c r="J122" i="28"/>
  <c r="N27" i="46"/>
  <c r="H31" i="46"/>
  <c r="T105" i="62"/>
  <c r="X105" i="62" s="1"/>
  <c r="Z101" i="62"/>
  <c r="P93" i="65"/>
  <c r="X31" i="65"/>
  <c r="Z31" i="65" s="1"/>
  <c r="R31" i="65"/>
  <c r="N26" i="77"/>
  <c r="H30" i="77"/>
  <c r="P92" i="83"/>
  <c r="X88" i="83"/>
  <c r="Z88" i="83" s="1"/>
  <c r="X27" i="17"/>
  <c r="Z27" i="26"/>
  <c r="T31" i="26"/>
  <c r="D90" i="74"/>
  <c r="L24" i="74"/>
  <c r="N24" i="74" s="1"/>
  <c r="D31" i="10"/>
  <c r="L27" i="10"/>
  <c r="Z27" i="52"/>
  <c r="T31" i="52"/>
  <c r="H82" i="48"/>
  <c r="J79" i="48"/>
  <c r="N27" i="43"/>
  <c r="H31" i="43"/>
  <c r="X27" i="52"/>
  <c r="H90" i="73"/>
  <c r="J86" i="73"/>
  <c r="T36" i="29"/>
  <c r="Z36" i="29" s="1"/>
  <c r="Z31" i="29"/>
  <c r="P95" i="76"/>
  <c r="X91" i="76"/>
  <c r="R91" i="76"/>
  <c r="L27" i="23"/>
  <c r="D31" i="23"/>
  <c r="L27" i="37"/>
  <c r="D31" i="37"/>
  <c r="H39" i="75"/>
  <c r="J36" i="75"/>
  <c r="H31" i="27"/>
  <c r="N27" i="27"/>
  <c r="D119" i="39"/>
  <c r="L115" i="39"/>
  <c r="N115" i="39" s="1"/>
  <c r="F115" i="39"/>
  <c r="Z27" i="37"/>
  <c r="T31" i="37"/>
  <c r="N27" i="47"/>
  <c r="H31" i="47"/>
  <c r="P79" i="69"/>
  <c r="X31" i="69"/>
  <c r="Z31" i="69" s="1"/>
  <c r="D32" i="81"/>
  <c r="L28" i="81"/>
  <c r="H31" i="89"/>
  <c r="N31" i="89" s="1"/>
  <c r="N28" i="89"/>
  <c r="Z27" i="40"/>
  <c r="T31" i="40"/>
  <c r="D31" i="22"/>
  <c r="L27" i="22"/>
  <c r="Z27" i="19"/>
  <c r="T31" i="19"/>
  <c r="F24" i="42"/>
  <c r="P79" i="51"/>
  <c r="X31" i="51"/>
  <c r="Z31" i="51" s="1"/>
  <c r="H95" i="88"/>
  <c r="J91" i="88"/>
  <c r="T63" i="87"/>
  <c r="X59" i="87"/>
  <c r="Z59" i="87" s="1"/>
  <c r="D31" i="95"/>
  <c r="L27" i="95"/>
  <c r="D86" i="73"/>
  <c r="L21" i="73"/>
  <c r="N21" i="73" s="1"/>
  <c r="P31" i="13"/>
  <c r="X27" i="13"/>
  <c r="P26" i="6"/>
  <c r="X22" i="6"/>
  <c r="T48" i="64"/>
  <c r="P96" i="91"/>
  <c r="X92" i="91"/>
  <c r="R92" i="91"/>
  <c r="D36" i="4"/>
  <c r="H31" i="4"/>
  <c r="L31" i="4" s="1"/>
  <c r="N27" i="4"/>
  <c r="N27" i="8"/>
  <c r="H31" i="8"/>
  <c r="D31" i="17"/>
  <c r="L27" i="17"/>
  <c r="H31" i="40"/>
  <c r="N27" i="40"/>
  <c r="R25" i="39"/>
  <c r="L27" i="47"/>
  <c r="D31" i="47"/>
  <c r="T57" i="84"/>
  <c r="P36" i="17"/>
  <c r="H71" i="59"/>
  <c r="N67" i="59"/>
  <c r="D65" i="60"/>
  <c r="L62" i="60"/>
  <c r="P31" i="8"/>
  <c r="X27" i="8"/>
  <c r="R62" i="3"/>
  <c r="H31" i="26"/>
  <c r="N27" i="26"/>
  <c r="P35" i="80"/>
  <c r="X32" i="80"/>
  <c r="D40" i="86"/>
  <c r="L36" i="86"/>
  <c r="N36" i="86" s="1"/>
  <c r="F36" i="86"/>
  <c r="H96" i="90"/>
  <c r="J92" i="90"/>
  <c r="T31" i="7"/>
  <c r="X31" i="7" s="1"/>
  <c r="Z27" i="7"/>
  <c r="R42" i="34"/>
  <c r="P36" i="52"/>
  <c r="X31" i="52"/>
  <c r="T30" i="77"/>
  <c r="Z26" i="77"/>
  <c r="T35" i="85"/>
  <c r="T96" i="91"/>
  <c r="Z92" i="91"/>
  <c r="V92" i="91"/>
  <c r="H65" i="60"/>
  <c r="N62" i="60"/>
  <c r="Z27" i="93"/>
  <c r="T31" i="93"/>
  <c r="L27" i="11"/>
  <c r="D31" i="11"/>
  <c r="H100" i="21"/>
  <c r="J97" i="21"/>
  <c r="N27" i="37"/>
  <c r="H31" i="37"/>
  <c r="D83" i="51"/>
  <c r="L79" i="51"/>
  <c r="N79" i="51" s="1"/>
  <c r="F79" i="51"/>
  <c r="F24" i="74"/>
  <c r="P32" i="85"/>
  <c r="X28" i="85"/>
  <c r="Z28" i="85" s="1"/>
  <c r="D75" i="92"/>
  <c r="L17" i="92"/>
  <c r="N17" i="92" s="1"/>
  <c r="P31" i="22"/>
  <c r="X27" i="22"/>
  <c r="P122" i="28"/>
  <c r="X40" i="28"/>
  <c r="Z40" i="28" s="1"/>
  <c r="T83" i="69"/>
  <c r="V79" i="69"/>
  <c r="H77" i="71"/>
  <c r="J73" i="71"/>
  <c r="T166" i="18"/>
  <c r="V163" i="18"/>
  <c r="X54" i="12"/>
  <c r="Z54" i="12" s="1"/>
  <c r="P158" i="12"/>
  <c r="D28" i="89"/>
  <c r="L24" i="89"/>
  <c r="X27" i="29"/>
  <c r="P31" i="29"/>
  <c r="T83" i="51"/>
  <c r="V79" i="51"/>
  <c r="P79" i="56"/>
  <c r="X75" i="56"/>
  <c r="Z75" i="56" s="1"/>
  <c r="H95" i="76"/>
  <c r="N91" i="76"/>
  <c r="J91" i="76"/>
  <c r="F23" i="88"/>
  <c r="D151" i="15"/>
  <c r="L50" i="15"/>
  <c r="N50" i="15" s="1"/>
  <c r="D31" i="46"/>
  <c r="L27" i="46"/>
  <c r="Z27" i="53"/>
  <c r="T31" i="53"/>
  <c r="X80" i="58"/>
  <c r="Z80" i="58" s="1"/>
  <c r="X27" i="23"/>
  <c r="D79" i="48"/>
  <c r="L75" i="48"/>
  <c r="N75" i="48" s="1"/>
  <c r="F75" i="48"/>
  <c r="P90" i="73"/>
  <c r="X86" i="73"/>
  <c r="R86" i="73"/>
  <c r="P31" i="32"/>
  <c r="X27" i="32"/>
  <c r="T95" i="88"/>
  <c r="V91" i="88"/>
  <c r="D31" i="94"/>
  <c r="L27" i="94"/>
  <c r="T82" i="56"/>
  <c r="T97" i="25"/>
  <c r="V93" i="25"/>
  <c r="T31" i="4"/>
  <c r="Z27" i="4"/>
  <c r="H155" i="15"/>
  <c r="J151" i="15"/>
  <c r="P31" i="16"/>
  <c r="X27" i="16"/>
  <c r="T31" i="41"/>
  <c r="Z27" i="41"/>
  <c r="X27" i="41"/>
  <c r="P71" i="59"/>
  <c r="X67" i="59"/>
  <c r="Z67" i="59" s="1"/>
  <c r="T29" i="72"/>
  <c r="V25" i="72"/>
  <c r="D92" i="90"/>
  <c r="L23" i="90"/>
  <c r="N23" i="90" s="1"/>
  <c r="H31" i="6"/>
  <c r="N26" i="6"/>
  <c r="T31" i="10"/>
  <c r="Z27" i="10"/>
  <c r="P120" i="36"/>
  <c r="X25" i="36"/>
  <c r="Z25" i="36" s="1"/>
  <c r="Z27" i="24"/>
  <c r="T31" i="24"/>
  <c r="D31" i="40"/>
  <c r="L27" i="40"/>
  <c r="L27" i="35"/>
  <c r="D31" i="35"/>
  <c r="J86" i="51"/>
  <c r="N27" i="44"/>
  <c r="H31" i="44"/>
  <c r="D114" i="67"/>
  <c r="L110" i="67"/>
  <c r="N110" i="67" s="1"/>
  <c r="F110" i="67"/>
  <c r="H83" i="69"/>
  <c r="N79" i="69"/>
  <c r="J79" i="69"/>
  <c r="R23" i="90"/>
  <c r="T95" i="76"/>
  <c r="Z91" i="76"/>
  <c r="V91" i="76"/>
  <c r="X27" i="38"/>
  <c r="P31" i="38"/>
  <c r="D31" i="43"/>
  <c r="L27" i="43"/>
  <c r="D64" i="61"/>
  <c r="L61" i="61"/>
  <c r="D34" i="79"/>
  <c r="L30" i="79"/>
  <c r="N30" i="79" s="1"/>
  <c r="H31" i="50"/>
  <c r="N27" i="50"/>
  <c r="P62" i="60"/>
  <c r="X58" i="60"/>
  <c r="Z58" i="60" s="1"/>
  <c r="T90" i="73"/>
  <c r="Z86" i="73"/>
  <c r="V86" i="73"/>
  <c r="X23" i="88"/>
  <c r="Z23" i="88" s="1"/>
  <c r="P91" i="88"/>
  <c r="L93" i="21"/>
  <c r="N93" i="21" s="1"/>
  <c r="D97" i="21"/>
  <c r="F93" i="21"/>
  <c r="H31" i="38"/>
  <c r="L31" i="38" s="1"/>
  <c r="N27" i="38"/>
  <c r="D77" i="71"/>
  <c r="L73" i="71"/>
  <c r="N73" i="71" s="1"/>
  <c r="D31" i="14"/>
  <c r="L27" i="14"/>
  <c r="H31" i="20"/>
  <c r="L31" i="20" s="1"/>
  <c r="N27" i="20"/>
  <c r="Z31" i="22"/>
  <c r="T36" i="22"/>
  <c r="Z36" i="22" s="1"/>
  <c r="D31" i="33"/>
  <c r="L27" i="33"/>
  <c r="L27" i="44"/>
  <c r="D31" i="44"/>
  <c r="T79" i="68"/>
  <c r="Z75" i="68"/>
  <c r="V75" i="68"/>
  <c r="D32" i="80"/>
  <c r="L28" i="80"/>
  <c r="N28" i="80" s="1"/>
  <c r="T99" i="90"/>
  <c r="V96" i="90"/>
  <c r="P94" i="74"/>
  <c r="X90" i="74"/>
  <c r="Z90" i="74" s="1"/>
  <c r="R90" i="74"/>
  <c r="T31" i="33"/>
  <c r="Z27" i="33"/>
  <c r="X31" i="55"/>
  <c r="Z31" i="55" s="1"/>
  <c r="D81" i="78"/>
  <c r="L77" i="78"/>
  <c r="N77" i="78" s="1"/>
  <c r="H31" i="94"/>
  <c r="N27" i="94"/>
  <c r="H101" i="9"/>
  <c r="X83" i="58"/>
  <c r="T82" i="31"/>
  <c r="V79" i="31"/>
  <c r="L97" i="9"/>
  <c r="N97" i="9" s="1"/>
  <c r="D101" i="9"/>
  <c r="P36" i="23"/>
  <c r="Z27" i="30"/>
  <c r="T31" i="30"/>
  <c r="X27" i="49"/>
  <c r="P31" i="49"/>
  <c r="H36" i="53"/>
  <c r="N36" i="53" s="1"/>
  <c r="N31" i="53"/>
  <c r="P48" i="64"/>
  <c r="X44" i="64"/>
  <c r="Z44" i="64" s="1"/>
  <c r="D63" i="87"/>
  <c r="L59" i="87"/>
  <c r="N59" i="87" s="1"/>
  <c r="L51" i="64"/>
  <c r="N51" i="64" s="1"/>
  <c r="D36" i="24" l="1"/>
  <c r="L36" i="24" s="1"/>
  <c r="H104" i="9"/>
  <c r="D117" i="67"/>
  <c r="L114" i="67"/>
  <c r="F114" i="67"/>
  <c r="H74" i="59"/>
  <c r="T36" i="37"/>
  <c r="Z36" i="37" s="1"/>
  <c r="Z31" i="37"/>
  <c r="P36" i="30"/>
  <c r="X31" i="30"/>
  <c r="Z31" i="5"/>
  <c r="T36" i="5"/>
  <c r="Z36" i="5" s="1"/>
  <c r="P36" i="37"/>
  <c r="X31" i="37"/>
  <c r="D66" i="87"/>
  <c r="L63" i="87"/>
  <c r="D36" i="33"/>
  <c r="L31" i="33"/>
  <c r="D80" i="71"/>
  <c r="L80" i="71" s="1"/>
  <c r="L77" i="71"/>
  <c r="N77" i="71" s="1"/>
  <c r="T36" i="10"/>
  <c r="Z36" i="10" s="1"/>
  <c r="Z31" i="10"/>
  <c r="T32" i="72"/>
  <c r="V29" i="72"/>
  <c r="T100" i="25"/>
  <c r="V97" i="25"/>
  <c r="D31" i="89"/>
  <c r="L31" i="89" s="1"/>
  <c r="L28" i="89"/>
  <c r="H80" i="71"/>
  <c r="J77" i="71"/>
  <c r="N31" i="37"/>
  <c r="H36" i="37"/>
  <c r="N36" i="37" s="1"/>
  <c r="H99" i="90"/>
  <c r="J96" i="90"/>
  <c r="H36" i="26"/>
  <c r="N36" i="26" s="1"/>
  <c r="N31" i="26"/>
  <c r="L65" i="60"/>
  <c r="N65" i="60" s="1"/>
  <c r="T51" i="64"/>
  <c r="D90" i="73"/>
  <c r="L86" i="73"/>
  <c r="N86" i="73" s="1"/>
  <c r="F86" i="73"/>
  <c r="Z31" i="40"/>
  <c r="T36" i="40"/>
  <c r="Z36" i="40" s="1"/>
  <c r="H36" i="47"/>
  <c r="N36" i="47" s="1"/>
  <c r="N31" i="47"/>
  <c r="H36" i="27"/>
  <c r="N36" i="27" s="1"/>
  <c r="N31" i="27"/>
  <c r="T36" i="52"/>
  <c r="Z36" i="52" s="1"/>
  <c r="Z31" i="52"/>
  <c r="L31" i="49"/>
  <c r="D36" i="49"/>
  <c r="D36" i="52"/>
  <c r="L31" i="52"/>
  <c r="T36" i="14"/>
  <c r="Z36" i="14" s="1"/>
  <c r="Z31" i="14"/>
  <c r="Z34" i="79"/>
  <c r="T37" i="79"/>
  <c r="X34" i="79"/>
  <c r="D86" i="69"/>
  <c r="L83" i="69"/>
  <c r="F83" i="69"/>
  <c r="D29" i="72"/>
  <c r="L25" i="72"/>
  <c r="N25" i="72" s="1"/>
  <c r="F25" i="72"/>
  <c r="D97" i="25"/>
  <c r="L93" i="25"/>
  <c r="N93" i="25" s="1"/>
  <c r="F93" i="25"/>
  <c r="H83" i="58"/>
  <c r="H99" i="91"/>
  <c r="J96" i="91"/>
  <c r="P36" i="26"/>
  <c r="X31" i="26"/>
  <c r="P163" i="18"/>
  <c r="X159" i="18"/>
  <c r="Z159" i="18" s="1"/>
  <c r="R159" i="18"/>
  <c r="D102" i="82"/>
  <c r="L99" i="82"/>
  <c r="N99" i="82" s="1"/>
  <c r="F99" i="82"/>
  <c r="H102" i="82"/>
  <c r="J99" i="82"/>
  <c r="L31" i="7"/>
  <c r="D36" i="7"/>
  <c r="T95" i="83"/>
  <c r="V92" i="83"/>
  <c r="T36" i="44"/>
  <c r="Z36" i="44" s="1"/>
  <c r="Z31" i="44"/>
  <c r="Z31" i="49"/>
  <c r="T36" i="49"/>
  <c r="Z36" i="49" s="1"/>
  <c r="H82" i="31"/>
  <c r="J79" i="31"/>
  <c r="H35" i="80"/>
  <c r="P36" i="95"/>
  <c r="X31" i="95"/>
  <c r="D60" i="84"/>
  <c r="L60" i="84" s="1"/>
  <c r="L57" i="84"/>
  <c r="N57" i="84" s="1"/>
  <c r="J82" i="92"/>
  <c r="D37" i="79"/>
  <c r="L37" i="79" s="1"/>
  <c r="L34" i="79"/>
  <c r="N34" i="79" s="1"/>
  <c r="H158" i="15"/>
  <c r="J155" i="15"/>
  <c r="D36" i="95"/>
  <c r="L31" i="95"/>
  <c r="P97" i="21"/>
  <c r="X93" i="21"/>
  <c r="Z93" i="21" s="1"/>
  <c r="R93" i="21"/>
  <c r="L180" i="3"/>
  <c r="D185" i="3"/>
  <c r="F180" i="3"/>
  <c r="T36" i="33"/>
  <c r="Z36" i="33" s="1"/>
  <c r="Z31" i="33"/>
  <c r="D35" i="80"/>
  <c r="L35" i="80" s="1"/>
  <c r="L32" i="80"/>
  <c r="N32" i="80" s="1"/>
  <c r="X31" i="32"/>
  <c r="P36" i="32"/>
  <c r="X36" i="32" s="1"/>
  <c r="P82" i="56"/>
  <c r="X82" i="56" s="1"/>
  <c r="X79" i="56"/>
  <c r="Z79" i="56" s="1"/>
  <c r="P162" i="12"/>
  <c r="X158" i="12"/>
  <c r="Z158" i="12" s="1"/>
  <c r="R158" i="12"/>
  <c r="D79" i="92"/>
  <c r="L75" i="92"/>
  <c r="N75" i="92" s="1"/>
  <c r="F75" i="92"/>
  <c r="T33" i="77"/>
  <c r="Z33" i="77" s="1"/>
  <c r="Z30" i="77"/>
  <c r="H36" i="4"/>
  <c r="N36" i="4" s="1"/>
  <c r="N31" i="4"/>
  <c r="H36" i="43"/>
  <c r="N36" i="43" s="1"/>
  <c r="N31" i="43"/>
  <c r="T108" i="62"/>
  <c r="Z105" i="62"/>
  <c r="H64" i="61"/>
  <c r="N61" i="61"/>
  <c r="P36" i="14"/>
  <c r="X31" i="14"/>
  <c r="N60" i="84"/>
  <c r="T119" i="42"/>
  <c r="V116" i="42"/>
  <c r="T36" i="17"/>
  <c r="Z36" i="17" s="1"/>
  <c r="Z31" i="17"/>
  <c r="X108" i="62"/>
  <c r="V39" i="75"/>
  <c r="P60" i="84"/>
  <c r="X57" i="84"/>
  <c r="D83" i="58"/>
  <c r="L83" i="58" s="1"/>
  <c r="L80" i="58"/>
  <c r="N80" i="58" s="1"/>
  <c r="D100" i="65"/>
  <c r="L97" i="65"/>
  <c r="F97" i="65"/>
  <c r="H36" i="14"/>
  <c r="N36" i="14" s="1"/>
  <c r="N31" i="14"/>
  <c r="P36" i="40"/>
  <c r="X31" i="40"/>
  <c r="L82" i="56"/>
  <c r="X115" i="39"/>
  <c r="Z115" i="39" s="1"/>
  <c r="P119" i="39"/>
  <c r="R115" i="39"/>
  <c r="H36" i="16"/>
  <c r="N36" i="16" s="1"/>
  <c r="N31" i="16"/>
  <c r="X30" i="77"/>
  <c r="P155" i="15"/>
  <c r="X151" i="15"/>
  <c r="Z151" i="15" s="1"/>
  <c r="R151" i="15"/>
  <c r="P36" i="24"/>
  <c r="X31" i="24"/>
  <c r="H36" i="29"/>
  <c r="N36" i="29" s="1"/>
  <c r="N31" i="29"/>
  <c r="P29" i="72"/>
  <c r="X25" i="72"/>
  <c r="Z25" i="72" s="1"/>
  <c r="R25" i="72"/>
  <c r="J127" i="36"/>
  <c r="T31" i="6"/>
  <c r="Z26" i="6"/>
  <c r="X36" i="27"/>
  <c r="P180" i="3"/>
  <c r="X176" i="3"/>
  <c r="Z176" i="3" s="1"/>
  <c r="R176" i="3"/>
  <c r="Z32" i="80"/>
  <c r="T35" i="80"/>
  <c r="D36" i="40"/>
  <c r="L31" i="40"/>
  <c r="D38" i="55"/>
  <c r="L38" i="55" s="1"/>
  <c r="N38" i="55" s="1"/>
  <c r="L35" i="55"/>
  <c r="N35" i="55" s="1"/>
  <c r="P106" i="45"/>
  <c r="X103" i="45"/>
  <c r="R103" i="45"/>
  <c r="X33" i="77"/>
  <c r="H36" i="13"/>
  <c r="N36" i="13" s="1"/>
  <c r="N31" i="13"/>
  <c r="P36" i="53"/>
  <c r="X31" i="53"/>
  <c r="T36" i="23"/>
  <c r="Z36" i="23" s="1"/>
  <c r="Z31" i="23"/>
  <c r="D104" i="9"/>
  <c r="L104" i="9" s="1"/>
  <c r="L101" i="9"/>
  <c r="N101" i="9" s="1"/>
  <c r="T98" i="76"/>
  <c r="V95" i="76"/>
  <c r="H36" i="44"/>
  <c r="N36" i="44" s="1"/>
  <c r="N31" i="44"/>
  <c r="T36" i="24"/>
  <c r="Z36" i="24" s="1"/>
  <c r="Z31" i="24"/>
  <c r="H98" i="76"/>
  <c r="J95" i="76"/>
  <c r="T86" i="69"/>
  <c r="V83" i="69"/>
  <c r="P35" i="85"/>
  <c r="X35" i="85" s="1"/>
  <c r="X32" i="85"/>
  <c r="Z32" i="85" s="1"/>
  <c r="J100" i="21"/>
  <c r="P36" i="8"/>
  <c r="X36" i="8" s="1"/>
  <c r="X31" i="8"/>
  <c r="H36" i="40"/>
  <c r="N36" i="40" s="1"/>
  <c r="N31" i="40"/>
  <c r="D36" i="10"/>
  <c r="L31" i="10"/>
  <c r="H33" i="77"/>
  <c r="N33" i="77" s="1"/>
  <c r="N30" i="77"/>
  <c r="D96" i="91"/>
  <c r="L92" i="91"/>
  <c r="N92" i="91" s="1"/>
  <c r="F92" i="91"/>
  <c r="T36" i="50"/>
  <c r="Z36" i="50" s="1"/>
  <c r="Z31" i="50"/>
  <c r="N82" i="56"/>
  <c r="H100" i="25"/>
  <c r="J97" i="25"/>
  <c r="H36" i="7"/>
  <c r="N36" i="7" s="1"/>
  <c r="N31" i="7"/>
  <c r="D82" i="68"/>
  <c r="L79" i="68"/>
  <c r="F79" i="68"/>
  <c r="T127" i="36"/>
  <c r="V124" i="36"/>
  <c r="T38" i="55"/>
  <c r="Z35" i="55"/>
  <c r="H36" i="49"/>
  <c r="N36" i="49" s="1"/>
  <c r="N31" i="49"/>
  <c r="P36" i="93"/>
  <c r="X31" i="93"/>
  <c r="T100" i="21"/>
  <c r="V97" i="21"/>
  <c r="T102" i="82"/>
  <c r="V99" i="82"/>
  <c r="J106" i="45"/>
  <c r="T82" i="92"/>
  <c r="V79" i="92"/>
  <c r="H165" i="12"/>
  <c r="J162" i="12"/>
  <c r="N31" i="19"/>
  <c r="H36" i="19"/>
  <c r="L31" i="19"/>
  <c r="R82" i="68"/>
  <c r="T36" i="47"/>
  <c r="Z36" i="47" s="1"/>
  <c r="Z31" i="47"/>
  <c r="D36" i="5"/>
  <c r="L31" i="5"/>
  <c r="V80" i="71"/>
  <c r="J32" i="72"/>
  <c r="T36" i="53"/>
  <c r="Z36" i="53" s="1"/>
  <c r="Z31" i="53"/>
  <c r="J39" i="75"/>
  <c r="H122" i="39"/>
  <c r="J119" i="39"/>
  <c r="H36" i="11"/>
  <c r="N36" i="11" s="1"/>
  <c r="N31" i="11"/>
  <c r="H36" i="94"/>
  <c r="N36" i="94" s="1"/>
  <c r="N31" i="94"/>
  <c r="P97" i="74"/>
  <c r="X94" i="74"/>
  <c r="Z94" i="74" s="1"/>
  <c r="R94" i="74"/>
  <c r="T82" i="68"/>
  <c r="V79" i="68"/>
  <c r="H36" i="20"/>
  <c r="N36" i="20" s="1"/>
  <c r="N31" i="20"/>
  <c r="L97" i="21"/>
  <c r="N97" i="21" s="1"/>
  <c r="D100" i="21"/>
  <c r="F97" i="21"/>
  <c r="P65" i="60"/>
  <c r="X65" i="60" s="1"/>
  <c r="Z65" i="60" s="1"/>
  <c r="X62" i="60"/>
  <c r="Z62" i="60" s="1"/>
  <c r="L64" i="61"/>
  <c r="D96" i="90"/>
  <c r="L92" i="90"/>
  <c r="N92" i="90" s="1"/>
  <c r="F92" i="90"/>
  <c r="T36" i="4"/>
  <c r="Z36" i="4" s="1"/>
  <c r="Z31" i="4"/>
  <c r="D36" i="94"/>
  <c r="L31" i="94"/>
  <c r="P93" i="73"/>
  <c r="X90" i="73"/>
  <c r="R90" i="73"/>
  <c r="T86" i="51"/>
  <c r="V83" i="51"/>
  <c r="D43" i="86"/>
  <c r="L40" i="86"/>
  <c r="F40" i="86"/>
  <c r="X26" i="6"/>
  <c r="P31" i="6"/>
  <c r="X31" i="6" s="1"/>
  <c r="T66" i="87"/>
  <c r="Z63" i="87"/>
  <c r="X63" i="87"/>
  <c r="T36" i="19"/>
  <c r="Z36" i="19" s="1"/>
  <c r="Z31" i="19"/>
  <c r="D36" i="37"/>
  <c r="L31" i="37"/>
  <c r="J82" i="48"/>
  <c r="H36" i="17"/>
  <c r="N36" i="17" s="1"/>
  <c r="N31" i="17"/>
  <c r="D36" i="75"/>
  <c r="L32" i="75"/>
  <c r="N32" i="75" s="1"/>
  <c r="H95" i="83"/>
  <c r="J92" i="83"/>
  <c r="P39" i="75"/>
  <c r="X36" i="75"/>
  <c r="Z36" i="75" s="1"/>
  <c r="R36" i="75"/>
  <c r="D36" i="30"/>
  <c r="L31" i="30"/>
  <c r="D36" i="50"/>
  <c r="L31" i="50"/>
  <c r="P114" i="67"/>
  <c r="X110" i="67"/>
  <c r="Z110" i="67" s="1"/>
  <c r="R110" i="67"/>
  <c r="J134" i="34"/>
  <c r="H35" i="85"/>
  <c r="H36" i="52"/>
  <c r="N36" i="52" s="1"/>
  <c r="N31" i="52"/>
  <c r="H36" i="33"/>
  <c r="N36" i="33" s="1"/>
  <c r="N31" i="33"/>
  <c r="P79" i="31"/>
  <c r="X75" i="31"/>
  <c r="Z75" i="31" s="1"/>
  <c r="R75" i="31"/>
  <c r="D31" i="6"/>
  <c r="L31" i="6" s="1"/>
  <c r="L26" i="6"/>
  <c r="D129" i="28"/>
  <c r="L126" i="28"/>
  <c r="F126" i="28"/>
  <c r="J97" i="74"/>
  <c r="P36" i="4"/>
  <c r="X31" i="4"/>
  <c r="Z31" i="94"/>
  <c r="T36" i="94"/>
  <c r="Z36" i="94" s="1"/>
  <c r="P97" i="25"/>
  <c r="X93" i="25"/>
  <c r="Z93" i="25" s="1"/>
  <c r="R93" i="25"/>
  <c r="H66" i="87"/>
  <c r="N63" i="87"/>
  <c r="H100" i="65"/>
  <c r="N97" i="65"/>
  <c r="J97" i="65"/>
  <c r="N31" i="93"/>
  <c r="H36" i="93"/>
  <c r="N36" i="93" s="1"/>
  <c r="D74" i="57"/>
  <c r="L74" i="57" s="1"/>
  <c r="L71" i="57"/>
  <c r="N71" i="57" s="1"/>
  <c r="X79" i="68"/>
  <c r="Z79" i="68" s="1"/>
  <c r="P36" i="20"/>
  <c r="X36" i="20" s="1"/>
  <c r="X31" i="20"/>
  <c r="T84" i="78"/>
  <c r="X81" i="78"/>
  <c r="Z81" i="78" s="1"/>
  <c r="T134" i="34"/>
  <c r="V131" i="34"/>
  <c r="X31" i="5"/>
  <c r="D36" i="13"/>
  <c r="L31" i="13"/>
  <c r="P77" i="71"/>
  <c r="X73" i="71"/>
  <c r="Z73" i="71" s="1"/>
  <c r="L88" i="63"/>
  <c r="N88" i="63" s="1"/>
  <c r="D91" i="63"/>
  <c r="F88" i="63"/>
  <c r="H36" i="38"/>
  <c r="N36" i="38" s="1"/>
  <c r="N31" i="38"/>
  <c r="Z82" i="56"/>
  <c r="P95" i="83"/>
  <c r="X95" i="83" s="1"/>
  <c r="X92" i="83"/>
  <c r="Z92" i="83" s="1"/>
  <c r="T36" i="35"/>
  <c r="Z31" i="35"/>
  <c r="X31" i="35"/>
  <c r="T165" i="12"/>
  <c r="V162" i="12"/>
  <c r="T36" i="11"/>
  <c r="Z36" i="11" s="1"/>
  <c r="Z31" i="11"/>
  <c r="Z32" i="81"/>
  <c r="T35" i="81"/>
  <c r="Z35" i="81" s="1"/>
  <c r="P36" i="49"/>
  <c r="X31" i="49"/>
  <c r="D36" i="44"/>
  <c r="L31" i="44"/>
  <c r="T36" i="41"/>
  <c r="Z31" i="41"/>
  <c r="X31" i="41"/>
  <c r="D36" i="46"/>
  <c r="L31" i="46"/>
  <c r="P36" i="29"/>
  <c r="X36" i="29" s="1"/>
  <c r="X31" i="29"/>
  <c r="V166" i="18"/>
  <c r="P126" i="28"/>
  <c r="X122" i="28"/>
  <c r="Z122" i="28" s="1"/>
  <c r="R122" i="28"/>
  <c r="D36" i="11"/>
  <c r="L31" i="11"/>
  <c r="T99" i="91"/>
  <c r="V96" i="91"/>
  <c r="D36" i="17"/>
  <c r="L31" i="17"/>
  <c r="D35" i="81"/>
  <c r="L32" i="81"/>
  <c r="D94" i="74"/>
  <c r="L90" i="74"/>
  <c r="N90" i="74" s="1"/>
  <c r="F90" i="74"/>
  <c r="D124" i="36"/>
  <c r="L120" i="36"/>
  <c r="N120" i="36" s="1"/>
  <c r="F120" i="36"/>
  <c r="P91" i="63"/>
  <c r="X88" i="63"/>
  <c r="R88" i="63"/>
  <c r="T36" i="13"/>
  <c r="Z36" i="13" s="1"/>
  <c r="Z31" i="13"/>
  <c r="P82" i="92"/>
  <c r="X79" i="92"/>
  <c r="Z79" i="92" s="1"/>
  <c r="R79" i="92"/>
  <c r="P36" i="11"/>
  <c r="X31" i="11"/>
  <c r="T100" i="65"/>
  <c r="V97" i="65"/>
  <c r="H36" i="22"/>
  <c r="N36" i="22" s="1"/>
  <c r="N31" i="22"/>
  <c r="T36" i="95"/>
  <c r="Z36" i="95" s="1"/>
  <c r="Z31" i="95"/>
  <c r="T106" i="45"/>
  <c r="Z103" i="45"/>
  <c r="V103" i="45"/>
  <c r="T117" i="67"/>
  <c r="V114" i="67"/>
  <c r="T36" i="46"/>
  <c r="Z36" i="46" s="1"/>
  <c r="Z31" i="46"/>
  <c r="L91" i="88"/>
  <c r="N91" i="88" s="1"/>
  <c r="D95" i="88"/>
  <c r="F91" i="88"/>
  <c r="P36" i="10"/>
  <c r="X31" i="10"/>
  <c r="J91" i="63"/>
  <c r="D92" i="83"/>
  <c r="L88" i="83"/>
  <c r="N88" i="83" s="1"/>
  <c r="T104" i="9"/>
  <c r="Z101" i="9"/>
  <c r="P82" i="48"/>
  <c r="X79" i="48"/>
  <c r="R79" i="48"/>
  <c r="L112" i="42"/>
  <c r="N112" i="42" s="1"/>
  <c r="D116" i="42"/>
  <c r="F112" i="42"/>
  <c r="N37" i="79"/>
  <c r="D36" i="53"/>
  <c r="L36" i="53" s="1"/>
  <c r="L31" i="53"/>
  <c r="D163" i="18"/>
  <c r="L159" i="18"/>
  <c r="N159" i="18" s="1"/>
  <c r="F159" i="18"/>
  <c r="T31" i="89"/>
  <c r="Z28" i="89"/>
  <c r="X28" i="89"/>
  <c r="D36" i="41"/>
  <c r="L31" i="41"/>
  <c r="X43" i="86"/>
  <c r="Z43" i="86" s="1"/>
  <c r="R43" i="86"/>
  <c r="P51" i="64"/>
  <c r="X51" i="64" s="1"/>
  <c r="X48" i="64"/>
  <c r="Z48" i="64" s="1"/>
  <c r="N31" i="6"/>
  <c r="P83" i="51"/>
  <c r="X79" i="51"/>
  <c r="Z79" i="51" s="1"/>
  <c r="R79" i="51"/>
  <c r="H36" i="46"/>
  <c r="N36" i="46" s="1"/>
  <c r="N31" i="46"/>
  <c r="H36" i="95"/>
  <c r="N36" i="95" s="1"/>
  <c r="N31" i="95"/>
  <c r="D84" i="78"/>
  <c r="L84" i="78" s="1"/>
  <c r="N84" i="78" s="1"/>
  <c r="L81" i="78"/>
  <c r="N81" i="78" s="1"/>
  <c r="D36" i="14"/>
  <c r="L31" i="14"/>
  <c r="P95" i="88"/>
  <c r="X91" i="88"/>
  <c r="Z91" i="88" s="1"/>
  <c r="R91" i="88"/>
  <c r="H36" i="50"/>
  <c r="N36" i="50" s="1"/>
  <c r="N31" i="50"/>
  <c r="D36" i="43"/>
  <c r="L31" i="43"/>
  <c r="P124" i="36"/>
  <c r="X120" i="36"/>
  <c r="Z120" i="36" s="1"/>
  <c r="R120" i="36"/>
  <c r="T98" i="88"/>
  <c r="V95" i="88"/>
  <c r="T36" i="7"/>
  <c r="Z36" i="7" s="1"/>
  <c r="Z31" i="7"/>
  <c r="X35" i="80"/>
  <c r="Z57" i="84"/>
  <c r="T60" i="84"/>
  <c r="H36" i="8"/>
  <c r="N36" i="8" s="1"/>
  <c r="N31" i="8"/>
  <c r="P99" i="91"/>
  <c r="X96" i="91"/>
  <c r="Z96" i="91" s="1"/>
  <c r="R96" i="91"/>
  <c r="P36" i="13"/>
  <c r="X31" i="13"/>
  <c r="D122" i="39"/>
  <c r="L119" i="39"/>
  <c r="N119" i="39" s="1"/>
  <c r="F119" i="39"/>
  <c r="D36" i="23"/>
  <c r="L31" i="23"/>
  <c r="Z31" i="26"/>
  <c r="T36" i="26"/>
  <c r="Z36" i="26" s="1"/>
  <c r="H129" i="28"/>
  <c r="N126" i="28"/>
  <c r="J126" i="28"/>
  <c r="D36" i="8"/>
  <c r="L31" i="8"/>
  <c r="N31" i="35"/>
  <c r="H36" i="35"/>
  <c r="N36" i="35" s="1"/>
  <c r="X31" i="50"/>
  <c r="H36" i="5"/>
  <c r="N36" i="5" s="1"/>
  <c r="N31" i="5"/>
  <c r="D36" i="27"/>
  <c r="L31" i="27"/>
  <c r="H108" i="62"/>
  <c r="X31" i="33"/>
  <c r="P116" i="42"/>
  <c r="X112" i="42"/>
  <c r="Z112" i="42" s="1"/>
  <c r="R112" i="42"/>
  <c r="D108" i="62"/>
  <c r="L105" i="62"/>
  <c r="N105" i="62" s="1"/>
  <c r="H36" i="23"/>
  <c r="N36" i="23" s="1"/>
  <c r="N31" i="23"/>
  <c r="L32" i="85"/>
  <c r="N32" i="85" s="1"/>
  <c r="T36" i="43"/>
  <c r="Z36" i="43" s="1"/>
  <c r="Z31" i="43"/>
  <c r="T185" i="3"/>
  <c r="V180" i="3"/>
  <c r="H82" i="68"/>
  <c r="N79" i="68"/>
  <c r="J79" i="68"/>
  <c r="H36" i="10"/>
  <c r="N36" i="10" s="1"/>
  <c r="N31" i="10"/>
  <c r="L31" i="26"/>
  <c r="D36" i="26"/>
  <c r="T93" i="73"/>
  <c r="Z90" i="73"/>
  <c r="V90" i="73"/>
  <c r="P74" i="59"/>
  <c r="X74" i="59" s="1"/>
  <c r="Z74" i="59" s="1"/>
  <c r="X71" i="59"/>
  <c r="Z71" i="59" s="1"/>
  <c r="P98" i="76"/>
  <c r="X95" i="76"/>
  <c r="Z95" i="76" s="1"/>
  <c r="R95" i="76"/>
  <c r="D131" i="34"/>
  <c r="L127" i="34"/>
  <c r="N127" i="34" s="1"/>
  <c r="F127" i="34"/>
  <c r="H43" i="86"/>
  <c r="N40" i="86"/>
  <c r="Z31" i="30"/>
  <c r="T36" i="30"/>
  <c r="Z36" i="30" s="1"/>
  <c r="V82" i="31"/>
  <c r="V99" i="90"/>
  <c r="P36" i="38"/>
  <c r="X36" i="38" s="1"/>
  <c r="X31" i="38"/>
  <c r="H86" i="69"/>
  <c r="N83" i="69"/>
  <c r="J83" i="69"/>
  <c r="D36" i="35"/>
  <c r="L31" i="35"/>
  <c r="P36" i="16"/>
  <c r="X36" i="16" s="1"/>
  <c r="X31" i="16"/>
  <c r="D82" i="48"/>
  <c r="L79" i="48"/>
  <c r="N79" i="48" s="1"/>
  <c r="F79" i="48"/>
  <c r="D155" i="15"/>
  <c r="L151" i="15"/>
  <c r="N151" i="15" s="1"/>
  <c r="F151" i="15"/>
  <c r="P36" i="22"/>
  <c r="X36" i="22" s="1"/>
  <c r="X31" i="22"/>
  <c r="D86" i="51"/>
  <c r="L83" i="51"/>
  <c r="N83" i="51" s="1"/>
  <c r="F83" i="51"/>
  <c r="T36" i="93"/>
  <c r="Z36" i="93" s="1"/>
  <c r="Z31" i="93"/>
  <c r="Z35" i="85"/>
  <c r="D36" i="47"/>
  <c r="L31" i="47"/>
  <c r="H98" i="88"/>
  <c r="J95" i="88"/>
  <c r="D36" i="22"/>
  <c r="L31" i="22"/>
  <c r="P83" i="69"/>
  <c r="X79" i="69"/>
  <c r="Z79" i="69" s="1"/>
  <c r="R79" i="69"/>
  <c r="H93" i="73"/>
  <c r="J90" i="73"/>
  <c r="P97" i="65"/>
  <c r="X93" i="65"/>
  <c r="Z93" i="65" s="1"/>
  <c r="R93" i="65"/>
  <c r="H36" i="30"/>
  <c r="N36" i="30" s="1"/>
  <c r="N31" i="30"/>
  <c r="H117" i="67"/>
  <c r="N114" i="67"/>
  <c r="J114" i="67"/>
  <c r="D74" i="59"/>
  <c r="L74" i="59" s="1"/>
  <c r="L71" i="59"/>
  <c r="N71" i="59" s="1"/>
  <c r="T74" i="57"/>
  <c r="Z71" i="57"/>
  <c r="Z83" i="58"/>
  <c r="X104" i="9"/>
  <c r="H119" i="42"/>
  <c r="J116" i="42"/>
  <c r="H185" i="3"/>
  <c r="N180" i="3"/>
  <c r="J180" i="3"/>
  <c r="Z88" i="63"/>
  <c r="T91" i="63"/>
  <c r="V88" i="63"/>
  <c r="D106" i="45"/>
  <c r="L103" i="45"/>
  <c r="N103" i="45" s="1"/>
  <c r="F103" i="45"/>
  <c r="P36" i="19"/>
  <c r="X31" i="19"/>
  <c r="D162" i="12"/>
  <c r="L158" i="12"/>
  <c r="N158" i="12" s="1"/>
  <c r="F158" i="12"/>
  <c r="D33" i="77"/>
  <c r="L33" i="77" s="1"/>
  <c r="L30" i="77"/>
  <c r="H35" i="81"/>
  <c r="N35" i="81" s="1"/>
  <c r="N32" i="81"/>
  <c r="H166" i="18"/>
  <c r="J163" i="18"/>
  <c r="X31" i="46"/>
  <c r="D98" i="76"/>
  <c r="L95" i="76"/>
  <c r="N95" i="76" s="1"/>
  <c r="F95" i="76"/>
  <c r="P131" i="34"/>
  <c r="X127" i="34"/>
  <c r="Z127" i="34" s="1"/>
  <c r="R127" i="34"/>
  <c r="N74" i="57"/>
  <c r="H36" i="41"/>
  <c r="N36" i="41" s="1"/>
  <c r="N31" i="41"/>
  <c r="L35" i="85"/>
  <c r="D36" i="93"/>
  <c r="L31" i="93"/>
  <c r="T158" i="15"/>
  <c r="V155" i="15"/>
  <c r="T122" i="39"/>
  <c r="V119" i="39"/>
  <c r="D79" i="31"/>
  <c r="L75" i="31"/>
  <c r="N75" i="31" s="1"/>
  <c r="F75" i="31"/>
  <c r="P96" i="90"/>
  <c r="X92" i="90"/>
  <c r="Z92" i="90" s="1"/>
  <c r="R92" i="90"/>
  <c r="T82" i="48"/>
  <c r="Z79" i="48"/>
  <c r="V79" i="48"/>
  <c r="T129" i="28"/>
  <c r="V126" i="28"/>
  <c r="X64" i="61"/>
  <c r="Z64" i="61" s="1"/>
  <c r="H36" i="32"/>
  <c r="N36" i="32" s="1"/>
  <c r="N31" i="32"/>
  <c r="P99" i="82"/>
  <c r="X95" i="82"/>
  <c r="Z95" i="82" s="1"/>
  <c r="R95" i="82"/>
  <c r="X36" i="40" l="1"/>
  <c r="X36" i="94"/>
  <c r="L36" i="94"/>
  <c r="X36" i="49"/>
  <c r="X36" i="19"/>
  <c r="X36" i="13"/>
  <c r="L36" i="11"/>
  <c r="L36" i="22"/>
  <c r="X36" i="10"/>
  <c r="X36" i="50"/>
  <c r="X36" i="5"/>
  <c r="L36" i="44"/>
  <c r="X36" i="47"/>
  <c r="X36" i="14"/>
  <c r="X36" i="37"/>
  <c r="L36" i="47"/>
  <c r="L36" i="16"/>
  <c r="L36" i="8"/>
  <c r="L36" i="43"/>
  <c r="X36" i="11"/>
  <c r="L36" i="37"/>
  <c r="X36" i="17"/>
  <c r="L36" i="27"/>
  <c r="L36" i="14"/>
  <c r="L36" i="93"/>
  <c r="X36" i="33"/>
  <c r="L36" i="35"/>
  <c r="L36" i="26"/>
  <c r="X36" i="52"/>
  <c r="L36" i="17"/>
  <c r="L36" i="13"/>
  <c r="X36" i="4"/>
  <c r="L36" i="4"/>
  <c r="X36" i="44"/>
  <c r="P102" i="82"/>
  <c r="X99" i="82"/>
  <c r="Z99" i="82" s="1"/>
  <c r="R99" i="82"/>
  <c r="P86" i="51"/>
  <c r="X83" i="51"/>
  <c r="Z83" i="51" s="1"/>
  <c r="R83" i="51"/>
  <c r="V99" i="91"/>
  <c r="X39" i="75"/>
  <c r="Z39" i="75" s="1"/>
  <c r="R39" i="75"/>
  <c r="D99" i="90"/>
  <c r="L96" i="90"/>
  <c r="N96" i="90" s="1"/>
  <c r="F96" i="90"/>
  <c r="V127" i="36"/>
  <c r="J100" i="25"/>
  <c r="P185" i="3"/>
  <c r="X180" i="3"/>
  <c r="Z180" i="3" s="1"/>
  <c r="R180" i="3"/>
  <c r="P100" i="21"/>
  <c r="X97" i="21"/>
  <c r="Z97" i="21" s="1"/>
  <c r="R97" i="21"/>
  <c r="X36" i="43"/>
  <c r="X37" i="79"/>
  <c r="Z37" i="79" s="1"/>
  <c r="V82" i="48"/>
  <c r="L98" i="76"/>
  <c r="N98" i="76" s="1"/>
  <c r="F98" i="76"/>
  <c r="J185" i="3"/>
  <c r="P119" i="42"/>
  <c r="X116" i="42"/>
  <c r="Z116" i="42" s="1"/>
  <c r="R116" i="42"/>
  <c r="Z104" i="9"/>
  <c r="D98" i="88"/>
  <c r="L95" i="88"/>
  <c r="N95" i="88" s="1"/>
  <c r="F95" i="88"/>
  <c r="V100" i="65"/>
  <c r="D97" i="74"/>
  <c r="L94" i="74"/>
  <c r="N94" i="74" s="1"/>
  <c r="F94" i="74"/>
  <c r="V165" i="12"/>
  <c r="J100" i="65"/>
  <c r="P117" i="67"/>
  <c r="X114" i="67"/>
  <c r="Z114" i="67" s="1"/>
  <c r="R114" i="67"/>
  <c r="L43" i="86"/>
  <c r="N43" i="86" s="1"/>
  <c r="F43" i="86"/>
  <c r="X93" i="73"/>
  <c r="R93" i="73"/>
  <c r="J165" i="12"/>
  <c r="J98" i="76"/>
  <c r="L36" i="40"/>
  <c r="L36" i="32"/>
  <c r="P32" i="72"/>
  <c r="X29" i="72"/>
  <c r="Z29" i="72" s="1"/>
  <c r="R29" i="72"/>
  <c r="P158" i="15"/>
  <c r="X155" i="15"/>
  <c r="Z155" i="15" s="1"/>
  <c r="R155" i="15"/>
  <c r="L100" i="65"/>
  <c r="N100" i="65" s="1"/>
  <c r="F100" i="65"/>
  <c r="L36" i="29"/>
  <c r="P165" i="12"/>
  <c r="X162" i="12"/>
  <c r="Z162" i="12" s="1"/>
  <c r="R162" i="12"/>
  <c r="Z95" i="83"/>
  <c r="V95" i="83"/>
  <c r="L102" i="82"/>
  <c r="N102" i="82" s="1"/>
  <c r="F102" i="82"/>
  <c r="J99" i="90"/>
  <c r="N74" i="59"/>
  <c r="V122" i="39"/>
  <c r="L106" i="45"/>
  <c r="N106" i="45" s="1"/>
  <c r="F106" i="45"/>
  <c r="P86" i="69"/>
  <c r="X83" i="69"/>
  <c r="Z83" i="69" s="1"/>
  <c r="R83" i="69"/>
  <c r="J129" i="28"/>
  <c r="L122" i="39"/>
  <c r="F122" i="39"/>
  <c r="Z60" i="84"/>
  <c r="Z31" i="89"/>
  <c r="X31" i="89"/>
  <c r="V106" i="45"/>
  <c r="V102" i="82"/>
  <c r="L36" i="10"/>
  <c r="X36" i="23"/>
  <c r="L36" i="95"/>
  <c r="J82" i="31"/>
  <c r="L36" i="7"/>
  <c r="J99" i="91"/>
  <c r="D93" i="73"/>
  <c r="L90" i="73"/>
  <c r="N90" i="73" s="1"/>
  <c r="F90" i="73"/>
  <c r="P100" i="65"/>
  <c r="X97" i="65"/>
  <c r="Z97" i="65" s="1"/>
  <c r="R97" i="65"/>
  <c r="D134" i="34"/>
  <c r="L131" i="34"/>
  <c r="N131" i="34" s="1"/>
  <c r="F131" i="34"/>
  <c r="N82" i="68"/>
  <c r="J82" i="68"/>
  <c r="V98" i="88"/>
  <c r="D119" i="42"/>
  <c r="L116" i="42"/>
  <c r="N116" i="42" s="1"/>
  <c r="F116" i="42"/>
  <c r="D95" i="83"/>
  <c r="L95" i="83" s="1"/>
  <c r="N95" i="83" s="1"/>
  <c r="L92" i="83"/>
  <c r="N92" i="83" s="1"/>
  <c r="X91" i="63"/>
  <c r="R91" i="63"/>
  <c r="L35" i="81"/>
  <c r="L36" i="46"/>
  <c r="L91" i="63"/>
  <c r="N91" i="63" s="1"/>
  <c r="F91" i="63"/>
  <c r="L36" i="50"/>
  <c r="J95" i="83"/>
  <c r="X66" i="87"/>
  <c r="Z66" i="87" s="1"/>
  <c r="Z82" i="68"/>
  <c r="V82" i="68"/>
  <c r="X82" i="68"/>
  <c r="X36" i="7"/>
  <c r="L82" i="68"/>
  <c r="F82" i="68"/>
  <c r="Z35" i="80"/>
  <c r="N64" i="61"/>
  <c r="L185" i="3"/>
  <c r="N185" i="3" s="1"/>
  <c r="F185" i="3"/>
  <c r="D32" i="72"/>
  <c r="L29" i="72"/>
  <c r="N29" i="72" s="1"/>
  <c r="F29" i="72"/>
  <c r="Z51" i="64"/>
  <c r="P99" i="90"/>
  <c r="X96" i="90"/>
  <c r="Z96" i="90" s="1"/>
  <c r="R96" i="90"/>
  <c r="J119" i="42"/>
  <c r="D158" i="15"/>
  <c r="L155" i="15"/>
  <c r="N155" i="15" s="1"/>
  <c r="F155" i="15"/>
  <c r="Z93" i="73"/>
  <c r="V93" i="73"/>
  <c r="X74" i="57"/>
  <c r="Z74" i="57" s="1"/>
  <c r="Z36" i="35"/>
  <c r="X36" i="35"/>
  <c r="V134" i="34"/>
  <c r="P82" i="31"/>
  <c r="X79" i="31"/>
  <c r="Z79" i="31" s="1"/>
  <c r="R79" i="31"/>
  <c r="N35" i="85"/>
  <c r="V86" i="51"/>
  <c r="N122" i="39"/>
  <c r="J122" i="39"/>
  <c r="Z31" i="6"/>
  <c r="X35" i="81"/>
  <c r="P166" i="18"/>
  <c r="X163" i="18"/>
  <c r="Z163" i="18" s="1"/>
  <c r="R163" i="18"/>
  <c r="N83" i="58"/>
  <c r="V100" i="25"/>
  <c r="V129" i="28"/>
  <c r="V158" i="15"/>
  <c r="J166" i="18"/>
  <c r="D165" i="12"/>
  <c r="L162" i="12"/>
  <c r="N162" i="12" s="1"/>
  <c r="F162" i="12"/>
  <c r="Z91" i="63"/>
  <c r="V91" i="63"/>
  <c r="X95" i="88"/>
  <c r="Z95" i="88" s="1"/>
  <c r="P98" i="88"/>
  <c r="R95" i="88"/>
  <c r="D166" i="18"/>
  <c r="L163" i="18"/>
  <c r="N163" i="18" s="1"/>
  <c r="F163" i="18"/>
  <c r="P129" i="28"/>
  <c r="X126" i="28"/>
  <c r="Z126" i="28" s="1"/>
  <c r="R126" i="28"/>
  <c r="L36" i="30"/>
  <c r="D39" i="75"/>
  <c r="L39" i="75" s="1"/>
  <c r="N39" i="75" s="1"/>
  <c r="L36" i="75"/>
  <c r="N36" i="75" s="1"/>
  <c r="L100" i="21"/>
  <c r="N100" i="21" s="1"/>
  <c r="F100" i="21"/>
  <c r="N36" i="19"/>
  <c r="L36" i="19"/>
  <c r="Z82" i="92"/>
  <c r="V82" i="92"/>
  <c r="V100" i="21"/>
  <c r="X106" i="45"/>
  <c r="Z106" i="45" s="1"/>
  <c r="R106" i="45"/>
  <c r="X38" i="55"/>
  <c r="Z38" i="55" s="1"/>
  <c r="X60" i="84"/>
  <c r="V119" i="42"/>
  <c r="Z108" i="62"/>
  <c r="L36" i="20"/>
  <c r="J158" i="15"/>
  <c r="X36" i="95"/>
  <c r="L36" i="52"/>
  <c r="L36" i="33"/>
  <c r="X36" i="30"/>
  <c r="L117" i="67"/>
  <c r="F117" i="67"/>
  <c r="P134" i="34"/>
  <c r="X131" i="34"/>
  <c r="Z131" i="34" s="1"/>
  <c r="R131" i="34"/>
  <c r="N117" i="67"/>
  <c r="J117" i="67"/>
  <c r="J86" i="69"/>
  <c r="X98" i="76"/>
  <c r="R98" i="76"/>
  <c r="V185" i="3"/>
  <c r="L108" i="62"/>
  <c r="N108" i="62" s="1"/>
  <c r="P127" i="36"/>
  <c r="X124" i="36"/>
  <c r="Z124" i="36" s="1"/>
  <c r="R124" i="36"/>
  <c r="X82" i="92"/>
  <c r="R82" i="92"/>
  <c r="D127" i="36"/>
  <c r="L124" i="36"/>
  <c r="N124" i="36" s="1"/>
  <c r="F124" i="36"/>
  <c r="Z36" i="41"/>
  <c r="X36" i="41"/>
  <c r="P80" i="71"/>
  <c r="X80" i="71" s="1"/>
  <c r="Z80" i="71" s="1"/>
  <c r="X77" i="71"/>
  <c r="Z77" i="71" s="1"/>
  <c r="P100" i="25"/>
  <c r="X97" i="25"/>
  <c r="Z97" i="25" s="1"/>
  <c r="R97" i="25"/>
  <c r="L36" i="38"/>
  <c r="X97" i="74"/>
  <c r="Z97" i="74" s="1"/>
  <c r="R97" i="74"/>
  <c r="D99" i="91"/>
  <c r="L96" i="91"/>
  <c r="N96" i="91" s="1"/>
  <c r="F96" i="91"/>
  <c r="V86" i="69"/>
  <c r="X36" i="53"/>
  <c r="X36" i="24"/>
  <c r="P122" i="39"/>
  <c r="X119" i="39"/>
  <c r="Z119" i="39" s="1"/>
  <c r="R119" i="39"/>
  <c r="D82" i="92"/>
  <c r="L79" i="92"/>
  <c r="N79" i="92" s="1"/>
  <c r="F79" i="92"/>
  <c r="J102" i="82"/>
  <c r="X36" i="26"/>
  <c r="L86" i="69"/>
  <c r="N86" i="69" s="1"/>
  <c r="F86" i="69"/>
  <c r="L36" i="49"/>
  <c r="L79" i="31"/>
  <c r="N79" i="31" s="1"/>
  <c r="D82" i="31"/>
  <c r="F79" i="31"/>
  <c r="J93" i="73"/>
  <c r="J98" i="88"/>
  <c r="L86" i="51"/>
  <c r="N86" i="51" s="1"/>
  <c r="F86" i="51"/>
  <c r="L82" i="48"/>
  <c r="N82" i="48" s="1"/>
  <c r="F82" i="48"/>
  <c r="L36" i="23"/>
  <c r="X99" i="91"/>
  <c r="Z99" i="91" s="1"/>
  <c r="R99" i="91"/>
  <c r="L36" i="41"/>
  <c r="X82" i="48"/>
  <c r="Z82" i="48" s="1"/>
  <c r="R82" i="48"/>
  <c r="V117" i="67"/>
  <c r="Z84" i="78"/>
  <c r="X84" i="78"/>
  <c r="L129" i="28"/>
  <c r="N129" i="28" s="1"/>
  <c r="F129" i="28"/>
  <c r="L36" i="5"/>
  <c r="X36" i="93"/>
  <c r="Z98" i="76"/>
  <c r="V98" i="76"/>
  <c r="N35" i="80"/>
  <c r="X36" i="46"/>
  <c r="D100" i="25"/>
  <c r="L97" i="25"/>
  <c r="N97" i="25" s="1"/>
  <c r="F97" i="25"/>
  <c r="N80" i="71"/>
  <c r="J80" i="71"/>
  <c r="V32" i="72"/>
  <c r="L66" i="87"/>
  <c r="N66" i="87" s="1"/>
  <c r="N104" i="9"/>
  <c r="L100" i="25" l="1"/>
  <c r="N100" i="25" s="1"/>
  <c r="F100" i="25"/>
  <c r="L99" i="91"/>
  <c r="N99" i="91" s="1"/>
  <c r="F99" i="91"/>
  <c r="L166" i="18"/>
  <c r="N166" i="18" s="1"/>
  <c r="F166" i="18"/>
  <c r="L165" i="12"/>
  <c r="N165" i="12" s="1"/>
  <c r="F165" i="12"/>
  <c r="L158" i="15"/>
  <c r="N158" i="15" s="1"/>
  <c r="F158" i="15"/>
  <c r="X32" i="72"/>
  <c r="Z32" i="72" s="1"/>
  <c r="R32" i="72"/>
  <c r="L93" i="73"/>
  <c r="N93" i="73" s="1"/>
  <c r="F93" i="73"/>
  <c r="X122" i="39"/>
  <c r="Z122" i="39" s="1"/>
  <c r="R122" i="39"/>
  <c r="L32" i="72"/>
  <c r="N32" i="72" s="1"/>
  <c r="F32" i="72"/>
  <c r="X86" i="69"/>
  <c r="Z86" i="69" s="1"/>
  <c r="R86" i="69"/>
  <c r="L98" i="88"/>
  <c r="N98" i="88" s="1"/>
  <c r="F98" i="88"/>
  <c r="X127" i="36"/>
  <c r="Z127" i="36" s="1"/>
  <c r="R127" i="36"/>
  <c r="X86" i="51"/>
  <c r="Z86" i="51" s="1"/>
  <c r="R86" i="51"/>
  <c r="X100" i="21"/>
  <c r="Z100" i="21" s="1"/>
  <c r="R100" i="21"/>
  <c r="L82" i="31"/>
  <c r="N82" i="31" s="1"/>
  <c r="F82" i="31"/>
  <c r="X166" i="18"/>
  <c r="Z166" i="18" s="1"/>
  <c r="R166" i="18"/>
  <c r="L119" i="42"/>
  <c r="N119" i="42" s="1"/>
  <c r="F119" i="42"/>
  <c r="L134" i="34"/>
  <c r="N134" i="34" s="1"/>
  <c r="F134" i="34"/>
  <c r="L97" i="74"/>
  <c r="N97" i="74" s="1"/>
  <c r="F97" i="74"/>
  <c r="L99" i="90"/>
  <c r="N99" i="90" s="1"/>
  <c r="F99" i="90"/>
  <c r="L127" i="36"/>
  <c r="N127" i="36" s="1"/>
  <c r="F127" i="36"/>
  <c r="X129" i="28"/>
  <c r="Z129" i="28" s="1"/>
  <c r="R129" i="28"/>
  <c r="X99" i="90"/>
  <c r="Z99" i="90" s="1"/>
  <c r="R99" i="90"/>
  <c r="X158" i="15"/>
  <c r="Z158" i="15" s="1"/>
  <c r="R158" i="15"/>
  <c r="X117" i="67"/>
  <c r="Z117" i="67" s="1"/>
  <c r="R117" i="67"/>
  <c r="X119" i="42"/>
  <c r="Z119" i="42" s="1"/>
  <c r="R119" i="42"/>
  <c r="X185" i="3"/>
  <c r="Z185" i="3" s="1"/>
  <c r="R185" i="3"/>
  <c r="X98" i="88"/>
  <c r="Z98" i="88" s="1"/>
  <c r="R98" i="88"/>
  <c r="L82" i="92"/>
  <c r="N82" i="92" s="1"/>
  <c r="F82" i="92"/>
  <c r="X100" i="25"/>
  <c r="Z100" i="25" s="1"/>
  <c r="R100" i="25"/>
  <c r="X134" i="34"/>
  <c r="Z134" i="34" s="1"/>
  <c r="R134" i="34"/>
  <c r="X82" i="31"/>
  <c r="Z82" i="31" s="1"/>
  <c r="R82" i="31"/>
  <c r="X100" i="65"/>
  <c r="Z100" i="65" s="1"/>
  <c r="R100" i="65"/>
  <c r="X165" i="12"/>
  <c r="Z165" i="12" s="1"/>
  <c r="R165" i="12"/>
  <c r="X102" i="82"/>
  <c r="Z102" i="82" s="1"/>
  <c r="R102" i="82"/>
</calcChain>
</file>

<file path=xl/sharedStrings.xml><?xml version="1.0" encoding="utf-8"?>
<sst xmlns="http://schemas.openxmlformats.org/spreadsheetml/2006/main" count="2740" uniqueCount="316">
  <si>
    <t>Grid Title</t>
  </si>
  <si>
    <t>FxCode Text</t>
  </si>
  <si>
    <t>Storage Type</t>
  </si>
  <si>
    <t>Dim3Text</t>
  </si>
  <si>
    <t>Dim4Relate to data</t>
  </si>
  <si>
    <t>Variable Dim0Relate to data</t>
  </si>
  <si>
    <t>Variable Dim5Special Rules</t>
  </si>
  <si>
    <t>Variable Dim6</t>
  </si>
  <si>
    <t>Variable Dim6Relate to data</t>
  </si>
  <si>
    <t>Variable Dim8Text</t>
  </si>
  <si>
    <t>Variable Dim Name12</t>
  </si>
  <si>
    <t>Variable Dim12Text</t>
  </si>
  <si>
    <t>Storage Field0</t>
  </si>
  <si>
    <t>Storage Field9 Name</t>
  </si>
  <si>
    <t>Storage Field14</t>
  </si>
  <si>
    <t>Storage Field18</t>
  </si>
  <si>
    <t>DimGridName</t>
  </si>
  <si>
    <t>Chart 4th Data Series</t>
  </si>
  <si>
    <t>Chart 4th Data Series Name</t>
  </si>
  <si>
    <t>IGRowLabelRange</t>
  </si>
  <si>
    <t>MinDG</t>
  </si>
  <si>
    <t>Division 308 - Combined Textbooks</t>
  </si>
  <si>
    <t>Division 331 - Combined 315 &amp; 326</t>
  </si>
  <si>
    <t xml:space="preserve">Forty Niner Shops, Inc. </t>
  </si>
  <si>
    <t>Module Name</t>
  </si>
  <si>
    <t>Time  Relate to data</t>
  </si>
  <si>
    <t>Scenario  Special Rules</t>
  </si>
  <si>
    <t>Category  Special Rules</t>
  </si>
  <si>
    <t>Dim2Text</t>
  </si>
  <si>
    <t>Variable Dim7Special Rules</t>
  </si>
  <si>
    <t>Variable Dim7Text</t>
  </si>
  <si>
    <t>Variable Dim10Relate to data</t>
  </si>
  <si>
    <t>Variable Dim10Special Rules</t>
  </si>
  <si>
    <t>Variable Dim11Text</t>
  </si>
  <si>
    <t>Variable Dim Name16</t>
  </si>
  <si>
    <t>Storage Field3 Name</t>
  </si>
  <si>
    <t>Storage Field4</t>
  </si>
  <si>
    <t>Storage Field8</t>
  </si>
  <si>
    <t>LIDColLabelRange</t>
  </si>
  <si>
    <t>YEAR TO DATE</t>
  </si>
  <si>
    <t>% of Sales</t>
  </si>
  <si>
    <t>Time Text</t>
  </si>
  <si>
    <t>Dim0Special Rules</t>
  </si>
  <si>
    <t>Dim1</t>
  </si>
  <si>
    <t>Variable Dim Name1</t>
  </si>
  <si>
    <t>Variable Dim1Relate to data</t>
  </si>
  <si>
    <t>Variable Dim Name5</t>
  </si>
  <si>
    <t>Variable Dim6Text</t>
  </si>
  <si>
    <t>Variable Dim10Text</t>
  </si>
  <si>
    <t>Variable Dim12Special Rules</t>
  </si>
  <si>
    <t>Variable Dim16Relate to data</t>
  </si>
  <si>
    <t>Storage Field13 Name</t>
  </si>
  <si>
    <t>Storage Field19 Name</t>
  </si>
  <si>
    <t>ChartType</t>
  </si>
  <si>
    <t>Chart 5th Data Series</t>
  </si>
  <si>
    <t>Division 310 &amp; 491 - C-Stores &amp; Cash Food Operations</t>
  </si>
  <si>
    <t>Tess.Monzon@csulb.edu</t>
  </si>
  <si>
    <t>Actual</t>
  </si>
  <si>
    <t>% Budget Sales</t>
  </si>
  <si>
    <t>Grid Cell Range</t>
  </si>
  <si>
    <t>Time  Special Rules</t>
  </si>
  <si>
    <t>Scenario</t>
  </si>
  <si>
    <t>Retain Zero Value</t>
  </si>
  <si>
    <t>Dim1Text</t>
  </si>
  <si>
    <t>Dim2Special Rules</t>
  </si>
  <si>
    <t>Dim Label3</t>
  </si>
  <si>
    <t>Dim5</t>
  </si>
  <si>
    <t>Dim5Relate to data</t>
  </si>
  <si>
    <t>Dim Label7</t>
  </si>
  <si>
    <t>Dim9</t>
  </si>
  <si>
    <t>Variable Dim7Relate to data</t>
  </si>
  <si>
    <t>Variable Dim Name9</t>
  </si>
  <si>
    <t>Variable Dim9Special Rules</t>
  </si>
  <si>
    <t>Variable Dim13</t>
  </si>
  <si>
    <t>Variable Dim14Special Rules</t>
  </si>
  <si>
    <t>Storage Field8 Name</t>
  </si>
  <si>
    <t>Storage Field11</t>
  </si>
  <si>
    <t>StorageGridName</t>
  </si>
  <si>
    <t>Chart 2nd Data Series</t>
  </si>
  <si>
    <t>Chart 2nd Data Series Name</t>
  </si>
  <si>
    <t>LIDRowsNumber</t>
  </si>
  <si>
    <t>Division 330 - Combined 307 &amp; 314</t>
  </si>
  <si>
    <t>Interest Income/Other</t>
  </si>
  <si>
    <t>Grid Special Rules</t>
  </si>
  <si>
    <t>Dim0Text</t>
  </si>
  <si>
    <t>Dim4Special Rules</t>
  </si>
  <si>
    <t>Variable Dim3</t>
  </si>
  <si>
    <t>Variable Dim5Text</t>
  </si>
  <si>
    <t>Variable Dim7</t>
  </si>
  <si>
    <t>Variable Dim11Relate to data</t>
  </si>
  <si>
    <t>Variable Dim Name13</t>
  </si>
  <si>
    <t>Variable Dim16Special Rules</t>
  </si>
  <si>
    <t>Variable Dim17</t>
  </si>
  <si>
    <t>Variable Dim17Relate to data</t>
  </si>
  <si>
    <t>Storage Field1</t>
  </si>
  <si>
    <t>Storage Field2 Name</t>
  </si>
  <si>
    <t>Storage Field15</t>
  </si>
  <si>
    <t>Storage Field18 Name</t>
  </si>
  <si>
    <t>Storage Field19</t>
  </si>
  <si>
    <t>Running Actual Sheet row Number</t>
  </si>
  <si>
    <t>ChartDisplayLabel</t>
  </si>
  <si>
    <t>Chart 6th Data Series Name</t>
  </si>
  <si>
    <t>DG Display Label</t>
  </si>
  <si>
    <t>IGDataRange</t>
  </si>
  <si>
    <t>IGDecimalDigits</t>
  </si>
  <si>
    <t>Division 5 - ID Card Services</t>
  </si>
  <si>
    <t>Division 491 - Cash Food Operations</t>
  </si>
  <si>
    <t>Division 3 - Bookstore &amp; C-Stores</t>
  </si>
  <si>
    <t>GROSS MARGIN</t>
  </si>
  <si>
    <t>Entity Special Rules</t>
  </si>
  <si>
    <t>Updated Date</t>
  </si>
  <si>
    <t>Dim0Relate to data</t>
  </si>
  <si>
    <t>Dim6Relate to data</t>
  </si>
  <si>
    <t>Dim6Special Rules</t>
  </si>
  <si>
    <t>Variable Dim0Special Rules</t>
  </si>
  <si>
    <t>Variable Dim2Relate to data</t>
  </si>
  <si>
    <t>Variable Dim4Text</t>
  </si>
  <si>
    <t>Variable Dim Name17</t>
  </si>
  <si>
    <t>Variable Dim18Special Rules</t>
  </si>
  <si>
    <t>Storage Field5</t>
  </si>
  <si>
    <t>Storage Field9</t>
  </si>
  <si>
    <t>Storage Field12 Name</t>
  </si>
  <si>
    <t>Enable SIMWindow</t>
  </si>
  <si>
    <t>Chart 6th Data Series</t>
  </si>
  <si>
    <t>BudgetTotal</t>
  </si>
  <si>
    <t>Division 332 - Combined 316, 320, &amp; 323</t>
  </si>
  <si>
    <t>OPERATING CONTRIBUTION</t>
  </si>
  <si>
    <t>Variance</t>
  </si>
  <si>
    <t>G &amp; A Allocation</t>
  </si>
  <si>
    <t>Entity</t>
  </si>
  <si>
    <t>Time</t>
  </si>
  <si>
    <t>Dim Label0</t>
  </si>
  <si>
    <t>Dim2</t>
  </si>
  <si>
    <t>Dim8Special Rules</t>
  </si>
  <si>
    <t>Variable Dim Name2</t>
  </si>
  <si>
    <t>Variable Dim3Text</t>
  </si>
  <si>
    <t>Variable Dim8Relate to data</t>
  </si>
  <si>
    <t>Storage Field7 Name</t>
  </si>
  <si>
    <t>Chart 1stData Series</t>
  </si>
  <si>
    <t>Division 2 - Administration</t>
  </si>
  <si>
    <t>Sales</t>
  </si>
  <si>
    <t>Dim Label4</t>
  </si>
  <si>
    <t>Dim6</t>
  </si>
  <si>
    <t>Dim Label8</t>
  </si>
  <si>
    <t>Variable Dim0</t>
  </si>
  <si>
    <t>Variable Dim2Special Rules</t>
  </si>
  <si>
    <t>Variable Dim2Text</t>
  </si>
  <si>
    <t>Variable Dim Name6</t>
  </si>
  <si>
    <t>Variable Dim10</t>
  </si>
  <si>
    <t>Variable Dim12Relate to data</t>
  </si>
  <si>
    <t>Variable Dim14</t>
  </si>
  <si>
    <t>Variable Dim18Relate to data</t>
  </si>
  <si>
    <t>Variable Dim19Text</t>
  </si>
  <si>
    <t>Storage Field1 Name</t>
  </si>
  <si>
    <t>Storage Field12</t>
  </si>
  <si>
    <t>Storage Field17 Name</t>
  </si>
  <si>
    <t>DimSheetName</t>
  </si>
  <si>
    <t>StorageSheetName</t>
  </si>
  <si>
    <t>Running Actual Grid Number</t>
  </si>
  <si>
    <t>DGHide</t>
  </si>
  <si>
    <t>IGDisplayLabel</t>
  </si>
  <si>
    <t>Entity Relate to data</t>
  </si>
  <si>
    <t>Scenario  Relate to data</t>
  </si>
  <si>
    <t>Dim1Relate to data</t>
  </si>
  <si>
    <t>Dim7Relate to data</t>
  </si>
  <si>
    <t>Dim9Text</t>
  </si>
  <si>
    <t>Variable Dim3Relate to data</t>
  </si>
  <si>
    <t>Variable Dim4</t>
  </si>
  <si>
    <t>Variable Dim4Special Rules</t>
  </si>
  <si>
    <t>Variable Dim8</t>
  </si>
  <si>
    <t>Variable Dim9Relate to data</t>
  </si>
  <si>
    <t>Variable Dim Name10</t>
  </si>
  <si>
    <t>Variable Dim Name14</t>
  </si>
  <si>
    <t>Variable Dim18</t>
  </si>
  <si>
    <t>Variable Dim18Text</t>
  </si>
  <si>
    <t>Storage Field2</t>
  </si>
  <si>
    <t>Storage Field11 Name</t>
  </si>
  <si>
    <t>Storage Field16</t>
  </si>
  <si>
    <t>Interface Setting Grid Number</t>
  </si>
  <si>
    <t>Chart Legend Location</t>
  </si>
  <si>
    <t>Chart 3rd Data Series</t>
  </si>
  <si>
    <t>DGRow Label</t>
  </si>
  <si>
    <t>ActualTotal</t>
  </si>
  <si>
    <t>Division 492 - Residential Dining</t>
  </si>
  <si>
    <t>Gain/(Loss) on FMV of Investments</t>
  </si>
  <si>
    <t>Scenario Text</t>
  </si>
  <si>
    <t>Category</t>
  </si>
  <si>
    <t>FxCode  Special Rules</t>
  </si>
  <si>
    <t>Variable Dim1Text</t>
  </si>
  <si>
    <t>Variable Dim6Special Rules</t>
  </si>
  <si>
    <t>Variable Dim11Special Rules</t>
  </si>
  <si>
    <t>Variable Dim17Text</t>
  </si>
  <si>
    <t>Variable Dim Name18</t>
  </si>
  <si>
    <t>Storage Field0 Name</t>
  </si>
  <si>
    <t>Storage Field6</t>
  </si>
  <si>
    <t>Storage Field6 Name</t>
  </si>
  <si>
    <t>Active Grid Number</t>
  </si>
  <si>
    <t>Chart 3rd Data SeriesName</t>
  </si>
  <si>
    <t>IGHide</t>
  </si>
  <si>
    <t>Division 310 - C-Stores</t>
  </si>
  <si>
    <t>Division 4 - Food Services</t>
  </si>
  <si>
    <t>Category  Relate to data</t>
  </si>
  <si>
    <t>FxCode  Relate to data</t>
  </si>
  <si>
    <t>Dim1Special Rules</t>
  </si>
  <si>
    <t>Dim2Relate to data</t>
  </si>
  <si>
    <t>Dim3</t>
  </si>
  <si>
    <t>Dim8Text</t>
  </si>
  <si>
    <t>Variable Dim0Text</t>
  </si>
  <si>
    <t>Variable Dim Name3</t>
  </si>
  <si>
    <t>Variable Dim8Special Rules</t>
  </si>
  <si>
    <t>Variable Dim13Relate to data</t>
  </si>
  <si>
    <t>Variable Dim19Relate to data</t>
  </si>
  <si>
    <t>Storage Field10 Name</t>
  </si>
  <si>
    <t>Storage Field16 Name</t>
  </si>
  <si>
    <t>ChartXAxiesLabel</t>
  </si>
  <si>
    <t>Chart 1st DataSeries Name</t>
  </si>
  <si>
    <t>Chart 5th Data Series Name</t>
  </si>
  <si>
    <t>EnableLID</t>
  </si>
  <si>
    <t>Division 1 - Corporate</t>
  </si>
  <si>
    <t>Division 6 - Computer Store</t>
  </si>
  <si>
    <t>Dim Label1</t>
  </si>
  <si>
    <t>Dim3Special Rules</t>
  </si>
  <si>
    <t>Dim Label5</t>
  </si>
  <si>
    <t>Dim7</t>
  </si>
  <si>
    <t>Dim7Text</t>
  </si>
  <si>
    <t>Dim8Relate to data</t>
  </si>
  <si>
    <t>Dim Label9</t>
  </si>
  <si>
    <t>Variable Dim1</t>
  </si>
  <si>
    <t>Variable Dim4Relate to data</t>
  </si>
  <si>
    <t>Variable Dim Name7</t>
  </si>
  <si>
    <t>Variable Dim11</t>
  </si>
  <si>
    <t>Variable Dim13Special Rules</t>
  </si>
  <si>
    <t>Variable Dim15</t>
  </si>
  <si>
    <t>Variable Dim16Text</t>
  </si>
  <si>
    <t>Storage Field5 Name</t>
  </si>
  <si>
    <t>SliderMinMovePer</t>
  </si>
  <si>
    <t>TotalHide</t>
  </si>
  <si>
    <t>Combined Operating Statement by Department</t>
  </si>
  <si>
    <t>Budget</t>
  </si>
  <si>
    <t>Sheet Name</t>
  </si>
  <si>
    <t>Entity Text</t>
  </si>
  <si>
    <t>Category Text</t>
  </si>
  <si>
    <t>Dim5Special Rules</t>
  </si>
  <si>
    <t>Dim6Text</t>
  </si>
  <si>
    <t>Variable Dim5</t>
  </si>
  <si>
    <t>Variable Dim9</t>
  </si>
  <si>
    <t>Variable Dim Name11</t>
  </si>
  <si>
    <t>Variable Dim14Relate to data</t>
  </si>
  <si>
    <t>Variable Dim15Special Rules</t>
  </si>
  <si>
    <t>Variable Dim15Text</t>
  </si>
  <si>
    <t>Variable Dim19</t>
  </si>
  <si>
    <t>Storage Field13</t>
  </si>
  <si>
    <t>Storage Field17</t>
  </si>
  <si>
    <t>DG Decimal Digits</t>
  </si>
  <si>
    <t>LIDHide</t>
  </si>
  <si>
    <t>SliderMaxpercentage</t>
  </si>
  <si>
    <t>Division 300 - Bookstore</t>
  </si>
  <si>
    <t>Cost of Goods Sold</t>
  </si>
  <si>
    <t>% Variance</t>
  </si>
  <si>
    <t xml:space="preserve">FxCode </t>
  </si>
  <si>
    <t>Dim3Relate to data</t>
  </si>
  <si>
    <t>Dim9Relate to data</t>
  </si>
  <si>
    <t>Variable Dim5Relate to data</t>
  </si>
  <si>
    <t>Variable Dim14Text</t>
  </si>
  <si>
    <t>Variable Dim Name15</t>
  </si>
  <si>
    <t>Variable Dim17Special Rules</t>
  </si>
  <si>
    <t>Variable Dim Name19</t>
  </si>
  <si>
    <t>Storage Field3</t>
  </si>
  <si>
    <t>Storage Field7</t>
  </si>
  <si>
    <t>Storage Field15 Name</t>
  </si>
  <si>
    <t>Period Type</t>
  </si>
  <si>
    <t>ChartHide</t>
  </si>
  <si>
    <t>DGData</t>
  </si>
  <si>
    <t>IGColLabelRange</t>
  </si>
  <si>
    <t>LIDActualDataRange</t>
  </si>
  <si>
    <t>LIDDisplayLabel</t>
  </si>
  <si>
    <t>TotalGridHeadings</t>
  </si>
  <si>
    <t>OPERATING INCOME</t>
  </si>
  <si>
    <t>Created Date</t>
  </si>
  <si>
    <t>Dim0</t>
  </si>
  <si>
    <t>Dim4</t>
  </si>
  <si>
    <t>Dim5Text</t>
  </si>
  <si>
    <t>Dim7Special Rules</t>
  </si>
  <si>
    <t>Variable Dim Name0</t>
  </si>
  <si>
    <t>Variable Dim1Special Rules</t>
  </si>
  <si>
    <t>Variable Dim Name4</t>
  </si>
  <si>
    <t>Variable Dim13Text</t>
  </si>
  <si>
    <t>Variable Dim19Special Rules</t>
  </si>
  <si>
    <t>Storage Field4 Name</t>
  </si>
  <si>
    <t>DGCol Label</t>
  </si>
  <si>
    <t>MinChart</t>
  </si>
  <si>
    <t>EnableCustomSpreading</t>
  </si>
  <si>
    <t>CURRENT PERIOD</t>
  </si>
  <si>
    <t>Credits &amp; Revenues</t>
  </si>
  <si>
    <t>NET CONTRIBUTION</t>
  </si>
  <si>
    <t>Operating Expenses</t>
  </si>
  <si>
    <t>InfoManager Number</t>
  </si>
  <si>
    <t>Dim Label2</t>
  </si>
  <si>
    <t>Dim4Text</t>
  </si>
  <si>
    <t>Dim Label6</t>
  </si>
  <si>
    <t>Dim8</t>
  </si>
  <si>
    <t>Dim9Special Rules</t>
  </si>
  <si>
    <t>Variable Dim2</t>
  </si>
  <si>
    <t>Variable Dim3Special Rules</t>
  </si>
  <si>
    <t>Variable Dim Name8</t>
  </si>
  <si>
    <t>Variable Dim9Text</t>
  </si>
  <si>
    <t>Variable Dim12</t>
  </si>
  <si>
    <t>Variable Dim15Relate to data</t>
  </si>
  <si>
    <t>Variable Dim16</t>
  </si>
  <si>
    <t>Storage Field10</t>
  </si>
  <si>
    <t>Storage Field14 Name</t>
  </si>
  <si>
    <t>SaveType</t>
  </si>
  <si>
    <t>FormatType</t>
  </si>
  <si>
    <t>All Departments</t>
  </si>
  <si>
    <t>Division 300 &amp; 317 - Bookstore &amp; Computer Store</t>
  </si>
  <si>
    <t>Division 333 - Combined 307, 315, &amp; 326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</si>
</sst>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8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7" fontId="1" fillId="0" borderId="0" xfId="3" applyNumberFormat="1" applyFont="1" applyFill="1" applyBorder="1"/>
    <xf numFmtId="164" fontId="1" fillId="0" borderId="0" xfId="1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164" fontId="2" fillId="2" borderId="0" xfId="1" applyNumberFormat="1" applyFont="1" applyFill="1" applyBorder="1"/>
    <xf numFmtId="0" fontId="0" fillId="0" borderId="0" xfId="0" applyFont="1" applyFill="1" applyBorder="1"/>
    <xf numFmtId="164" fontId="2" fillId="2" borderId="0" xfId="1" applyNumberFormat="1" applyFont="1" applyFill="1"/>
    <xf numFmtId="0" fontId="2" fillId="2" borderId="1" xfId="0" applyFont="1" applyFill="1" applyBorder="1" applyAlignment="1">
      <alignment horizontal="centerContinuous"/>
    </xf>
    <xf numFmtId="164" fontId="0" fillId="0" borderId="0" xfId="1" applyNumberFormat="1" applyFont="1"/>
    <xf numFmtId="0" fontId="0" fillId="0" borderId="0" xfId="0" applyAlignment="1">
      <alignment horizontal="centerContinuous"/>
    </xf>
    <xf numFmtId="167" fontId="1" fillId="0" borderId="0" xfId="3" applyNumberFormat="1" applyFont="1" applyFill="1"/>
    <xf numFmtId="164" fontId="2" fillId="0" borderId="0" xfId="1" applyNumberFormat="1" applyFont="1" applyFill="1" applyBorder="1"/>
    <xf numFmtId="168" fontId="2" fillId="2" borderId="2" xfId="2" applyNumberFormat="1" applyFont="1" applyFill="1" applyBorder="1"/>
    <xf numFmtId="167" fontId="2" fillId="2" borderId="2" xfId="3" applyNumberFormat="1" applyFont="1" applyFill="1" applyBorder="1"/>
    <xf numFmtId="0" fontId="2" fillId="0" borderId="0" xfId="0" applyFont="1"/>
    <xf numFmtId="0" fontId="1" fillId="0" borderId="0" xfId="0" applyFont="1"/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49" fontId="1" fillId="0" borderId="0" xfId="0" applyNumberFormat="1" applyFont="1" applyFill="1" applyAlignment="1">
      <alignment horizontal="right"/>
    </xf>
    <xf numFmtId="0" fontId="0" fillId="0" borderId="0" xfId="0" applyFont="1" applyBorder="1"/>
    <xf numFmtId="49" fontId="0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center"/>
    </xf>
    <xf numFmtId="167" fontId="2" fillId="2" borderId="3" xfId="3" applyNumberFormat="1" applyFont="1" applyFill="1" applyBorder="1"/>
    <xf numFmtId="168" fontId="2" fillId="2" borderId="3" xfId="2" applyNumberFormat="1" applyFont="1" applyFill="1" applyBorder="1"/>
    <xf numFmtId="167" fontId="2" fillId="0" borderId="0" xfId="3" applyNumberFormat="1" applyFont="1" applyFill="1" applyBorder="1"/>
    <xf numFmtId="168" fontId="2" fillId="2" borderId="4" xfId="2" applyNumberFormat="1" applyFont="1" applyFill="1" applyBorder="1"/>
    <xf numFmtId="167" fontId="2" fillId="2" borderId="4" xfId="3" applyNumberFormat="1" applyFont="1" applyFill="1" applyBorder="1"/>
    <xf numFmtId="0" fontId="0" fillId="0" borderId="0" xfId="0" applyFill="1" applyBorder="1"/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 applyAlignment="1">
      <alignment horizontal="centerContinuous"/>
    </xf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"/>
    </xf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49" fontId="1" fillId="0" borderId="0" xfId="0" applyNumberFormat="1" applyFont="1" applyFill="1"/>
    <xf numFmtId="167" fontId="2" fillId="2" borderId="1" xfId="0" applyNumberFormat="1" applyFont="1" applyFill="1" applyBorder="1" applyAlignment="1">
      <alignment horizontal="center"/>
    </xf>
    <xf numFmtId="167" fontId="0" fillId="0" borderId="0" xfId="0" applyNumberFormat="1" applyFill="1"/>
    <xf numFmtId="167" fontId="0" fillId="0" borderId="0" xfId="3" applyNumberFormat="1" applyFont="1"/>
    <xf numFmtId="0" fontId="2" fillId="2" borderId="1" xfId="0" applyNumberFormat="1" applyFont="1" applyFill="1" applyBorder="1" applyAlignment="1">
      <alignment horizontal="center"/>
    </xf>
    <xf numFmtId="167" fontId="0" fillId="0" borderId="0" xfId="3" applyNumberFormat="1" applyFont="1" applyAlignment="1">
      <alignment horizontal="centerContinuous"/>
    </xf>
    <xf numFmtId="164" fontId="2" fillId="0" borderId="0" xfId="1" applyNumberFormat="1" applyFont="1" applyAlignment="1">
      <alignment horizontal="left"/>
    </xf>
    <xf numFmtId="167" fontId="2" fillId="2" borderId="1" xfId="0" applyNumberFormat="1" applyFont="1" applyFill="1" applyBorder="1" applyAlignment="1">
      <alignment horizontal="centerContinuous"/>
    </xf>
    <xf numFmtId="49" fontId="2" fillId="0" borderId="0" xfId="0" applyNumberFormat="1" applyFont="1" applyFill="1"/>
    <xf numFmtId="166" fontId="3" fillId="0" borderId="0" xfId="0" applyNumberFormat="1" applyFont="1" applyAlignment="1">
      <alignment horizontal="left"/>
    </xf>
    <xf numFmtId="0" fontId="4" fillId="0" borderId="0" xfId="0" applyFont="1" applyFill="1"/>
    <xf numFmtId="0" fontId="0" fillId="0" borderId="0" xfId="0" applyBorder="1"/>
    <xf numFmtId="49" fontId="2" fillId="2" borderId="1" xfId="0" applyNumberFormat="1" applyFont="1" applyFill="1" applyBorder="1" applyAlignment="1">
      <alignment horizontal="center"/>
    </xf>
    <xf numFmtId="165" fontId="0" fillId="0" borderId="0" xfId="0" applyNumberFormat="1"/>
    <xf numFmtId="0" fontId="5" fillId="0" borderId="0" xfId="0" applyFont="1"/>
    <xf numFmtId="0" fontId="2" fillId="0" borderId="0" xfId="0" applyFont="1" applyAlignment="1">
      <alignment horizontal="left"/>
    </xf>
    <xf numFmtId="0" fontId="0" fillId="0" borderId="0" xfId="0" applyFill="1" applyAlignment="1">
      <alignment horizontal="centerContinuous"/>
    </xf>
    <xf numFmtId="0" fontId="2" fillId="0" borderId="0" xfId="0" applyFont="1" applyFill="1" applyBorder="1"/>
    <xf numFmtId="164" fontId="2" fillId="0" borderId="0" xfId="1" applyNumberFormat="1" applyFont="1" applyFill="1" applyAlignment="1">
      <alignment horizontal="centerContinuous"/>
    </xf>
    <xf numFmtId="0" fontId="3" fillId="0" borderId="0" xfId="0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0" borderId="0" xfId="0" applyNumberFormat="1"/>
    <xf numFmtId="49" fontId="0" fillId="3" borderId="5" xfId="0" applyNumberForma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Z3"/>
  <sheetViews>
    <sheetView workbookViewId="0"/>
  </sheetViews>
  <sheetFormatPr defaultRowHeight="14.4" x14ac:dyDescent="0.3"/>
  <cols>
    <col min="1" max="130" width="20.6640625" customWidth="1"/>
  </cols>
  <sheetData>
    <row r="1" spans="1:130" x14ac:dyDescent="0.3">
      <c r="B1">
        <v>4</v>
      </c>
    </row>
    <row r="3" spans="1:130" ht="28.8" x14ac:dyDescent="0.3">
      <c r="A3" s="41" t="s">
        <v>178</v>
      </c>
      <c r="B3" s="41" t="s">
        <v>196</v>
      </c>
      <c r="C3" s="41" t="s">
        <v>239</v>
      </c>
      <c r="D3" s="41" t="s">
        <v>99</v>
      </c>
      <c r="E3" s="41" t="s">
        <v>158</v>
      </c>
      <c r="F3" s="41" t="s">
        <v>0</v>
      </c>
      <c r="G3" s="41" t="s">
        <v>179</v>
      </c>
      <c r="H3" s="41" t="s">
        <v>53</v>
      </c>
      <c r="I3" s="41" t="s">
        <v>100</v>
      </c>
      <c r="J3" s="41" t="s">
        <v>214</v>
      </c>
      <c r="K3" s="41" t="s">
        <v>138</v>
      </c>
      <c r="L3" s="41" t="s">
        <v>215</v>
      </c>
      <c r="M3" s="41" t="s">
        <v>78</v>
      </c>
      <c r="N3" s="41" t="s">
        <v>79</v>
      </c>
      <c r="O3" s="41" t="s">
        <v>180</v>
      </c>
      <c r="P3" s="41" t="s">
        <v>197</v>
      </c>
      <c r="Q3" s="41" t="s">
        <v>17</v>
      </c>
      <c r="R3" s="41" t="s">
        <v>18</v>
      </c>
      <c r="S3" s="41" t="s">
        <v>54</v>
      </c>
      <c r="T3" s="41" t="s">
        <v>216</v>
      </c>
      <c r="U3" s="41" t="s">
        <v>271</v>
      </c>
      <c r="V3" s="41" t="s">
        <v>289</v>
      </c>
      <c r="W3" s="41" t="s">
        <v>181</v>
      </c>
      <c r="X3" s="41" t="s">
        <v>272</v>
      </c>
      <c r="Y3" s="41" t="s">
        <v>102</v>
      </c>
      <c r="Z3" s="41" t="s">
        <v>253</v>
      </c>
      <c r="AA3" s="41" t="s">
        <v>159</v>
      </c>
      <c r="AB3" s="41" t="s">
        <v>273</v>
      </c>
      <c r="AC3" s="41" t="s">
        <v>19</v>
      </c>
      <c r="AD3" s="41" t="s">
        <v>103</v>
      </c>
      <c r="AE3" s="41" t="s">
        <v>160</v>
      </c>
      <c r="AF3" s="41" t="s">
        <v>104</v>
      </c>
      <c r="AG3" s="41" t="s">
        <v>198</v>
      </c>
      <c r="AH3" s="41" t="s">
        <v>38</v>
      </c>
      <c r="AI3" s="41" t="s">
        <v>274</v>
      </c>
      <c r="AJ3" s="41" t="s">
        <v>275</v>
      </c>
      <c r="AK3" s="41" t="s">
        <v>80</v>
      </c>
      <c r="AL3" s="41" t="s">
        <v>254</v>
      </c>
      <c r="AM3" s="41" t="s">
        <v>255</v>
      </c>
      <c r="AN3" s="41" t="s">
        <v>235</v>
      </c>
      <c r="AO3" s="41" t="s">
        <v>311</v>
      </c>
      <c r="AP3" s="41" t="s">
        <v>312</v>
      </c>
      <c r="AQ3" s="41" t="s">
        <v>124</v>
      </c>
      <c r="AR3" s="41" t="s">
        <v>182</v>
      </c>
      <c r="AS3" s="41" t="s">
        <v>236</v>
      </c>
      <c r="AT3" s="41" t="s">
        <v>276</v>
      </c>
      <c r="AU3" s="41" t="s">
        <v>217</v>
      </c>
      <c r="AV3" s="41" t="s">
        <v>123</v>
      </c>
      <c r="AW3" s="41" t="s">
        <v>101</v>
      </c>
      <c r="AX3" s="41" t="s">
        <v>290</v>
      </c>
      <c r="AY3" s="41" t="s">
        <v>20</v>
      </c>
      <c r="AZ3" s="41" t="s">
        <v>291</v>
      </c>
      <c r="BA3" s="41" t="s">
        <v>278</v>
      </c>
      <c r="BB3" s="41" t="s">
        <v>110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139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107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107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256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256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314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314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199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199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81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L10002"/>
  <sheetViews>
    <sheetView workbookViewId="0"/>
  </sheetViews>
  <sheetFormatPr defaultRowHeight="14.4" x14ac:dyDescent="0.3"/>
  <cols>
    <col min="1" max="220" width="20.6640625" customWidth="1"/>
    <col min="221" max="221" width="20.6640625" style="66" customWidth="1"/>
    <col min="222" max="223" width="20.6640625" customWidth="1"/>
  </cols>
  <sheetData>
    <row r="1" spans="1:272" x14ac:dyDescent="0.3">
      <c r="D1">
        <v>4</v>
      </c>
    </row>
    <row r="2" spans="1:272" x14ac:dyDescent="0.3">
      <c r="JK2">
        <v>271</v>
      </c>
      <c r="JL2">
        <v>4</v>
      </c>
    </row>
    <row r="3" spans="1:272" ht="28.8" x14ac:dyDescent="0.3">
      <c r="A3" s="41" t="s">
        <v>239</v>
      </c>
      <c r="B3" s="41" t="s">
        <v>296</v>
      </c>
      <c r="C3" s="41" t="s">
        <v>0</v>
      </c>
      <c r="D3" s="41" t="s">
        <v>59</v>
      </c>
      <c r="E3" s="41" t="s">
        <v>83</v>
      </c>
      <c r="F3" s="41" t="s">
        <v>24</v>
      </c>
      <c r="G3" s="41" t="s">
        <v>129</v>
      </c>
      <c r="H3" s="41" t="s">
        <v>161</v>
      </c>
      <c r="I3" s="41" t="s">
        <v>109</v>
      </c>
      <c r="J3" s="41" t="s">
        <v>240</v>
      </c>
      <c r="K3" s="41" t="s">
        <v>130</v>
      </c>
      <c r="L3" s="41" t="s">
        <v>25</v>
      </c>
      <c r="M3" s="41" t="s">
        <v>60</v>
      </c>
      <c r="N3" s="41" t="s">
        <v>41</v>
      </c>
      <c r="O3" s="41" t="s">
        <v>61</v>
      </c>
      <c r="P3" s="41" t="s">
        <v>162</v>
      </c>
      <c r="Q3" s="41" t="s">
        <v>26</v>
      </c>
      <c r="R3" s="41" t="s">
        <v>185</v>
      </c>
      <c r="S3" s="41" t="s">
        <v>186</v>
      </c>
      <c r="T3" s="41" t="s">
        <v>201</v>
      </c>
      <c r="U3" s="41" t="s">
        <v>27</v>
      </c>
      <c r="V3" s="41" t="s">
        <v>241</v>
      </c>
      <c r="W3" s="41" t="s">
        <v>259</v>
      </c>
      <c r="X3" s="41" t="s">
        <v>202</v>
      </c>
      <c r="Y3" s="41" t="s">
        <v>187</v>
      </c>
      <c r="Z3" s="41" t="s">
        <v>1</v>
      </c>
      <c r="AA3" s="41" t="s">
        <v>279</v>
      </c>
      <c r="AB3" s="41" t="s">
        <v>131</v>
      </c>
      <c r="AC3" s="41" t="s">
        <v>111</v>
      </c>
      <c r="AD3" s="41" t="s">
        <v>42</v>
      </c>
      <c r="AE3" s="41" t="s">
        <v>84</v>
      </c>
      <c r="AF3" s="41" t="s">
        <v>43</v>
      </c>
      <c r="AG3" s="41" t="s">
        <v>220</v>
      </c>
      <c r="AH3" s="41" t="s">
        <v>163</v>
      </c>
      <c r="AI3" s="41" t="s">
        <v>203</v>
      </c>
      <c r="AJ3" s="41" t="s">
        <v>63</v>
      </c>
      <c r="AK3" s="41" t="s">
        <v>132</v>
      </c>
      <c r="AL3" s="41" t="s">
        <v>297</v>
      </c>
      <c r="AM3" s="41" t="s">
        <v>204</v>
      </c>
      <c r="AN3" s="41" t="s">
        <v>64</v>
      </c>
      <c r="AO3" s="41" t="s">
        <v>28</v>
      </c>
      <c r="AP3" s="41" t="s">
        <v>205</v>
      </c>
      <c r="AQ3" s="41" t="s">
        <v>65</v>
      </c>
      <c r="AR3" s="41" t="s">
        <v>260</v>
      </c>
      <c r="AS3" s="41" t="s">
        <v>221</v>
      </c>
      <c r="AT3" s="41" t="s">
        <v>3</v>
      </c>
      <c r="AU3" s="41" t="s">
        <v>280</v>
      </c>
      <c r="AV3" s="41" t="s">
        <v>141</v>
      </c>
      <c r="AW3" s="41" t="s">
        <v>4</v>
      </c>
      <c r="AX3" s="41" t="s">
        <v>85</v>
      </c>
      <c r="AY3" s="41" t="s">
        <v>298</v>
      </c>
      <c r="AZ3" s="41" t="s">
        <v>66</v>
      </c>
      <c r="BA3" s="41" t="s">
        <v>222</v>
      </c>
      <c r="BB3" s="41" t="s">
        <v>67</v>
      </c>
      <c r="BC3" s="41" t="s">
        <v>242</v>
      </c>
      <c r="BD3" s="41" t="s">
        <v>281</v>
      </c>
      <c r="BE3" s="41" t="s">
        <v>142</v>
      </c>
      <c r="BF3" s="41" t="s">
        <v>299</v>
      </c>
      <c r="BG3" s="41" t="s">
        <v>112</v>
      </c>
      <c r="BH3" s="41" t="s">
        <v>113</v>
      </c>
      <c r="BI3" s="41" t="s">
        <v>243</v>
      </c>
      <c r="BJ3" s="41" t="s">
        <v>223</v>
      </c>
      <c r="BK3" s="41" t="s">
        <v>68</v>
      </c>
      <c r="BL3" s="41" t="s">
        <v>164</v>
      </c>
      <c r="BM3" s="41" t="s">
        <v>282</v>
      </c>
      <c r="BN3" s="41" t="s">
        <v>224</v>
      </c>
      <c r="BO3" s="41" t="s">
        <v>300</v>
      </c>
      <c r="BP3" s="41" t="s">
        <v>143</v>
      </c>
      <c r="BQ3" s="41" t="s">
        <v>225</v>
      </c>
      <c r="BR3" s="41" t="s">
        <v>133</v>
      </c>
      <c r="BS3" s="41" t="s">
        <v>206</v>
      </c>
      <c r="BT3" s="41" t="s">
        <v>69</v>
      </c>
      <c r="BU3" s="41" t="s">
        <v>226</v>
      </c>
      <c r="BV3" s="41" t="s">
        <v>261</v>
      </c>
      <c r="BW3" s="41" t="s">
        <v>301</v>
      </c>
      <c r="BX3" s="41" t="s">
        <v>165</v>
      </c>
      <c r="BY3" s="41" t="s">
        <v>283</v>
      </c>
      <c r="BZ3" s="41" t="s">
        <v>144</v>
      </c>
      <c r="CA3" s="41" t="s">
        <v>5</v>
      </c>
      <c r="CB3" s="41" t="s">
        <v>114</v>
      </c>
      <c r="CC3" s="41" t="s">
        <v>207</v>
      </c>
      <c r="CD3" s="41" t="s">
        <v>44</v>
      </c>
      <c r="CE3" s="41" t="s">
        <v>227</v>
      </c>
      <c r="CF3" s="41" t="s">
        <v>45</v>
      </c>
      <c r="CG3" s="41" t="s">
        <v>284</v>
      </c>
      <c r="CH3" s="41" t="s">
        <v>188</v>
      </c>
      <c r="CI3" s="41" t="s">
        <v>134</v>
      </c>
      <c r="CJ3" s="41" t="s">
        <v>302</v>
      </c>
      <c r="CK3" s="41" t="s">
        <v>115</v>
      </c>
      <c r="CL3" s="41" t="s">
        <v>145</v>
      </c>
      <c r="CM3" s="41" t="s">
        <v>146</v>
      </c>
      <c r="CN3" s="41" t="s">
        <v>208</v>
      </c>
      <c r="CO3" s="41" t="s">
        <v>86</v>
      </c>
      <c r="CP3" s="41" t="s">
        <v>166</v>
      </c>
      <c r="CQ3" s="41" t="s">
        <v>303</v>
      </c>
      <c r="CR3" s="41" t="s">
        <v>135</v>
      </c>
      <c r="CS3" s="41" t="s">
        <v>285</v>
      </c>
      <c r="CT3" s="41" t="s">
        <v>167</v>
      </c>
      <c r="CU3" s="41" t="s">
        <v>228</v>
      </c>
      <c r="CV3" s="41" t="s">
        <v>168</v>
      </c>
      <c r="CW3" s="41" t="s">
        <v>116</v>
      </c>
      <c r="CX3" s="41" t="s">
        <v>46</v>
      </c>
      <c r="CY3" s="41" t="s">
        <v>244</v>
      </c>
      <c r="CZ3" s="41" t="s">
        <v>262</v>
      </c>
      <c r="DA3" s="41" t="s">
        <v>6</v>
      </c>
      <c r="DB3" s="41" t="s">
        <v>87</v>
      </c>
      <c r="DC3" s="41" t="s">
        <v>147</v>
      </c>
      <c r="DD3" s="41" t="s">
        <v>7</v>
      </c>
      <c r="DE3" s="41" t="s">
        <v>8</v>
      </c>
      <c r="DF3" s="41" t="s">
        <v>189</v>
      </c>
      <c r="DG3" s="41" t="s">
        <v>47</v>
      </c>
      <c r="DH3" s="41" t="s">
        <v>229</v>
      </c>
      <c r="DI3" s="41" t="s">
        <v>88</v>
      </c>
      <c r="DJ3" s="41" t="s">
        <v>70</v>
      </c>
      <c r="DK3" s="41" t="s">
        <v>29</v>
      </c>
      <c r="DL3" s="41" t="s">
        <v>30</v>
      </c>
      <c r="DM3" s="41" t="s">
        <v>304</v>
      </c>
      <c r="DN3" s="41" t="s">
        <v>169</v>
      </c>
      <c r="DO3" s="41" t="s">
        <v>136</v>
      </c>
      <c r="DP3" s="41" t="s">
        <v>209</v>
      </c>
      <c r="DQ3" s="41" t="s">
        <v>9</v>
      </c>
      <c r="DR3" s="41" t="s">
        <v>71</v>
      </c>
      <c r="DS3" s="41" t="s">
        <v>245</v>
      </c>
      <c r="DT3" s="41" t="s">
        <v>170</v>
      </c>
      <c r="DU3" s="41" t="s">
        <v>72</v>
      </c>
      <c r="DV3" s="41" t="s">
        <v>305</v>
      </c>
      <c r="DW3" s="41" t="s">
        <v>171</v>
      </c>
      <c r="DX3" s="41" t="s">
        <v>148</v>
      </c>
      <c r="DY3" s="41" t="s">
        <v>31</v>
      </c>
      <c r="DZ3" s="41" t="s">
        <v>32</v>
      </c>
      <c r="EA3" s="41" t="s">
        <v>48</v>
      </c>
      <c r="EB3" s="41" t="s">
        <v>246</v>
      </c>
      <c r="EC3" s="41" t="s">
        <v>230</v>
      </c>
      <c r="ED3" s="41" t="s">
        <v>89</v>
      </c>
      <c r="EE3" s="41" t="s">
        <v>190</v>
      </c>
      <c r="EF3" s="41" t="s">
        <v>33</v>
      </c>
      <c r="EG3" s="41" t="s">
        <v>10</v>
      </c>
      <c r="EH3" s="41" t="s">
        <v>306</v>
      </c>
      <c r="EI3" s="41" t="s">
        <v>149</v>
      </c>
      <c r="EJ3" s="41" t="s">
        <v>49</v>
      </c>
      <c r="EK3" s="41" t="s">
        <v>11</v>
      </c>
      <c r="EL3" s="41" t="s">
        <v>90</v>
      </c>
      <c r="EM3" s="41" t="s">
        <v>73</v>
      </c>
      <c r="EN3" s="41" t="s">
        <v>210</v>
      </c>
      <c r="EO3" s="41" t="s">
        <v>231</v>
      </c>
      <c r="EP3" s="41" t="s">
        <v>286</v>
      </c>
      <c r="EQ3" s="41" t="s">
        <v>172</v>
      </c>
      <c r="ER3" s="41" t="s">
        <v>150</v>
      </c>
      <c r="ES3" s="41" t="s">
        <v>247</v>
      </c>
      <c r="ET3" s="41" t="s">
        <v>74</v>
      </c>
      <c r="EU3" s="41" t="s">
        <v>263</v>
      </c>
      <c r="EV3" s="41" t="s">
        <v>264</v>
      </c>
      <c r="EW3" s="41" t="s">
        <v>232</v>
      </c>
      <c r="EX3" s="41" t="s">
        <v>307</v>
      </c>
      <c r="EY3" s="41" t="s">
        <v>248</v>
      </c>
      <c r="EZ3" s="41" t="s">
        <v>249</v>
      </c>
      <c r="FA3" s="41" t="s">
        <v>34</v>
      </c>
      <c r="FB3" s="41" t="s">
        <v>308</v>
      </c>
      <c r="FC3" s="41" t="s">
        <v>50</v>
      </c>
      <c r="FD3" s="41" t="s">
        <v>91</v>
      </c>
      <c r="FE3" s="41" t="s">
        <v>233</v>
      </c>
      <c r="FF3" s="41" t="s">
        <v>117</v>
      </c>
      <c r="FG3" s="41" t="s">
        <v>92</v>
      </c>
      <c r="FH3" s="41" t="s">
        <v>93</v>
      </c>
      <c r="FI3" s="41" t="s">
        <v>265</v>
      </c>
      <c r="FJ3" s="41" t="s">
        <v>191</v>
      </c>
      <c r="FK3" s="41" t="s">
        <v>192</v>
      </c>
      <c r="FL3" s="41" t="s">
        <v>173</v>
      </c>
      <c r="FM3" s="41" t="s">
        <v>151</v>
      </c>
      <c r="FN3" s="41" t="s">
        <v>118</v>
      </c>
      <c r="FO3" s="41" t="s">
        <v>174</v>
      </c>
      <c r="FP3" s="41" t="s">
        <v>266</v>
      </c>
      <c r="FQ3" s="41" t="s">
        <v>250</v>
      </c>
      <c r="FR3" s="41" t="s">
        <v>211</v>
      </c>
      <c r="FS3" s="41" t="s">
        <v>287</v>
      </c>
      <c r="FT3" s="41" t="s">
        <v>152</v>
      </c>
      <c r="FU3" s="41" t="s">
        <v>12</v>
      </c>
      <c r="FV3" s="41" t="s">
        <v>193</v>
      </c>
      <c r="FW3" s="41" t="s">
        <v>94</v>
      </c>
      <c r="FX3" s="41" t="s">
        <v>153</v>
      </c>
      <c r="FY3" s="41" t="s">
        <v>175</v>
      </c>
      <c r="FZ3" s="41" t="s">
        <v>95</v>
      </c>
      <c r="GA3" s="41" t="s">
        <v>267</v>
      </c>
      <c r="GB3" s="41" t="s">
        <v>35</v>
      </c>
      <c r="GC3" s="41" t="s">
        <v>36</v>
      </c>
      <c r="GD3" s="41" t="s">
        <v>288</v>
      </c>
      <c r="GE3" s="41" t="s">
        <v>119</v>
      </c>
      <c r="GF3" s="41" t="s">
        <v>234</v>
      </c>
      <c r="GG3" s="41" t="s">
        <v>194</v>
      </c>
      <c r="GH3" s="41" t="s">
        <v>195</v>
      </c>
      <c r="GI3" s="41" t="s">
        <v>268</v>
      </c>
      <c r="GJ3" s="41" t="s">
        <v>137</v>
      </c>
      <c r="GK3" s="41" t="s">
        <v>37</v>
      </c>
      <c r="GL3" s="41" t="s">
        <v>75</v>
      </c>
      <c r="GM3" s="41" t="s">
        <v>120</v>
      </c>
      <c r="GN3" s="41" t="s">
        <v>13</v>
      </c>
      <c r="GO3" s="41" t="s">
        <v>309</v>
      </c>
      <c r="GP3" s="41" t="s">
        <v>212</v>
      </c>
      <c r="GQ3" s="41" t="s">
        <v>76</v>
      </c>
      <c r="GR3" s="41" t="s">
        <v>176</v>
      </c>
      <c r="GS3" s="41" t="s">
        <v>154</v>
      </c>
      <c r="GT3" s="41" t="s">
        <v>121</v>
      </c>
      <c r="GU3" s="41" t="s">
        <v>251</v>
      </c>
      <c r="GV3" s="41" t="s">
        <v>51</v>
      </c>
      <c r="GW3" s="41" t="s">
        <v>14</v>
      </c>
      <c r="GX3" s="41" t="s">
        <v>310</v>
      </c>
      <c r="GY3" s="41" t="s">
        <v>96</v>
      </c>
      <c r="GZ3" s="41" t="s">
        <v>269</v>
      </c>
      <c r="HA3" s="41" t="s">
        <v>177</v>
      </c>
      <c r="HB3" s="41" t="s">
        <v>213</v>
      </c>
      <c r="HC3" s="41" t="s">
        <v>252</v>
      </c>
      <c r="HD3" s="41" t="s">
        <v>155</v>
      </c>
      <c r="HE3" s="41" t="s">
        <v>15</v>
      </c>
      <c r="HF3" s="41" t="s">
        <v>97</v>
      </c>
      <c r="HG3" s="41" t="s">
        <v>98</v>
      </c>
      <c r="HH3" s="41" t="s">
        <v>52</v>
      </c>
      <c r="HI3" s="41" t="s">
        <v>122</v>
      </c>
      <c r="HJ3" s="41" t="s">
        <v>270</v>
      </c>
      <c r="HK3" s="41"/>
      <c r="HL3" s="41" t="s">
        <v>2</v>
      </c>
      <c r="HM3" s="67"/>
      <c r="HN3" s="41" t="s">
        <v>278</v>
      </c>
      <c r="HO3" s="41" t="s">
        <v>110</v>
      </c>
      <c r="HP3" t="s">
        <v>62</v>
      </c>
      <c r="JK3" s="41" t="s">
        <v>16</v>
      </c>
      <c r="JL3" s="41" t="s">
        <v>156</v>
      </c>
    </row>
    <row r="10001" spans="271:272" x14ac:dyDescent="0.3">
      <c r="JK10001">
        <v>271</v>
      </c>
      <c r="JL10001">
        <v>10003</v>
      </c>
    </row>
    <row r="10002" spans="271:272" ht="43.2" x14ac:dyDescent="0.3">
      <c r="JK10002" s="41" t="s">
        <v>77</v>
      </c>
      <c r="JL10002" s="41" t="s">
        <v>157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21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21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22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22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125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125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315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200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200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55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outlinePr summaryBelow="0" summaryRight="0"/>
  </sheetPr>
  <dimension ref="A2:Z190"/>
  <sheetViews>
    <sheetView tabSelected="1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313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1585129.57</v>
      </c>
      <c r="E12" s="4"/>
      <c r="F12" s="12"/>
      <c r="G12" s="4"/>
      <c r="H12" s="4">
        <f>SUM(OSRRefH13x_0)</f>
        <v>2849041</v>
      </c>
      <c r="I12" s="4"/>
      <c r="J12" s="12"/>
      <c r="K12" s="4"/>
      <c r="L12" s="4">
        <f t="shared" ref="L12:L23" si="0">+D12-H12</f>
        <v>-1263911.43</v>
      </c>
      <c r="M12" s="4"/>
      <c r="N12" s="12">
        <f t="shared" ref="N12:N23" si="1">IF(H12=0,0,L12/H12)</f>
        <v>-0.44362697132122703</v>
      </c>
      <c r="O12" s="10"/>
      <c r="P12" s="4">
        <f>SUM(OSRRefP13x_0)</f>
        <v>12960723.160000002</v>
      </c>
      <c r="Q12" s="4"/>
      <c r="R12" s="12"/>
      <c r="S12" s="4"/>
      <c r="T12" s="4">
        <f>SUM(OSRRefT13x_0)</f>
        <v>14525587</v>
      </c>
      <c r="U12" s="4"/>
      <c r="V12" s="12"/>
      <c r="W12" s="4"/>
      <c r="X12" s="4">
        <f t="shared" ref="X12:X23" si="2">+P12-T12</f>
        <v>-1564863.839999998</v>
      </c>
      <c r="Y12" s="4"/>
      <c r="Z12" s="12">
        <f t="shared" ref="Z12:Z23" si="3">IF(T12=0,0,X12/T12)</f>
        <v>-0.10773153883557325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--746972.12</f>
        <v>746972.12</v>
      </c>
      <c r="E13" s="2"/>
      <c r="F13" s="19"/>
      <c r="G13" s="2"/>
      <c r="H13" s="2">
        <v>2209503</v>
      </c>
      <c r="I13" s="2"/>
      <c r="J13" s="19"/>
      <c r="K13" s="2"/>
      <c r="L13" s="2">
        <f t="shared" si="0"/>
        <v>-1462530.88</v>
      </c>
      <c r="M13" s="2"/>
      <c r="N13" s="19">
        <f t="shared" si="1"/>
        <v>-0.66192753755029976</v>
      </c>
      <c r="O13" s="11"/>
      <c r="P13" s="2">
        <f>--4690905.23</f>
        <v>4690905.2300000004</v>
      </c>
      <c r="Q13" s="2"/>
      <c r="R13" s="19"/>
      <c r="S13" s="2"/>
      <c r="T13" s="2">
        <v>8309549</v>
      </c>
      <c r="U13" s="2"/>
      <c r="V13" s="19"/>
      <c r="W13" s="2"/>
      <c r="X13" s="2">
        <f t="shared" si="2"/>
        <v>-3618643.7699999996</v>
      </c>
      <c r="Y13" s="2"/>
      <c r="Z13" s="19">
        <f t="shared" si="3"/>
        <v>-0.43548016504866865</v>
      </c>
    </row>
    <row r="14" spans="1:26" s="24" customFormat="1" hidden="1" outlineLevel="1" x14ac:dyDescent="0.3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--2376.57</f>
        <v>2376.5700000000002</v>
      </c>
      <c r="E14" s="2"/>
      <c r="F14" s="19"/>
      <c r="G14" s="2"/>
      <c r="H14" s="2"/>
      <c r="I14" s="2"/>
      <c r="J14" s="19"/>
      <c r="K14" s="2"/>
      <c r="L14" s="2">
        <f t="shared" si="0"/>
        <v>2376.5700000000002</v>
      </c>
      <c r="M14" s="2"/>
      <c r="N14" s="19">
        <f t="shared" si="1"/>
        <v>0</v>
      </c>
      <c r="O14" s="11"/>
      <c r="P14" s="2">
        <f>--149359.36</f>
        <v>149359.35999999999</v>
      </c>
      <c r="Q14" s="2"/>
      <c r="R14" s="19"/>
      <c r="S14" s="2"/>
      <c r="T14" s="2"/>
      <c r="U14" s="2"/>
      <c r="V14" s="19"/>
      <c r="W14" s="2"/>
      <c r="X14" s="2">
        <f t="shared" si="2"/>
        <v>149359.35999999999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--1512.98</f>
        <v>1512.98</v>
      </c>
      <c r="E15" s="2"/>
      <c r="F15" s="19"/>
      <c r="G15" s="2"/>
      <c r="H15" s="2"/>
      <c r="I15" s="2"/>
      <c r="J15" s="19"/>
      <c r="K15" s="2"/>
      <c r="L15" s="2">
        <f t="shared" si="0"/>
        <v>1512.98</v>
      </c>
      <c r="M15" s="2"/>
      <c r="N15" s="19">
        <f t="shared" si="1"/>
        <v>0</v>
      </c>
      <c r="O15" s="11"/>
      <c r="P15" s="2">
        <f>--12175.15</f>
        <v>12175.15</v>
      </c>
      <c r="Q15" s="2"/>
      <c r="R15" s="19"/>
      <c r="S15" s="2"/>
      <c r="T15" s="2"/>
      <c r="U15" s="2"/>
      <c r="V15" s="19"/>
      <c r="W15" s="2"/>
      <c r="X15" s="2">
        <f t="shared" si="2"/>
        <v>12175.15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--232001.54</f>
        <v>232001.54</v>
      </c>
      <c r="E16" s="2"/>
      <c r="F16" s="19"/>
      <c r="G16" s="2"/>
      <c r="H16" s="2">
        <v>639538</v>
      </c>
      <c r="I16" s="2"/>
      <c r="J16" s="19"/>
      <c r="K16" s="2"/>
      <c r="L16" s="2">
        <f t="shared" si="0"/>
        <v>-407536.45999999996</v>
      </c>
      <c r="M16" s="2"/>
      <c r="N16" s="19">
        <f t="shared" si="1"/>
        <v>-0.63723572328774825</v>
      </c>
      <c r="O16" s="11"/>
      <c r="P16" s="2">
        <f>--1651874.19</f>
        <v>1651874.19</v>
      </c>
      <c r="Q16" s="2"/>
      <c r="R16" s="19"/>
      <c r="S16" s="2"/>
      <c r="T16" s="2">
        <v>6216038</v>
      </c>
      <c r="U16" s="2"/>
      <c r="V16" s="19"/>
      <c r="W16" s="2"/>
      <c r="X16" s="2">
        <f t="shared" si="2"/>
        <v>-4564163.8100000005</v>
      </c>
      <c r="Y16" s="2"/>
      <c r="Z16" s="19">
        <f t="shared" si="3"/>
        <v>-0.73425609849875439</v>
      </c>
    </row>
    <row r="17" spans="1:26" s="24" customFormat="1" hidden="1" outlineLevel="1" x14ac:dyDescent="0.3">
      <c r="A17" s="44"/>
      <c r="B17" s="11" t="str">
        <f>CONCATENATE("          ", "4141", " - ", "NON-TAXABLE SALES-LOGO GIFTS")</f>
        <v xml:space="preserve">          4141 - NON-TAXABLE SALES-LOGO GIFTS</v>
      </c>
      <c r="C17" s="11"/>
      <c r="D17" s="2">
        <f t="shared" ref="D17:D18" si="4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ref="P17:P18" si="5">0</f>
        <v>0</v>
      </c>
      <c r="Q17" s="2"/>
      <c r="R17" s="19"/>
      <c r="S17" s="2"/>
      <c r="T17" s="2"/>
      <c r="U17" s="2"/>
      <c r="V17" s="19"/>
      <c r="W17" s="2"/>
      <c r="X17" s="2">
        <f t="shared" si="2"/>
        <v>0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"4146", " - ", "NON-TAXABLE SALES-COIN OP MACH")</f>
        <v xml:space="preserve">          4146 - NON-TAXABLE SALES-COIN OP MACH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5"/>
        <v>0</v>
      </c>
      <c r="Q18" s="2"/>
      <c r="R18" s="19"/>
      <c r="S18" s="2"/>
      <c r="T18" s="2"/>
      <c r="U18" s="2"/>
      <c r="V18" s="19"/>
      <c r="W18" s="2"/>
      <c r="X18" s="2">
        <f t="shared" si="2"/>
        <v>0</v>
      </c>
      <c r="Y18" s="2"/>
      <c r="Z18" s="19">
        <f t="shared" si="3"/>
        <v>0</v>
      </c>
    </row>
    <row r="19" spans="1:26" s="24" customFormat="1" hidden="1" outlineLevel="1" x14ac:dyDescent="0.3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>--637954.74</f>
        <v>637954.74</v>
      </c>
      <c r="E19" s="2"/>
      <c r="F19" s="19"/>
      <c r="G19" s="2"/>
      <c r="H19" s="2"/>
      <c r="I19" s="2"/>
      <c r="J19" s="19"/>
      <c r="K19" s="2"/>
      <c r="L19" s="2">
        <f t="shared" si="0"/>
        <v>637954.74</v>
      </c>
      <c r="M19" s="2"/>
      <c r="N19" s="19">
        <f t="shared" si="1"/>
        <v>0</v>
      </c>
      <c r="O19" s="11"/>
      <c r="P19" s="2">
        <f>--6806400.41</f>
        <v>6806400.4100000001</v>
      </c>
      <c r="Q19" s="2"/>
      <c r="R19" s="19"/>
      <c r="S19" s="2"/>
      <c r="T19" s="2"/>
      <c r="U19" s="2"/>
      <c r="V19" s="19"/>
      <c r="W19" s="2"/>
      <c r="X19" s="2">
        <f t="shared" si="2"/>
        <v>6806400.4100000001</v>
      </c>
      <c r="Y19" s="2"/>
      <c r="Z19" s="19">
        <f t="shared" si="3"/>
        <v>0</v>
      </c>
    </row>
    <row r="20" spans="1:26" s="24" customFormat="1" hidden="1" outlineLevel="1" x14ac:dyDescent="0.3">
      <c r="A20" s="44"/>
      <c r="B20" s="11" t="str">
        <f>CONCATENATE("          ", "4153", " - ", "NON-TAXABLE SALES-FOOD")</f>
        <v xml:space="preserve">          4153 - NON-TAXABLE SALES-FOOD</v>
      </c>
      <c r="C20" s="11"/>
      <c r="D20" s="2">
        <f>--5015.33</f>
        <v>5015.33</v>
      </c>
      <c r="E20" s="2"/>
      <c r="F20" s="19"/>
      <c r="G20" s="2"/>
      <c r="H20" s="2"/>
      <c r="I20" s="2"/>
      <c r="J20" s="19"/>
      <c r="K20" s="2"/>
      <c r="L20" s="2">
        <f t="shared" si="0"/>
        <v>5015.33</v>
      </c>
      <c r="M20" s="2"/>
      <c r="N20" s="19">
        <f t="shared" si="1"/>
        <v>0</v>
      </c>
      <c r="O20" s="11"/>
      <c r="P20" s="2">
        <f>--61481.32</f>
        <v>61481.32</v>
      </c>
      <c r="Q20" s="2"/>
      <c r="R20" s="19"/>
      <c r="S20" s="2"/>
      <c r="T20" s="2"/>
      <c r="U20" s="2"/>
      <c r="V20" s="19"/>
      <c r="W20" s="2"/>
      <c r="X20" s="2">
        <f t="shared" si="2"/>
        <v>61481.32</v>
      </c>
      <c r="Y20" s="2"/>
      <c r="Z20" s="19">
        <f t="shared" si="3"/>
        <v>0</v>
      </c>
    </row>
    <row r="21" spans="1:26" s="24" customFormat="1" hidden="1" outlineLevel="1" x14ac:dyDescent="0.3">
      <c r="A21" s="44"/>
      <c r="B21" s="11" t="str">
        <f>CONCATENATE("          ", "4200", " - ", "TAXABLE RETURNS")</f>
        <v xml:space="preserve">          4200 - TAXABLE RETURNS</v>
      </c>
      <c r="C21" s="11"/>
      <c r="D21" s="2">
        <f>-33158.25</f>
        <v>-33158.25</v>
      </c>
      <c r="E21" s="2"/>
      <c r="F21" s="19"/>
      <c r="G21" s="2"/>
      <c r="H21" s="2"/>
      <c r="I21" s="2"/>
      <c r="J21" s="19"/>
      <c r="K21" s="2"/>
      <c r="L21" s="2">
        <f t="shared" si="0"/>
        <v>-33158.25</v>
      </c>
      <c r="M21" s="2"/>
      <c r="N21" s="19">
        <f t="shared" si="1"/>
        <v>0</v>
      </c>
      <c r="O21" s="11"/>
      <c r="P21" s="2">
        <f>-311559.47</f>
        <v>-311559.46999999997</v>
      </c>
      <c r="Q21" s="2"/>
      <c r="R21" s="19"/>
      <c r="S21" s="2"/>
      <c r="T21" s="2"/>
      <c r="U21" s="2"/>
      <c r="V21" s="19"/>
      <c r="W21" s="2"/>
      <c r="X21" s="2">
        <f t="shared" si="2"/>
        <v>-311559.46999999997</v>
      </c>
      <c r="Y21" s="2"/>
      <c r="Z21" s="19">
        <f t="shared" si="3"/>
        <v>0</v>
      </c>
    </row>
    <row r="22" spans="1:26" s="24" customFormat="1" hidden="1" outlineLevel="1" x14ac:dyDescent="0.3">
      <c r="A22" s="44"/>
      <c r="B22" s="11" t="str">
        <f>CONCATENATE("          ", "4300", " - ", "NON-TAX RETURNS")</f>
        <v xml:space="preserve">          4300 - NON-TAX RETURNS</v>
      </c>
      <c r="C22" s="11"/>
      <c r="D22" s="2">
        <f>-894.73</f>
        <v>-894.73</v>
      </c>
      <c r="E22" s="2"/>
      <c r="F22" s="19"/>
      <c r="G22" s="2"/>
      <c r="H22" s="2"/>
      <c r="I22" s="2"/>
      <c r="J22" s="19"/>
      <c r="K22" s="2"/>
      <c r="L22" s="2">
        <f t="shared" si="0"/>
        <v>-894.73</v>
      </c>
      <c r="M22" s="2"/>
      <c r="N22" s="19">
        <f t="shared" si="1"/>
        <v>0</v>
      </c>
      <c r="O22" s="11"/>
      <c r="P22" s="2">
        <f>-28778.86</f>
        <v>-28778.86</v>
      </c>
      <c r="Q22" s="2"/>
      <c r="R22" s="19"/>
      <c r="S22" s="2"/>
      <c r="T22" s="2"/>
      <c r="U22" s="2"/>
      <c r="V22" s="19"/>
      <c r="W22" s="2"/>
      <c r="X22" s="2">
        <f t="shared" si="2"/>
        <v>-28778.86</v>
      </c>
      <c r="Y22" s="2"/>
      <c r="Z22" s="19">
        <f t="shared" si="3"/>
        <v>0</v>
      </c>
    </row>
    <row r="23" spans="1:26" s="24" customFormat="1" hidden="1" outlineLevel="1" x14ac:dyDescent="0.3">
      <c r="A23" s="44"/>
      <c r="B23" s="11" t="str">
        <f>CONCATENATE("          ", "4500", " - ", "SALES DISCOUNT")</f>
        <v xml:space="preserve">          4500 - SALES DISCOUNT</v>
      </c>
      <c r="C23" s="11"/>
      <c r="D23" s="2">
        <f>-6650.73</f>
        <v>-6650.73</v>
      </c>
      <c r="E23" s="2"/>
      <c r="F23" s="19"/>
      <c r="G23" s="2"/>
      <c r="H23" s="2"/>
      <c r="I23" s="2"/>
      <c r="J23" s="19"/>
      <c r="K23" s="2"/>
      <c r="L23" s="2">
        <f t="shared" si="0"/>
        <v>-6650.73</v>
      </c>
      <c r="M23" s="2"/>
      <c r="N23" s="19">
        <f t="shared" si="1"/>
        <v>0</v>
      </c>
      <c r="O23" s="11"/>
      <c r="P23" s="2">
        <f>-71134.17</f>
        <v>-71134.17</v>
      </c>
      <c r="Q23" s="2"/>
      <c r="R23" s="19"/>
      <c r="S23" s="2"/>
      <c r="T23" s="2"/>
      <c r="U23" s="2"/>
      <c r="V23" s="19"/>
      <c r="W23" s="2"/>
      <c r="X23" s="2">
        <f t="shared" si="2"/>
        <v>-71134.17</v>
      </c>
      <c r="Y23" s="2"/>
      <c r="Z23" s="19">
        <f t="shared" si="3"/>
        <v>0</v>
      </c>
    </row>
    <row r="24" spans="1:26" x14ac:dyDescent="0.3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3">
      <c r="A25" s="10"/>
      <c r="B25" s="25" t="s">
        <v>257</v>
      </c>
      <c r="C25" s="10"/>
      <c r="D25" s="4">
        <f>SUM(OSRRefD16x_0)</f>
        <v>696667.32999999984</v>
      </c>
      <c r="E25" s="4"/>
      <c r="F25" s="12">
        <f t="shared" ref="F25:F60" si="6">IF(D$12=0,0,D25/D$12)</f>
        <v>0.43950181940016414</v>
      </c>
      <c r="G25" s="4"/>
      <c r="H25" s="4">
        <f>SUM(OSRRefH16x_0)</f>
        <v>1675649</v>
      </c>
      <c r="I25" s="4"/>
      <c r="J25" s="12">
        <f t="shared" ref="J25:J60" si="7">IF(H$12=0,0,H25/H$12)</f>
        <v>0.58814492315133404</v>
      </c>
      <c r="K25" s="4"/>
      <c r="L25" s="4">
        <f t="shared" ref="L25:L60" si="8">+D25-H25</f>
        <v>-978981.67000000016</v>
      </c>
      <c r="M25" s="4"/>
      <c r="N25" s="12">
        <f t="shared" ref="N25:N60" si="9">IF(H25=0,0,L25/H25)</f>
        <v>-0.58424029734150773</v>
      </c>
      <c r="O25" s="10"/>
      <c r="P25" s="4">
        <f>SUM(OSRRefP16x_0)</f>
        <v>5515326.5599999996</v>
      </c>
      <c r="Q25" s="4"/>
      <c r="R25" s="12">
        <f t="shared" ref="R25:R60" si="10">IF(P$12=0,0,P25/P$12)</f>
        <v>0.42554157603039172</v>
      </c>
      <c r="S25" s="4"/>
      <c r="T25" s="4">
        <f>SUM(OSRRefT16x_0)</f>
        <v>7368997</v>
      </c>
      <c r="U25" s="4"/>
      <c r="V25" s="12">
        <f t="shared" ref="V25:V60" si="11">IF(T$12=0,0,T25/T$12)</f>
        <v>0.50731147732618309</v>
      </c>
      <c r="W25" s="4"/>
      <c r="X25" s="4">
        <f t="shared" ref="X25:X60" si="12">+P25-T25</f>
        <v>-1853670.4400000004</v>
      </c>
      <c r="Y25" s="4"/>
      <c r="Z25" s="12">
        <f t="shared" ref="Z25:Z60" si="13">IF(T25=0,0,X25/T25)</f>
        <v>-0.25154989749622647</v>
      </c>
    </row>
    <row r="26" spans="1:26" s="24" customFormat="1" hidden="1" outlineLevel="1" x14ac:dyDescent="0.3">
      <c r="A26" s="44"/>
      <c r="B26" s="11" t="str">
        <f>CONCATENATE("          ", "5000", " - ", "PURCHASES @ COST")</f>
        <v xml:space="preserve">          5000 - PURCHASES @ COST</v>
      </c>
      <c r="C26" s="11"/>
      <c r="D26" s="2">
        <v>586825.11</v>
      </c>
      <c r="E26" s="2"/>
      <c r="F26" s="19">
        <f t="shared" si="6"/>
        <v>0.37020639896333518</v>
      </c>
      <c r="G26" s="2"/>
      <c r="H26" s="2">
        <v>1675649</v>
      </c>
      <c r="I26" s="2"/>
      <c r="J26" s="19">
        <f t="shared" si="7"/>
        <v>0.58814492315133404</v>
      </c>
      <c r="K26" s="2"/>
      <c r="L26" s="2">
        <f t="shared" si="8"/>
        <v>-1088823.8900000001</v>
      </c>
      <c r="M26" s="2"/>
      <c r="N26" s="19">
        <f t="shared" si="9"/>
        <v>-0.64979234314584988</v>
      </c>
      <c r="O26" s="11"/>
      <c r="P26" s="2">
        <v>4045987.7</v>
      </c>
      <c r="Q26" s="2"/>
      <c r="R26" s="19">
        <f t="shared" si="10"/>
        <v>0.31217298989048076</v>
      </c>
      <c r="S26" s="2"/>
      <c r="T26" s="2">
        <v>7368997</v>
      </c>
      <c r="U26" s="2"/>
      <c r="V26" s="19">
        <f t="shared" si="11"/>
        <v>0.50731147732618309</v>
      </c>
      <c r="W26" s="2"/>
      <c r="X26" s="2">
        <f t="shared" si="12"/>
        <v>-3323009.3</v>
      </c>
      <c r="Y26" s="2"/>
      <c r="Z26" s="19">
        <f t="shared" si="13"/>
        <v>-0.45094458580998198</v>
      </c>
    </row>
    <row r="27" spans="1:26" s="24" customFormat="1" hidden="1" outlineLevel="1" x14ac:dyDescent="0.3">
      <c r="A27" s="44"/>
      <c r="B27" s="11" t="str">
        <f>CONCATENATE("          ", "5001", " - ", "PURCHASES @ COST-NEW TEXT")</f>
        <v xml:space="preserve">          5001 - PURCHASES @ COST-NEW TEXT</v>
      </c>
      <c r="C27" s="11"/>
      <c r="D27" s="2"/>
      <c r="E27" s="2"/>
      <c r="F27" s="19">
        <f t="shared" si="6"/>
        <v>0</v>
      </c>
      <c r="G27" s="2"/>
      <c r="H27" s="2"/>
      <c r="I27" s="2"/>
      <c r="J27" s="19">
        <f t="shared" si="7"/>
        <v>0</v>
      </c>
      <c r="K27" s="2"/>
      <c r="L27" s="2">
        <f t="shared" si="8"/>
        <v>0</v>
      </c>
      <c r="M27" s="2"/>
      <c r="N27" s="19">
        <f t="shared" si="9"/>
        <v>0</v>
      </c>
      <c r="O27" s="11"/>
      <c r="P27" s="2">
        <v>0</v>
      </c>
      <c r="Q27" s="2"/>
      <c r="R27" s="19">
        <f t="shared" si="10"/>
        <v>0</v>
      </c>
      <c r="S27" s="2"/>
      <c r="T27" s="2"/>
      <c r="U27" s="2"/>
      <c r="V27" s="19">
        <f t="shared" si="11"/>
        <v>0</v>
      </c>
      <c r="W27" s="2"/>
      <c r="X27" s="2">
        <f t="shared" si="12"/>
        <v>0</v>
      </c>
      <c r="Y27" s="2"/>
      <c r="Z27" s="19">
        <f t="shared" si="13"/>
        <v>0</v>
      </c>
    </row>
    <row r="28" spans="1:26" s="24" customFormat="1" hidden="1" outlineLevel="1" x14ac:dyDescent="0.3">
      <c r="A28" s="44"/>
      <c r="B28" s="11" t="str">
        <f>CONCATENATE("          ", "5002", " - ", "PURCHASES @ COST-USED TEXT")</f>
        <v xml:space="preserve">          5002 - PURCHASES @ COST-USED TEXT</v>
      </c>
      <c r="C28" s="11"/>
      <c r="D28" s="2"/>
      <c r="E28" s="2"/>
      <c r="F28" s="19">
        <f t="shared" si="6"/>
        <v>0</v>
      </c>
      <c r="G28" s="2"/>
      <c r="H28" s="2"/>
      <c r="I28" s="2"/>
      <c r="J28" s="19">
        <f t="shared" si="7"/>
        <v>0</v>
      </c>
      <c r="K28" s="2"/>
      <c r="L28" s="2">
        <f t="shared" si="8"/>
        <v>0</v>
      </c>
      <c r="M28" s="2"/>
      <c r="N28" s="19">
        <f t="shared" si="9"/>
        <v>0</v>
      </c>
      <c r="O28" s="11"/>
      <c r="P28" s="2">
        <v>0</v>
      </c>
      <c r="Q28" s="2"/>
      <c r="R28" s="19">
        <f t="shared" si="10"/>
        <v>0</v>
      </c>
      <c r="S28" s="2"/>
      <c r="T28" s="2"/>
      <c r="U28" s="2"/>
      <c r="V28" s="19">
        <f t="shared" si="11"/>
        <v>0</v>
      </c>
      <c r="W28" s="2"/>
      <c r="X28" s="2">
        <f t="shared" si="12"/>
        <v>0</v>
      </c>
      <c r="Y28" s="2"/>
      <c r="Z28" s="19">
        <f t="shared" si="13"/>
        <v>0</v>
      </c>
    </row>
    <row r="29" spans="1:26" s="24" customFormat="1" hidden="1" outlineLevel="1" x14ac:dyDescent="0.3">
      <c r="A29" s="44"/>
      <c r="B29" s="11" t="str">
        <f>CONCATENATE("          ", "5004", " - ", "PURCHASES @ COST-DIGITAL TEXT")</f>
        <v xml:space="preserve">          5004 - PURCHASES @ COST-DIGITAL TEXT</v>
      </c>
      <c r="C29" s="11"/>
      <c r="D29" s="2"/>
      <c r="E29" s="2"/>
      <c r="F29" s="19">
        <f t="shared" si="6"/>
        <v>0</v>
      </c>
      <c r="G29" s="2"/>
      <c r="H29" s="2"/>
      <c r="I29" s="2"/>
      <c r="J29" s="19">
        <f t="shared" si="7"/>
        <v>0</v>
      </c>
      <c r="K29" s="2"/>
      <c r="L29" s="2">
        <f t="shared" si="8"/>
        <v>0</v>
      </c>
      <c r="M29" s="2"/>
      <c r="N29" s="19">
        <f t="shared" si="9"/>
        <v>0</v>
      </c>
      <c r="O29" s="11"/>
      <c r="P29" s="2">
        <v>0</v>
      </c>
      <c r="Q29" s="2"/>
      <c r="R29" s="19">
        <f t="shared" si="10"/>
        <v>0</v>
      </c>
      <c r="S29" s="2"/>
      <c r="T29" s="2"/>
      <c r="U29" s="2"/>
      <c r="V29" s="19">
        <f t="shared" si="11"/>
        <v>0</v>
      </c>
      <c r="W29" s="2"/>
      <c r="X29" s="2">
        <f t="shared" si="12"/>
        <v>0</v>
      </c>
      <c r="Y29" s="2"/>
      <c r="Z29" s="19">
        <f t="shared" si="13"/>
        <v>0</v>
      </c>
    </row>
    <row r="30" spans="1:26" s="24" customFormat="1" hidden="1" outlineLevel="1" x14ac:dyDescent="0.3">
      <c r="A30" s="44"/>
      <c r="B30" s="11" t="str">
        <f>CONCATENATE("          ", "5026", " - ", "PURCHASES @ COST-WRITING INSTR")</f>
        <v xml:space="preserve">          5026 - PURCHASES @ COST-WRITING INSTR</v>
      </c>
      <c r="C30" s="11"/>
      <c r="D30" s="2"/>
      <c r="E30" s="2"/>
      <c r="F30" s="19">
        <f t="shared" si="6"/>
        <v>0</v>
      </c>
      <c r="G30" s="2"/>
      <c r="H30" s="2"/>
      <c r="I30" s="2"/>
      <c r="J30" s="19">
        <f t="shared" si="7"/>
        <v>0</v>
      </c>
      <c r="K30" s="2"/>
      <c r="L30" s="2">
        <f t="shared" si="8"/>
        <v>0</v>
      </c>
      <c r="M30" s="2"/>
      <c r="N30" s="19">
        <f t="shared" si="9"/>
        <v>0</v>
      </c>
      <c r="O30" s="11"/>
      <c r="P30" s="2">
        <v>0</v>
      </c>
      <c r="Q30" s="2"/>
      <c r="R30" s="19">
        <f t="shared" si="10"/>
        <v>0</v>
      </c>
      <c r="S30" s="2"/>
      <c r="T30" s="2"/>
      <c r="U30" s="2"/>
      <c r="V30" s="19">
        <f t="shared" si="11"/>
        <v>0</v>
      </c>
      <c r="W30" s="2"/>
      <c r="X30" s="2">
        <f t="shared" si="12"/>
        <v>0</v>
      </c>
      <c r="Y30" s="2"/>
      <c r="Z30" s="19">
        <f t="shared" si="13"/>
        <v>0</v>
      </c>
    </row>
    <row r="31" spans="1:26" s="24" customFormat="1" hidden="1" outlineLevel="1" x14ac:dyDescent="0.3">
      <c r="A31" s="44"/>
      <c r="B31" s="11" t="str">
        <f>CONCATENATE("          ", "5027", " - ", "PURCHASES @ COST-SCHOOL SUPPLI")</f>
        <v xml:space="preserve">          5027 - PURCHASES @ COST-SCHOOL SUPPLI</v>
      </c>
      <c r="C31" s="11"/>
      <c r="D31" s="2"/>
      <c r="E31" s="2"/>
      <c r="F31" s="19">
        <f t="shared" si="6"/>
        <v>0</v>
      </c>
      <c r="G31" s="2"/>
      <c r="H31" s="2"/>
      <c r="I31" s="2"/>
      <c r="J31" s="19">
        <f t="shared" si="7"/>
        <v>0</v>
      </c>
      <c r="K31" s="2"/>
      <c r="L31" s="2">
        <f t="shared" si="8"/>
        <v>0</v>
      </c>
      <c r="M31" s="2"/>
      <c r="N31" s="19">
        <f t="shared" si="9"/>
        <v>0</v>
      </c>
      <c r="O31" s="11"/>
      <c r="P31" s="2">
        <v>0</v>
      </c>
      <c r="Q31" s="2"/>
      <c r="R31" s="19">
        <f t="shared" si="10"/>
        <v>0</v>
      </c>
      <c r="S31" s="2"/>
      <c r="T31" s="2"/>
      <c r="U31" s="2"/>
      <c r="V31" s="19">
        <f t="shared" si="11"/>
        <v>0</v>
      </c>
      <c r="W31" s="2"/>
      <c r="X31" s="2">
        <f t="shared" si="12"/>
        <v>0</v>
      </c>
      <c r="Y31" s="2"/>
      <c r="Z31" s="19">
        <f t="shared" si="13"/>
        <v>0</v>
      </c>
    </row>
    <row r="32" spans="1:26" s="24" customFormat="1" hidden="1" outlineLevel="1" x14ac:dyDescent="0.3">
      <c r="A32" s="44"/>
      <c r="B32" s="11" t="str">
        <f>CONCATENATE("          ", "5028", " - ", "PURCHASES @ COST-ART/TECH")</f>
        <v xml:space="preserve">          5028 - PURCHASES @ COST-ART/TECH</v>
      </c>
      <c r="C32" s="11"/>
      <c r="D32" s="2"/>
      <c r="E32" s="2"/>
      <c r="F32" s="19">
        <f t="shared" si="6"/>
        <v>0</v>
      </c>
      <c r="G32" s="2"/>
      <c r="H32" s="2"/>
      <c r="I32" s="2"/>
      <c r="J32" s="19">
        <f t="shared" si="7"/>
        <v>0</v>
      </c>
      <c r="K32" s="2"/>
      <c r="L32" s="2">
        <f t="shared" si="8"/>
        <v>0</v>
      </c>
      <c r="M32" s="2"/>
      <c r="N32" s="19">
        <f t="shared" si="9"/>
        <v>0</v>
      </c>
      <c r="O32" s="11"/>
      <c r="P32" s="2">
        <v>0</v>
      </c>
      <c r="Q32" s="2"/>
      <c r="R32" s="19">
        <f t="shared" si="10"/>
        <v>0</v>
      </c>
      <c r="S32" s="2"/>
      <c r="T32" s="2"/>
      <c r="U32" s="2"/>
      <c r="V32" s="19">
        <f t="shared" si="11"/>
        <v>0</v>
      </c>
      <c r="W32" s="2"/>
      <c r="X32" s="2">
        <f t="shared" si="12"/>
        <v>0</v>
      </c>
      <c r="Y32" s="2"/>
      <c r="Z32" s="19">
        <f t="shared" si="13"/>
        <v>0</v>
      </c>
    </row>
    <row r="33" spans="1:26" s="24" customFormat="1" hidden="1" outlineLevel="1" x14ac:dyDescent="0.3">
      <c r="A33" s="44"/>
      <c r="B33" s="11" t="str">
        <f>CONCATENATE("          ", "5031", " - ", "PURCHASES @ COST-FOOD")</f>
        <v xml:space="preserve">          5031 - PURCHASES @ COST-FOOD</v>
      </c>
      <c r="C33" s="11"/>
      <c r="D33" s="2"/>
      <c r="E33" s="2"/>
      <c r="F33" s="19">
        <f t="shared" si="6"/>
        <v>0</v>
      </c>
      <c r="G33" s="2"/>
      <c r="H33" s="2"/>
      <c r="I33" s="2"/>
      <c r="J33" s="19">
        <f t="shared" si="7"/>
        <v>0</v>
      </c>
      <c r="K33" s="2"/>
      <c r="L33" s="2">
        <f t="shared" si="8"/>
        <v>0</v>
      </c>
      <c r="M33" s="2"/>
      <c r="N33" s="19">
        <f t="shared" si="9"/>
        <v>0</v>
      </c>
      <c r="O33" s="11"/>
      <c r="P33" s="2">
        <v>0</v>
      </c>
      <c r="Q33" s="2"/>
      <c r="R33" s="19">
        <f t="shared" si="10"/>
        <v>0</v>
      </c>
      <c r="S33" s="2"/>
      <c r="T33" s="2"/>
      <c r="U33" s="2"/>
      <c r="V33" s="19">
        <f t="shared" si="11"/>
        <v>0</v>
      </c>
      <c r="W33" s="2"/>
      <c r="X33" s="2">
        <f t="shared" si="12"/>
        <v>0</v>
      </c>
      <c r="Y33" s="2"/>
      <c r="Z33" s="19">
        <f t="shared" si="13"/>
        <v>0</v>
      </c>
    </row>
    <row r="34" spans="1:26" s="24" customFormat="1" hidden="1" outlineLevel="1" x14ac:dyDescent="0.3">
      <c r="A34" s="44"/>
      <c r="B34" s="11" t="str">
        <f>CONCATENATE("          ", "5040", " - ", "PURCHASES @ COST-LOGO CLOTHING")</f>
        <v xml:space="preserve">          5040 - PURCHASES @ COST-LOGO CLOTHING</v>
      </c>
      <c r="C34" s="11"/>
      <c r="D34" s="2"/>
      <c r="E34" s="2"/>
      <c r="F34" s="19">
        <f t="shared" si="6"/>
        <v>0</v>
      </c>
      <c r="G34" s="2"/>
      <c r="H34" s="2"/>
      <c r="I34" s="2"/>
      <c r="J34" s="19">
        <f t="shared" si="7"/>
        <v>0</v>
      </c>
      <c r="K34" s="2"/>
      <c r="L34" s="2">
        <f t="shared" si="8"/>
        <v>0</v>
      </c>
      <c r="M34" s="2"/>
      <c r="N34" s="19">
        <f t="shared" si="9"/>
        <v>0</v>
      </c>
      <c r="O34" s="11"/>
      <c r="P34" s="2">
        <v>0</v>
      </c>
      <c r="Q34" s="2"/>
      <c r="R34" s="19">
        <f t="shared" si="10"/>
        <v>0</v>
      </c>
      <c r="S34" s="2"/>
      <c r="T34" s="2"/>
      <c r="U34" s="2"/>
      <c r="V34" s="19">
        <f t="shared" si="11"/>
        <v>0</v>
      </c>
      <c r="W34" s="2"/>
      <c r="X34" s="2">
        <f t="shared" si="12"/>
        <v>0</v>
      </c>
      <c r="Y34" s="2"/>
      <c r="Z34" s="19">
        <f t="shared" si="13"/>
        <v>0</v>
      </c>
    </row>
    <row r="35" spans="1:26" s="24" customFormat="1" hidden="1" outlineLevel="1" x14ac:dyDescent="0.3">
      <c r="A35" s="44"/>
      <c r="B35" s="11" t="str">
        <f>CONCATENATE("          ", "5041", " - ", "PURCHASES @ COST-LOGO GIFTS")</f>
        <v xml:space="preserve">          5041 - PURCHASES @ COST-LOGO GIFTS</v>
      </c>
      <c r="C35" s="11"/>
      <c r="D35" s="2"/>
      <c r="E35" s="2"/>
      <c r="F35" s="19">
        <f t="shared" si="6"/>
        <v>0</v>
      </c>
      <c r="G35" s="2"/>
      <c r="H35" s="2"/>
      <c r="I35" s="2"/>
      <c r="J35" s="19">
        <f t="shared" si="7"/>
        <v>0</v>
      </c>
      <c r="K35" s="2"/>
      <c r="L35" s="2">
        <f t="shared" si="8"/>
        <v>0</v>
      </c>
      <c r="M35" s="2"/>
      <c r="N35" s="19">
        <f t="shared" si="9"/>
        <v>0</v>
      </c>
      <c r="O35" s="11"/>
      <c r="P35" s="2">
        <v>0</v>
      </c>
      <c r="Q35" s="2"/>
      <c r="R35" s="19">
        <f t="shared" si="10"/>
        <v>0</v>
      </c>
      <c r="S35" s="2"/>
      <c r="T35" s="2"/>
      <c r="U35" s="2"/>
      <c r="V35" s="19">
        <f t="shared" si="11"/>
        <v>0</v>
      </c>
      <c r="W35" s="2"/>
      <c r="X35" s="2">
        <f t="shared" si="12"/>
        <v>0</v>
      </c>
      <c r="Y35" s="2"/>
      <c r="Z35" s="19">
        <f t="shared" si="13"/>
        <v>0</v>
      </c>
    </row>
    <row r="36" spans="1:26" s="24" customFormat="1" hidden="1" outlineLevel="1" x14ac:dyDescent="0.3">
      <c r="A36" s="44"/>
      <c r="B36" s="11" t="str">
        <f>CONCATENATE("          ", "5042", " - ", "PURCHASES @ COST-EVERYDAY GIFT")</f>
        <v xml:space="preserve">          5042 - PURCHASES @ COST-EVERYDAY GIFT</v>
      </c>
      <c r="C36" s="11"/>
      <c r="D36" s="2"/>
      <c r="E36" s="2"/>
      <c r="F36" s="19">
        <f t="shared" si="6"/>
        <v>0</v>
      </c>
      <c r="G36" s="2"/>
      <c r="H36" s="2"/>
      <c r="I36" s="2"/>
      <c r="J36" s="19">
        <f t="shared" si="7"/>
        <v>0</v>
      </c>
      <c r="K36" s="2"/>
      <c r="L36" s="2">
        <f t="shared" si="8"/>
        <v>0</v>
      </c>
      <c r="M36" s="2"/>
      <c r="N36" s="19">
        <f t="shared" si="9"/>
        <v>0</v>
      </c>
      <c r="O36" s="11"/>
      <c r="P36" s="2">
        <v>0</v>
      </c>
      <c r="Q36" s="2"/>
      <c r="R36" s="19">
        <f t="shared" si="10"/>
        <v>0</v>
      </c>
      <c r="S36" s="2"/>
      <c r="T36" s="2"/>
      <c r="U36" s="2"/>
      <c r="V36" s="19">
        <f t="shared" si="11"/>
        <v>0</v>
      </c>
      <c r="W36" s="2"/>
      <c r="X36" s="2">
        <f t="shared" si="12"/>
        <v>0</v>
      </c>
      <c r="Y36" s="2"/>
      <c r="Z36" s="19">
        <f t="shared" si="13"/>
        <v>0</v>
      </c>
    </row>
    <row r="37" spans="1:26" s="24" customFormat="1" hidden="1" outlineLevel="1" x14ac:dyDescent="0.3">
      <c r="A37" s="44"/>
      <c r="B37" s="11" t="str">
        <f>CONCATENATE("          ", "5043", " - ", "PURCHASES @ COST-CARDS")</f>
        <v xml:space="preserve">          5043 - PURCHASES @ COST-CARDS</v>
      </c>
      <c r="C37" s="11"/>
      <c r="D37" s="2"/>
      <c r="E37" s="2"/>
      <c r="F37" s="19">
        <f t="shared" si="6"/>
        <v>0</v>
      </c>
      <c r="G37" s="2"/>
      <c r="H37" s="2"/>
      <c r="I37" s="2"/>
      <c r="J37" s="19">
        <f t="shared" si="7"/>
        <v>0</v>
      </c>
      <c r="K37" s="2"/>
      <c r="L37" s="2">
        <f t="shared" si="8"/>
        <v>0</v>
      </c>
      <c r="M37" s="2"/>
      <c r="N37" s="19">
        <f t="shared" si="9"/>
        <v>0</v>
      </c>
      <c r="O37" s="11"/>
      <c r="P37" s="2">
        <v>0</v>
      </c>
      <c r="Q37" s="2"/>
      <c r="R37" s="19">
        <f t="shared" si="10"/>
        <v>0</v>
      </c>
      <c r="S37" s="2"/>
      <c r="T37" s="2"/>
      <c r="U37" s="2"/>
      <c r="V37" s="19">
        <f t="shared" si="11"/>
        <v>0</v>
      </c>
      <c r="W37" s="2"/>
      <c r="X37" s="2">
        <f t="shared" si="12"/>
        <v>0</v>
      </c>
      <c r="Y37" s="2"/>
      <c r="Z37" s="19">
        <f t="shared" si="13"/>
        <v>0</v>
      </c>
    </row>
    <row r="38" spans="1:26" s="24" customFormat="1" hidden="1" outlineLevel="1" x14ac:dyDescent="0.3">
      <c r="A38" s="44"/>
      <c r="B38" s="11" t="str">
        <f>CONCATENATE("          ", "5044", " - ", "PURCHASES @ COST-ACCESSORIES")</f>
        <v xml:space="preserve">          5044 - PURCHASES @ COST-ACCESSORIES</v>
      </c>
      <c r="C38" s="11"/>
      <c r="D38" s="2"/>
      <c r="E38" s="2"/>
      <c r="F38" s="19">
        <f t="shared" si="6"/>
        <v>0</v>
      </c>
      <c r="G38" s="2"/>
      <c r="H38" s="2"/>
      <c r="I38" s="2"/>
      <c r="J38" s="19">
        <f t="shared" si="7"/>
        <v>0</v>
      </c>
      <c r="K38" s="2"/>
      <c r="L38" s="2">
        <f t="shared" si="8"/>
        <v>0</v>
      </c>
      <c r="M38" s="2"/>
      <c r="N38" s="19">
        <f t="shared" si="9"/>
        <v>0</v>
      </c>
      <c r="O38" s="11"/>
      <c r="P38" s="2">
        <v>0</v>
      </c>
      <c r="Q38" s="2"/>
      <c r="R38" s="19">
        <f t="shared" si="10"/>
        <v>0</v>
      </c>
      <c r="S38" s="2"/>
      <c r="T38" s="2"/>
      <c r="U38" s="2"/>
      <c r="V38" s="19">
        <f t="shared" si="11"/>
        <v>0</v>
      </c>
      <c r="W38" s="2"/>
      <c r="X38" s="2">
        <f t="shared" si="12"/>
        <v>0</v>
      </c>
      <c r="Y38" s="2"/>
      <c r="Z38" s="19">
        <f t="shared" si="13"/>
        <v>0</v>
      </c>
    </row>
    <row r="39" spans="1:26" s="24" customFormat="1" hidden="1" outlineLevel="1" x14ac:dyDescent="0.3">
      <c r="A39" s="44"/>
      <c r="B39" s="11" t="str">
        <f>CONCATENATE("          ", "5045", " - ", "PURCHASES @ COST-SPECIAL ORDER")</f>
        <v xml:space="preserve">          5045 - PURCHASES @ COST-SPECIAL ORDER</v>
      </c>
      <c r="C39" s="11"/>
      <c r="D39" s="2"/>
      <c r="E39" s="2"/>
      <c r="F39" s="19">
        <f t="shared" si="6"/>
        <v>0</v>
      </c>
      <c r="G39" s="2"/>
      <c r="H39" s="2"/>
      <c r="I39" s="2"/>
      <c r="J39" s="19">
        <f t="shared" si="7"/>
        <v>0</v>
      </c>
      <c r="K39" s="2"/>
      <c r="L39" s="2">
        <f t="shared" si="8"/>
        <v>0</v>
      </c>
      <c r="M39" s="2"/>
      <c r="N39" s="19">
        <f t="shared" si="9"/>
        <v>0</v>
      </c>
      <c r="O39" s="11"/>
      <c r="P39" s="2">
        <v>0</v>
      </c>
      <c r="Q39" s="2"/>
      <c r="R39" s="19">
        <f t="shared" si="10"/>
        <v>0</v>
      </c>
      <c r="S39" s="2"/>
      <c r="T39" s="2"/>
      <c r="U39" s="2"/>
      <c r="V39" s="19">
        <f t="shared" si="11"/>
        <v>0</v>
      </c>
      <c r="W39" s="2"/>
      <c r="X39" s="2">
        <f t="shared" si="12"/>
        <v>0</v>
      </c>
      <c r="Y39" s="2"/>
      <c r="Z39" s="19">
        <f t="shared" si="13"/>
        <v>0</v>
      </c>
    </row>
    <row r="40" spans="1:26" s="24" customFormat="1" hidden="1" outlineLevel="1" x14ac:dyDescent="0.3">
      <c r="A40" s="44"/>
      <c r="B40" s="11" t="str">
        <f>CONCATENATE("          ", "5053", " - ", "PURCHASES @ COST-FOOD")</f>
        <v xml:space="preserve">          5053 - PURCHASES @ COST-FOOD</v>
      </c>
      <c r="C40" s="11"/>
      <c r="D40" s="2">
        <v>143716.57999999999</v>
      </c>
      <c r="E40" s="2"/>
      <c r="F40" s="19">
        <f t="shared" si="6"/>
        <v>9.0665509444757875E-2</v>
      </c>
      <c r="G40" s="2"/>
      <c r="H40" s="2"/>
      <c r="I40" s="2"/>
      <c r="J40" s="19">
        <f t="shared" si="7"/>
        <v>0</v>
      </c>
      <c r="K40" s="2"/>
      <c r="L40" s="2">
        <f t="shared" si="8"/>
        <v>143716.57999999999</v>
      </c>
      <c r="M40" s="2"/>
      <c r="N40" s="19">
        <f t="shared" si="9"/>
        <v>0</v>
      </c>
      <c r="O40" s="11"/>
      <c r="P40" s="2">
        <v>1913840.46</v>
      </c>
      <c r="Q40" s="2"/>
      <c r="R40" s="19">
        <f t="shared" si="10"/>
        <v>0.14766463540449543</v>
      </c>
      <c r="S40" s="2"/>
      <c r="T40" s="2"/>
      <c r="U40" s="2"/>
      <c r="V40" s="19">
        <f t="shared" si="11"/>
        <v>0</v>
      </c>
      <c r="W40" s="2"/>
      <c r="X40" s="2">
        <f t="shared" si="12"/>
        <v>1913840.46</v>
      </c>
      <c r="Y40" s="2"/>
      <c r="Z40" s="19">
        <f t="shared" si="13"/>
        <v>0</v>
      </c>
    </row>
    <row r="41" spans="1:26" s="24" customFormat="1" hidden="1" outlineLevel="1" x14ac:dyDescent="0.3">
      <c r="A41" s="44"/>
      <c r="B41" s="11" t="str">
        <f>CONCATENATE("          ", "5059", " - ", "PURCHASES @ COST-FOOD")</f>
        <v xml:space="preserve">          5059 - PURCHASES @ COST-FOOD</v>
      </c>
      <c r="C41" s="11"/>
      <c r="D41" s="2">
        <v>-30419.16</v>
      </c>
      <c r="E41" s="2"/>
      <c r="F41" s="19">
        <f t="shared" si="6"/>
        <v>-1.9190330289529579E-2</v>
      </c>
      <c r="G41" s="2"/>
      <c r="H41" s="2"/>
      <c r="I41" s="2"/>
      <c r="J41" s="19">
        <f t="shared" si="7"/>
        <v>0</v>
      </c>
      <c r="K41" s="2"/>
      <c r="L41" s="2">
        <f t="shared" si="8"/>
        <v>-30419.16</v>
      </c>
      <c r="M41" s="2"/>
      <c r="N41" s="19">
        <f t="shared" si="9"/>
        <v>0</v>
      </c>
      <c r="O41" s="11"/>
      <c r="P41" s="2">
        <v>-16298.37</v>
      </c>
      <c r="Q41" s="2"/>
      <c r="R41" s="19">
        <f t="shared" si="10"/>
        <v>-1.2575201089319462E-3</v>
      </c>
      <c r="S41" s="2"/>
      <c r="T41" s="2"/>
      <c r="U41" s="2"/>
      <c r="V41" s="19">
        <f t="shared" si="11"/>
        <v>0</v>
      </c>
      <c r="W41" s="2"/>
      <c r="X41" s="2">
        <f t="shared" si="12"/>
        <v>-16298.37</v>
      </c>
      <c r="Y41" s="2"/>
      <c r="Z41" s="19">
        <f t="shared" si="13"/>
        <v>0</v>
      </c>
    </row>
    <row r="42" spans="1:26" s="24" customFormat="1" hidden="1" outlineLevel="1" x14ac:dyDescent="0.3">
      <c r="A42" s="44"/>
      <c r="B42" s="11" t="str">
        <f>CONCATENATE("          ", "5081", " - ", "PURCHASES @ COST-ELECTRONICS")</f>
        <v xml:space="preserve">          5081 - PURCHASES @ COST-ELECTRONICS</v>
      </c>
      <c r="C42" s="11"/>
      <c r="D42" s="2"/>
      <c r="E42" s="2"/>
      <c r="F42" s="19">
        <f t="shared" si="6"/>
        <v>0</v>
      </c>
      <c r="G42" s="2"/>
      <c r="H42" s="2"/>
      <c r="I42" s="2"/>
      <c r="J42" s="19">
        <f t="shared" si="7"/>
        <v>0</v>
      </c>
      <c r="K42" s="2"/>
      <c r="L42" s="2">
        <f t="shared" si="8"/>
        <v>0</v>
      </c>
      <c r="M42" s="2"/>
      <c r="N42" s="19">
        <f t="shared" si="9"/>
        <v>0</v>
      </c>
      <c r="O42" s="11"/>
      <c r="P42" s="2">
        <v>0</v>
      </c>
      <c r="Q42" s="2"/>
      <c r="R42" s="19">
        <f t="shared" si="10"/>
        <v>0</v>
      </c>
      <c r="S42" s="2"/>
      <c r="T42" s="2"/>
      <c r="U42" s="2"/>
      <c r="V42" s="19">
        <f t="shared" si="11"/>
        <v>0</v>
      </c>
      <c r="W42" s="2"/>
      <c r="X42" s="2">
        <f t="shared" si="12"/>
        <v>0</v>
      </c>
      <c r="Y42" s="2"/>
      <c r="Z42" s="19">
        <f t="shared" si="13"/>
        <v>0</v>
      </c>
    </row>
    <row r="43" spans="1:26" s="24" customFormat="1" hidden="1" outlineLevel="1" x14ac:dyDescent="0.3">
      <c r="A43" s="44"/>
      <c r="B43" s="11" t="str">
        <f>CONCATENATE("          ", "5082", " - ", "PURCHASES @ COST-COMPUTER HARD")</f>
        <v xml:space="preserve">          5082 - PURCHASES @ COST-COMPUTER HARD</v>
      </c>
      <c r="C43" s="11"/>
      <c r="D43" s="2">
        <v>-6938.92</v>
      </c>
      <c r="E43" s="2"/>
      <c r="F43" s="19">
        <f t="shared" si="6"/>
        <v>-4.3775096568288733E-3</v>
      </c>
      <c r="G43" s="2"/>
      <c r="H43" s="2"/>
      <c r="I43" s="2"/>
      <c r="J43" s="19">
        <f t="shared" si="7"/>
        <v>0</v>
      </c>
      <c r="K43" s="2"/>
      <c r="L43" s="2">
        <f t="shared" si="8"/>
        <v>-6938.92</v>
      </c>
      <c r="M43" s="2"/>
      <c r="N43" s="19">
        <f t="shared" si="9"/>
        <v>0</v>
      </c>
      <c r="O43" s="11"/>
      <c r="P43" s="2">
        <v>-93808.4</v>
      </c>
      <c r="Q43" s="2"/>
      <c r="R43" s="19">
        <f t="shared" si="10"/>
        <v>-7.2378985988618234E-3</v>
      </c>
      <c r="S43" s="2"/>
      <c r="T43" s="2"/>
      <c r="U43" s="2"/>
      <c r="V43" s="19">
        <f t="shared" si="11"/>
        <v>0</v>
      </c>
      <c r="W43" s="2"/>
      <c r="X43" s="2">
        <f t="shared" si="12"/>
        <v>-93808.4</v>
      </c>
      <c r="Y43" s="2"/>
      <c r="Z43" s="19">
        <f t="shared" si="13"/>
        <v>0</v>
      </c>
    </row>
    <row r="44" spans="1:26" s="24" customFormat="1" hidden="1" outlineLevel="1" x14ac:dyDescent="0.3">
      <c r="A44" s="44"/>
      <c r="B44" s="11" t="str">
        <f>CONCATENATE("          ", "5083", " - ", "PURCHASES @ COST-COMPUTER EQUI")</f>
        <v xml:space="preserve">          5083 - PURCHASES @ COST-COMPUTER EQUI</v>
      </c>
      <c r="C44" s="11"/>
      <c r="D44" s="2"/>
      <c r="E44" s="2"/>
      <c r="F44" s="19">
        <f t="shared" si="6"/>
        <v>0</v>
      </c>
      <c r="G44" s="2"/>
      <c r="H44" s="2"/>
      <c r="I44" s="2"/>
      <c r="J44" s="19">
        <f t="shared" si="7"/>
        <v>0</v>
      </c>
      <c r="K44" s="2"/>
      <c r="L44" s="2">
        <f t="shared" si="8"/>
        <v>0</v>
      </c>
      <c r="M44" s="2"/>
      <c r="N44" s="19">
        <f t="shared" si="9"/>
        <v>0</v>
      </c>
      <c r="O44" s="11"/>
      <c r="P44" s="2">
        <v>0</v>
      </c>
      <c r="Q44" s="2"/>
      <c r="R44" s="19">
        <f t="shared" si="10"/>
        <v>0</v>
      </c>
      <c r="S44" s="2"/>
      <c r="T44" s="2"/>
      <c r="U44" s="2"/>
      <c r="V44" s="19">
        <f t="shared" si="11"/>
        <v>0</v>
      </c>
      <c r="W44" s="2"/>
      <c r="X44" s="2">
        <f t="shared" si="12"/>
        <v>0</v>
      </c>
      <c r="Y44" s="2"/>
      <c r="Z44" s="19">
        <f t="shared" si="13"/>
        <v>0</v>
      </c>
    </row>
    <row r="45" spans="1:26" s="24" customFormat="1" hidden="1" outlineLevel="1" x14ac:dyDescent="0.3">
      <c r="A45" s="44"/>
      <c r="B45" s="11" t="str">
        <f>CONCATENATE("          ", "5085", " - ", "PURCHASES @ COST-SOFTWARE")</f>
        <v xml:space="preserve">          5085 - PURCHASES @ COST-SOFTWARE</v>
      </c>
      <c r="C45" s="11"/>
      <c r="D45" s="2"/>
      <c r="E45" s="2"/>
      <c r="F45" s="19">
        <f t="shared" si="6"/>
        <v>0</v>
      </c>
      <c r="G45" s="2"/>
      <c r="H45" s="2"/>
      <c r="I45" s="2"/>
      <c r="J45" s="19">
        <f t="shared" si="7"/>
        <v>0</v>
      </c>
      <c r="K45" s="2"/>
      <c r="L45" s="2">
        <f t="shared" si="8"/>
        <v>0</v>
      </c>
      <c r="M45" s="2"/>
      <c r="N45" s="19">
        <f t="shared" si="9"/>
        <v>0</v>
      </c>
      <c r="O45" s="11"/>
      <c r="P45" s="2">
        <v>0</v>
      </c>
      <c r="Q45" s="2"/>
      <c r="R45" s="19">
        <f t="shared" si="10"/>
        <v>0</v>
      </c>
      <c r="S45" s="2"/>
      <c r="T45" s="2"/>
      <c r="U45" s="2"/>
      <c r="V45" s="19">
        <f t="shared" si="11"/>
        <v>0</v>
      </c>
      <c r="W45" s="2"/>
      <c r="X45" s="2">
        <f t="shared" si="12"/>
        <v>0</v>
      </c>
      <c r="Y45" s="2"/>
      <c r="Z45" s="19">
        <f t="shared" si="13"/>
        <v>0</v>
      </c>
    </row>
    <row r="46" spans="1:26" s="24" customFormat="1" hidden="1" outlineLevel="1" x14ac:dyDescent="0.3">
      <c r="A46" s="44"/>
      <c r="B46" s="11" t="str">
        <f>CONCATENATE("          ", "5086", " - ", "PURCHASES @ COST-COMPUTER SUPP")</f>
        <v xml:space="preserve">          5086 - PURCHASES @ COST-COMPUTER SUPP</v>
      </c>
      <c r="C46" s="11"/>
      <c r="D46" s="2"/>
      <c r="E46" s="2"/>
      <c r="F46" s="19">
        <f t="shared" si="6"/>
        <v>0</v>
      </c>
      <c r="G46" s="2"/>
      <c r="H46" s="2"/>
      <c r="I46" s="2"/>
      <c r="J46" s="19">
        <f t="shared" si="7"/>
        <v>0</v>
      </c>
      <c r="K46" s="2"/>
      <c r="L46" s="2">
        <f t="shared" si="8"/>
        <v>0</v>
      </c>
      <c r="M46" s="2"/>
      <c r="N46" s="19">
        <f t="shared" si="9"/>
        <v>0</v>
      </c>
      <c r="O46" s="11"/>
      <c r="P46" s="2">
        <v>0</v>
      </c>
      <c r="Q46" s="2"/>
      <c r="R46" s="19">
        <f t="shared" si="10"/>
        <v>0</v>
      </c>
      <c r="S46" s="2"/>
      <c r="T46" s="2"/>
      <c r="U46" s="2"/>
      <c r="V46" s="19">
        <f t="shared" si="11"/>
        <v>0</v>
      </c>
      <c r="W46" s="2"/>
      <c r="X46" s="2">
        <f t="shared" si="12"/>
        <v>0</v>
      </c>
      <c r="Y46" s="2"/>
      <c r="Z46" s="19">
        <f t="shared" si="13"/>
        <v>0</v>
      </c>
    </row>
    <row r="47" spans="1:26" s="24" customFormat="1" hidden="1" outlineLevel="1" x14ac:dyDescent="0.3">
      <c r="A47" s="44"/>
      <c r="B47" s="11" t="str">
        <f>CONCATENATE("          ", "5200", " - ", "PURCHASES OFFSET")</f>
        <v xml:space="preserve">          5200 - PURCHASES OFFSET</v>
      </c>
      <c r="C47" s="11"/>
      <c r="D47" s="2">
        <v>-571503.94999999995</v>
      </c>
      <c r="E47" s="2"/>
      <c r="F47" s="19">
        <f t="shared" si="6"/>
        <v>-0.36054084209658643</v>
      </c>
      <c r="G47" s="2"/>
      <c r="H47" s="2"/>
      <c r="I47" s="2"/>
      <c r="J47" s="19">
        <f t="shared" si="7"/>
        <v>0</v>
      </c>
      <c r="K47" s="2"/>
      <c r="L47" s="2">
        <f t="shared" si="8"/>
        <v>-571503.94999999995</v>
      </c>
      <c r="M47" s="2"/>
      <c r="N47" s="19">
        <f t="shared" si="9"/>
        <v>0</v>
      </c>
      <c r="O47" s="11"/>
      <c r="P47" s="2">
        <v>-3849781.86</v>
      </c>
      <c r="Q47" s="2"/>
      <c r="R47" s="19">
        <f t="shared" si="10"/>
        <v>-0.29703449510297225</v>
      </c>
      <c r="S47" s="2"/>
      <c r="T47" s="2"/>
      <c r="U47" s="2"/>
      <c r="V47" s="19">
        <f t="shared" si="11"/>
        <v>0</v>
      </c>
      <c r="W47" s="2"/>
      <c r="X47" s="2">
        <f t="shared" si="12"/>
        <v>-3849781.86</v>
      </c>
      <c r="Y47" s="2"/>
      <c r="Z47" s="19">
        <f t="shared" si="13"/>
        <v>0</v>
      </c>
    </row>
    <row r="48" spans="1:26" s="24" customFormat="1" hidden="1" outlineLevel="1" x14ac:dyDescent="0.3">
      <c r="A48" s="44"/>
      <c r="B48" s="11" t="str">
        <f>CONCATENATE("          ", "5300", " - ", "COG$ OFFSET")</f>
        <v xml:space="preserve">          5300 - COG$ OFFSET</v>
      </c>
      <c r="C48" s="11"/>
      <c r="D48" s="2">
        <v>553059.96</v>
      </c>
      <c r="E48" s="2"/>
      <c r="F48" s="19">
        <f t="shared" si="6"/>
        <v>0.34890520653147611</v>
      </c>
      <c r="G48" s="2"/>
      <c r="H48" s="2"/>
      <c r="I48" s="2"/>
      <c r="J48" s="19">
        <f t="shared" si="7"/>
        <v>0</v>
      </c>
      <c r="K48" s="2"/>
      <c r="L48" s="2">
        <f t="shared" si="8"/>
        <v>553059.96</v>
      </c>
      <c r="M48" s="2"/>
      <c r="N48" s="19">
        <f t="shared" si="9"/>
        <v>0</v>
      </c>
      <c r="O48" s="11"/>
      <c r="P48" s="2">
        <v>3423132.83</v>
      </c>
      <c r="Q48" s="2"/>
      <c r="R48" s="19">
        <f t="shared" si="10"/>
        <v>0.26411588209557896</v>
      </c>
      <c r="S48" s="2"/>
      <c r="T48" s="2"/>
      <c r="U48" s="2"/>
      <c r="V48" s="19">
        <f t="shared" si="11"/>
        <v>0</v>
      </c>
      <c r="W48" s="2"/>
      <c r="X48" s="2">
        <f t="shared" si="12"/>
        <v>3423132.83</v>
      </c>
      <c r="Y48" s="2"/>
      <c r="Z48" s="19">
        <f t="shared" si="13"/>
        <v>0</v>
      </c>
    </row>
    <row r="49" spans="1:26" s="24" customFormat="1" hidden="1" outlineLevel="1" x14ac:dyDescent="0.3">
      <c r="A49" s="44"/>
      <c r="B49" s="11" t="str">
        <f>CONCATENATE("          ", "5500", " - ", "FREIGHT-IN")</f>
        <v xml:space="preserve">          5500 - FREIGHT-IN</v>
      </c>
      <c r="C49" s="11"/>
      <c r="D49" s="2">
        <v>21927.71</v>
      </c>
      <c r="E49" s="2"/>
      <c r="F49" s="19">
        <f t="shared" si="6"/>
        <v>1.3833386503539895E-2</v>
      </c>
      <c r="G49" s="2"/>
      <c r="H49" s="2"/>
      <c r="I49" s="2"/>
      <c r="J49" s="19">
        <f t="shared" si="7"/>
        <v>0</v>
      </c>
      <c r="K49" s="2"/>
      <c r="L49" s="2">
        <f t="shared" si="8"/>
        <v>21927.71</v>
      </c>
      <c r="M49" s="2"/>
      <c r="N49" s="19">
        <f t="shared" si="9"/>
        <v>0</v>
      </c>
      <c r="O49" s="11"/>
      <c r="P49" s="2">
        <v>92254.2</v>
      </c>
      <c r="Q49" s="2"/>
      <c r="R49" s="19">
        <f t="shared" si="10"/>
        <v>7.1179824506027011E-3</v>
      </c>
      <c r="S49" s="2"/>
      <c r="T49" s="2"/>
      <c r="U49" s="2"/>
      <c r="V49" s="19">
        <f t="shared" si="11"/>
        <v>0</v>
      </c>
      <c r="W49" s="2"/>
      <c r="X49" s="2">
        <f t="shared" si="12"/>
        <v>92254.2</v>
      </c>
      <c r="Y49" s="2"/>
      <c r="Z49" s="19">
        <f t="shared" si="13"/>
        <v>0</v>
      </c>
    </row>
    <row r="50" spans="1:26" s="24" customFormat="1" hidden="1" outlineLevel="1" x14ac:dyDescent="0.3">
      <c r="A50" s="44"/>
      <c r="B50" s="11" t="str">
        <f>CONCATENATE("          ", "5501", " - ", "FREIGHT-IN-NEW TEXT")</f>
        <v xml:space="preserve">          5501 - FREIGHT-IN-NEW TEXT</v>
      </c>
      <c r="C50" s="11"/>
      <c r="D50" s="2"/>
      <c r="E50" s="2"/>
      <c r="F50" s="19">
        <f t="shared" si="6"/>
        <v>0</v>
      </c>
      <c r="G50" s="2"/>
      <c r="H50" s="2"/>
      <c r="I50" s="2"/>
      <c r="J50" s="19">
        <f t="shared" si="7"/>
        <v>0</v>
      </c>
      <c r="K50" s="2"/>
      <c r="L50" s="2">
        <f t="shared" si="8"/>
        <v>0</v>
      </c>
      <c r="M50" s="2"/>
      <c r="N50" s="19">
        <f t="shared" si="9"/>
        <v>0</v>
      </c>
      <c r="O50" s="11"/>
      <c r="P50" s="2">
        <v>0</v>
      </c>
      <c r="Q50" s="2"/>
      <c r="R50" s="19">
        <f t="shared" si="10"/>
        <v>0</v>
      </c>
      <c r="S50" s="2"/>
      <c r="T50" s="2"/>
      <c r="U50" s="2"/>
      <c r="V50" s="19">
        <f t="shared" si="11"/>
        <v>0</v>
      </c>
      <c r="W50" s="2"/>
      <c r="X50" s="2">
        <f t="shared" si="12"/>
        <v>0</v>
      </c>
      <c r="Y50" s="2"/>
      <c r="Z50" s="19">
        <f t="shared" si="13"/>
        <v>0</v>
      </c>
    </row>
    <row r="51" spans="1:26" s="24" customFormat="1" hidden="1" outlineLevel="1" x14ac:dyDescent="0.3">
      <c r="A51" s="44"/>
      <c r="B51" s="11" t="str">
        <f>CONCATENATE("          ", "5502", " - ", "FREIGHT-IN-USED TEXT")</f>
        <v xml:space="preserve">          5502 - FREIGHT-IN-USED TEXT</v>
      </c>
      <c r="C51" s="11"/>
      <c r="D51" s="2"/>
      <c r="E51" s="2"/>
      <c r="F51" s="19">
        <f t="shared" si="6"/>
        <v>0</v>
      </c>
      <c r="G51" s="2"/>
      <c r="H51" s="2"/>
      <c r="I51" s="2"/>
      <c r="J51" s="19">
        <f t="shared" si="7"/>
        <v>0</v>
      </c>
      <c r="K51" s="2"/>
      <c r="L51" s="2">
        <f t="shared" si="8"/>
        <v>0</v>
      </c>
      <c r="M51" s="2"/>
      <c r="N51" s="19">
        <f t="shared" si="9"/>
        <v>0</v>
      </c>
      <c r="O51" s="11"/>
      <c r="P51" s="2">
        <v>0</v>
      </c>
      <c r="Q51" s="2"/>
      <c r="R51" s="19">
        <f t="shared" si="10"/>
        <v>0</v>
      </c>
      <c r="S51" s="2"/>
      <c r="T51" s="2"/>
      <c r="U51" s="2"/>
      <c r="V51" s="19">
        <f t="shared" si="11"/>
        <v>0</v>
      </c>
      <c r="W51" s="2"/>
      <c r="X51" s="2">
        <f t="shared" si="12"/>
        <v>0</v>
      </c>
      <c r="Y51" s="2"/>
      <c r="Z51" s="19">
        <f t="shared" si="13"/>
        <v>0</v>
      </c>
    </row>
    <row r="52" spans="1:26" s="24" customFormat="1" hidden="1" outlineLevel="1" x14ac:dyDescent="0.3">
      <c r="A52" s="44"/>
      <c r="B52" s="11" t="str">
        <f>CONCATENATE("          ", "5518", " - ", "FREIGHT-IN-STUDY GUIDES")</f>
        <v xml:space="preserve">          5518 - FREIGHT-IN-STUDY GUIDES</v>
      </c>
      <c r="C52" s="11"/>
      <c r="D52" s="2"/>
      <c r="E52" s="2"/>
      <c r="F52" s="19">
        <f t="shared" si="6"/>
        <v>0</v>
      </c>
      <c r="G52" s="2"/>
      <c r="H52" s="2"/>
      <c r="I52" s="2"/>
      <c r="J52" s="19">
        <f t="shared" si="7"/>
        <v>0</v>
      </c>
      <c r="K52" s="2"/>
      <c r="L52" s="2">
        <f t="shared" si="8"/>
        <v>0</v>
      </c>
      <c r="M52" s="2"/>
      <c r="N52" s="19">
        <f t="shared" si="9"/>
        <v>0</v>
      </c>
      <c r="O52" s="11"/>
      <c r="P52" s="2">
        <v>0</v>
      </c>
      <c r="Q52" s="2"/>
      <c r="R52" s="19">
        <f t="shared" si="10"/>
        <v>0</v>
      </c>
      <c r="S52" s="2"/>
      <c r="T52" s="2"/>
      <c r="U52" s="2"/>
      <c r="V52" s="19">
        <f t="shared" si="11"/>
        <v>0</v>
      </c>
      <c r="W52" s="2"/>
      <c r="X52" s="2">
        <f t="shared" si="12"/>
        <v>0</v>
      </c>
      <c r="Y52" s="2"/>
      <c r="Z52" s="19">
        <f t="shared" si="13"/>
        <v>0</v>
      </c>
    </row>
    <row r="53" spans="1:26" s="24" customFormat="1" hidden="1" outlineLevel="1" x14ac:dyDescent="0.3">
      <c r="A53" s="44"/>
      <c r="B53" s="11" t="str">
        <f>CONCATENATE("          ", "5527", " - ", "FREIGHT-IN-SCHOOL SUPPLIES")</f>
        <v xml:space="preserve">          5527 - FREIGHT-IN-SCHOOL SUPPLIES</v>
      </c>
      <c r="C53" s="11"/>
      <c r="D53" s="2"/>
      <c r="E53" s="2"/>
      <c r="F53" s="19">
        <f t="shared" si="6"/>
        <v>0</v>
      </c>
      <c r="G53" s="2"/>
      <c r="H53" s="2"/>
      <c r="I53" s="2"/>
      <c r="J53" s="19">
        <f t="shared" si="7"/>
        <v>0</v>
      </c>
      <c r="K53" s="2"/>
      <c r="L53" s="2">
        <f t="shared" si="8"/>
        <v>0</v>
      </c>
      <c r="M53" s="2"/>
      <c r="N53" s="19">
        <f t="shared" si="9"/>
        <v>0</v>
      </c>
      <c r="O53" s="11"/>
      <c r="P53" s="2">
        <v>0</v>
      </c>
      <c r="Q53" s="2"/>
      <c r="R53" s="19">
        <f t="shared" si="10"/>
        <v>0</v>
      </c>
      <c r="S53" s="2"/>
      <c r="T53" s="2"/>
      <c r="U53" s="2"/>
      <c r="V53" s="19">
        <f t="shared" si="11"/>
        <v>0</v>
      </c>
      <c r="W53" s="2"/>
      <c r="X53" s="2">
        <f t="shared" si="12"/>
        <v>0</v>
      </c>
      <c r="Y53" s="2"/>
      <c r="Z53" s="19">
        <f t="shared" si="13"/>
        <v>0</v>
      </c>
    </row>
    <row r="54" spans="1:26" s="24" customFormat="1" hidden="1" outlineLevel="1" x14ac:dyDescent="0.3">
      <c r="A54" s="44"/>
      <c r="B54" s="11" t="str">
        <f>CONCATENATE("          ", "5528", " - ", "FREIGHT-IN-ART/TECH")</f>
        <v xml:space="preserve">          5528 - FREIGHT-IN-ART/TECH</v>
      </c>
      <c r="C54" s="11"/>
      <c r="D54" s="2"/>
      <c r="E54" s="2"/>
      <c r="F54" s="19">
        <f t="shared" si="6"/>
        <v>0</v>
      </c>
      <c r="G54" s="2"/>
      <c r="H54" s="2"/>
      <c r="I54" s="2"/>
      <c r="J54" s="19">
        <f t="shared" si="7"/>
        <v>0</v>
      </c>
      <c r="K54" s="2"/>
      <c r="L54" s="2">
        <f t="shared" si="8"/>
        <v>0</v>
      </c>
      <c r="M54" s="2"/>
      <c r="N54" s="19">
        <f t="shared" si="9"/>
        <v>0</v>
      </c>
      <c r="O54" s="11"/>
      <c r="P54" s="2">
        <v>0</v>
      </c>
      <c r="Q54" s="2"/>
      <c r="R54" s="19">
        <f t="shared" si="10"/>
        <v>0</v>
      </c>
      <c r="S54" s="2"/>
      <c r="T54" s="2"/>
      <c r="U54" s="2"/>
      <c r="V54" s="19">
        <f t="shared" si="11"/>
        <v>0</v>
      </c>
      <c r="W54" s="2"/>
      <c r="X54" s="2">
        <f t="shared" si="12"/>
        <v>0</v>
      </c>
      <c r="Y54" s="2"/>
      <c r="Z54" s="19">
        <f t="shared" si="13"/>
        <v>0</v>
      </c>
    </row>
    <row r="55" spans="1:26" s="24" customFormat="1" hidden="1" outlineLevel="1" x14ac:dyDescent="0.3">
      <c r="A55" s="44"/>
      <c r="B55" s="11" t="str">
        <f>CONCATENATE("          ", "5540", " - ", "FREIGHT-IN-LOGO CLOTHING")</f>
        <v xml:space="preserve">          5540 - FREIGHT-IN-LOGO CLOTHING</v>
      </c>
      <c r="C55" s="11"/>
      <c r="D55" s="2"/>
      <c r="E55" s="2"/>
      <c r="F55" s="19">
        <f t="shared" si="6"/>
        <v>0</v>
      </c>
      <c r="G55" s="2"/>
      <c r="H55" s="2"/>
      <c r="I55" s="2"/>
      <c r="J55" s="19">
        <f t="shared" si="7"/>
        <v>0</v>
      </c>
      <c r="K55" s="2"/>
      <c r="L55" s="2">
        <f t="shared" si="8"/>
        <v>0</v>
      </c>
      <c r="M55" s="2"/>
      <c r="N55" s="19">
        <f t="shared" si="9"/>
        <v>0</v>
      </c>
      <c r="O55" s="11"/>
      <c r="P55" s="2">
        <v>0</v>
      </c>
      <c r="Q55" s="2"/>
      <c r="R55" s="19">
        <f t="shared" si="10"/>
        <v>0</v>
      </c>
      <c r="S55" s="2"/>
      <c r="T55" s="2"/>
      <c r="U55" s="2"/>
      <c r="V55" s="19">
        <f t="shared" si="11"/>
        <v>0</v>
      </c>
      <c r="W55" s="2"/>
      <c r="X55" s="2">
        <f t="shared" si="12"/>
        <v>0</v>
      </c>
      <c r="Y55" s="2"/>
      <c r="Z55" s="19">
        <f t="shared" si="13"/>
        <v>0</v>
      </c>
    </row>
    <row r="56" spans="1:26" s="24" customFormat="1" hidden="1" outlineLevel="1" x14ac:dyDescent="0.3">
      <c r="A56" s="44"/>
      <c r="B56" s="11" t="str">
        <f>CONCATENATE("          ", "5541", " - ", "FREIGHT-IN-LOGO GIFTS")</f>
        <v xml:space="preserve">          5541 - FREIGHT-IN-LOGO GIFTS</v>
      </c>
      <c r="C56" s="11"/>
      <c r="D56" s="2"/>
      <c r="E56" s="2"/>
      <c r="F56" s="19">
        <f t="shared" si="6"/>
        <v>0</v>
      </c>
      <c r="G56" s="2"/>
      <c r="H56" s="2"/>
      <c r="I56" s="2"/>
      <c r="J56" s="19">
        <f t="shared" si="7"/>
        <v>0</v>
      </c>
      <c r="K56" s="2"/>
      <c r="L56" s="2">
        <f t="shared" si="8"/>
        <v>0</v>
      </c>
      <c r="M56" s="2"/>
      <c r="N56" s="19">
        <f t="shared" si="9"/>
        <v>0</v>
      </c>
      <c r="O56" s="11"/>
      <c r="P56" s="2">
        <v>0</v>
      </c>
      <c r="Q56" s="2"/>
      <c r="R56" s="19">
        <f t="shared" si="10"/>
        <v>0</v>
      </c>
      <c r="S56" s="2"/>
      <c r="T56" s="2"/>
      <c r="U56" s="2"/>
      <c r="V56" s="19">
        <f t="shared" si="11"/>
        <v>0</v>
      </c>
      <c r="W56" s="2"/>
      <c r="X56" s="2">
        <f t="shared" si="12"/>
        <v>0</v>
      </c>
      <c r="Y56" s="2"/>
      <c r="Z56" s="19">
        <f t="shared" si="13"/>
        <v>0</v>
      </c>
    </row>
    <row r="57" spans="1:26" s="24" customFormat="1" hidden="1" outlineLevel="1" x14ac:dyDescent="0.3">
      <c r="A57" s="44"/>
      <c r="B57" s="11" t="str">
        <f>CONCATENATE("          ", "5542", " - ", "FREIGHT-IN-EVERYDAY GIFTS")</f>
        <v xml:space="preserve">          5542 - FREIGHT-IN-EVERYDAY GIFTS</v>
      </c>
      <c r="C57" s="11"/>
      <c r="D57" s="2"/>
      <c r="E57" s="2"/>
      <c r="F57" s="19">
        <f t="shared" si="6"/>
        <v>0</v>
      </c>
      <c r="G57" s="2"/>
      <c r="H57" s="2"/>
      <c r="I57" s="2"/>
      <c r="J57" s="19">
        <f t="shared" si="7"/>
        <v>0</v>
      </c>
      <c r="K57" s="2"/>
      <c r="L57" s="2">
        <f t="shared" si="8"/>
        <v>0</v>
      </c>
      <c r="M57" s="2"/>
      <c r="N57" s="19">
        <f t="shared" si="9"/>
        <v>0</v>
      </c>
      <c r="O57" s="11"/>
      <c r="P57" s="2">
        <v>0</v>
      </c>
      <c r="Q57" s="2"/>
      <c r="R57" s="19">
        <f t="shared" si="10"/>
        <v>0</v>
      </c>
      <c r="S57" s="2"/>
      <c r="T57" s="2"/>
      <c r="U57" s="2"/>
      <c r="V57" s="19">
        <f t="shared" si="11"/>
        <v>0</v>
      </c>
      <c r="W57" s="2"/>
      <c r="X57" s="2">
        <f t="shared" si="12"/>
        <v>0</v>
      </c>
      <c r="Y57" s="2"/>
      <c r="Z57" s="19">
        <f t="shared" si="13"/>
        <v>0</v>
      </c>
    </row>
    <row r="58" spans="1:26" s="24" customFormat="1" hidden="1" outlineLevel="1" x14ac:dyDescent="0.3">
      <c r="A58" s="44"/>
      <c r="B58" s="11" t="str">
        <f>CONCATENATE("          ", "5544", " - ", "FREIGHT-IN-ACCESSORIES")</f>
        <v xml:space="preserve">          5544 - FREIGHT-IN-ACCESSORIES</v>
      </c>
      <c r="C58" s="11"/>
      <c r="D58" s="2"/>
      <c r="E58" s="2"/>
      <c r="F58" s="19">
        <f t="shared" si="6"/>
        <v>0</v>
      </c>
      <c r="G58" s="2"/>
      <c r="H58" s="2"/>
      <c r="I58" s="2"/>
      <c r="J58" s="19">
        <f t="shared" si="7"/>
        <v>0</v>
      </c>
      <c r="K58" s="2"/>
      <c r="L58" s="2">
        <f t="shared" si="8"/>
        <v>0</v>
      </c>
      <c r="M58" s="2"/>
      <c r="N58" s="19">
        <f t="shared" si="9"/>
        <v>0</v>
      </c>
      <c r="O58" s="11"/>
      <c r="P58" s="2">
        <v>0</v>
      </c>
      <c r="Q58" s="2"/>
      <c r="R58" s="19">
        <f t="shared" si="10"/>
        <v>0</v>
      </c>
      <c r="S58" s="2"/>
      <c r="T58" s="2"/>
      <c r="U58" s="2"/>
      <c r="V58" s="19">
        <f t="shared" si="11"/>
        <v>0</v>
      </c>
      <c r="W58" s="2"/>
      <c r="X58" s="2">
        <f t="shared" si="12"/>
        <v>0</v>
      </c>
      <c r="Y58" s="2"/>
      <c r="Z58" s="19">
        <f t="shared" si="13"/>
        <v>0</v>
      </c>
    </row>
    <row r="59" spans="1:26" s="24" customFormat="1" hidden="1" outlineLevel="1" x14ac:dyDescent="0.3">
      <c r="A59" s="44"/>
      <c r="B59" s="11" t="str">
        <f>CONCATENATE("          ", "5545", " - ", "FREIGHT-IN-SPECIAL ORDERS")</f>
        <v xml:space="preserve">          5545 - FREIGHT-IN-SPECIAL ORDERS</v>
      </c>
      <c r="C59" s="11"/>
      <c r="D59" s="2"/>
      <c r="E59" s="2"/>
      <c r="F59" s="19">
        <f t="shared" si="6"/>
        <v>0</v>
      </c>
      <c r="G59" s="2"/>
      <c r="H59" s="2"/>
      <c r="I59" s="2"/>
      <c r="J59" s="19">
        <f t="shared" si="7"/>
        <v>0</v>
      </c>
      <c r="K59" s="2"/>
      <c r="L59" s="2">
        <f t="shared" si="8"/>
        <v>0</v>
      </c>
      <c r="M59" s="2"/>
      <c r="N59" s="19">
        <f t="shared" si="9"/>
        <v>0</v>
      </c>
      <c r="O59" s="11"/>
      <c r="P59" s="2">
        <v>0</v>
      </c>
      <c r="Q59" s="2"/>
      <c r="R59" s="19">
        <f t="shared" si="10"/>
        <v>0</v>
      </c>
      <c r="S59" s="2"/>
      <c r="T59" s="2"/>
      <c r="U59" s="2"/>
      <c r="V59" s="19">
        <f t="shared" si="11"/>
        <v>0</v>
      </c>
      <c r="W59" s="2"/>
      <c r="X59" s="2">
        <f t="shared" si="12"/>
        <v>0</v>
      </c>
      <c r="Y59" s="2"/>
      <c r="Z59" s="19">
        <f t="shared" si="13"/>
        <v>0</v>
      </c>
    </row>
    <row r="60" spans="1:26" s="24" customFormat="1" hidden="1" outlineLevel="1" x14ac:dyDescent="0.3">
      <c r="A60" s="44"/>
      <c r="B60" s="11" t="str">
        <f>CONCATENATE("          ", "5583", " - ", "FREIGHT-IN-COMPUTER EQUIPMENT")</f>
        <v xml:space="preserve">          5583 - FREIGHT-IN-COMPUTER EQUIPMENT</v>
      </c>
      <c r="C60" s="11"/>
      <c r="D60" s="2"/>
      <c r="E60" s="2"/>
      <c r="F60" s="19">
        <f t="shared" si="6"/>
        <v>0</v>
      </c>
      <c r="G60" s="2"/>
      <c r="H60" s="2"/>
      <c r="I60" s="2"/>
      <c r="J60" s="19">
        <f t="shared" si="7"/>
        <v>0</v>
      </c>
      <c r="K60" s="2"/>
      <c r="L60" s="2">
        <f t="shared" si="8"/>
        <v>0</v>
      </c>
      <c r="M60" s="2"/>
      <c r="N60" s="19">
        <f t="shared" si="9"/>
        <v>0</v>
      </c>
      <c r="O60" s="11"/>
      <c r="P60" s="2">
        <v>0</v>
      </c>
      <c r="Q60" s="2"/>
      <c r="R60" s="19">
        <f t="shared" si="10"/>
        <v>0</v>
      </c>
      <c r="S60" s="2"/>
      <c r="T60" s="2"/>
      <c r="U60" s="2"/>
      <c r="V60" s="19">
        <f t="shared" si="11"/>
        <v>0</v>
      </c>
      <c r="W60" s="2"/>
      <c r="X60" s="2">
        <f t="shared" si="12"/>
        <v>0</v>
      </c>
      <c r="Y60" s="2"/>
      <c r="Z60" s="19">
        <f t="shared" si="13"/>
        <v>0</v>
      </c>
    </row>
    <row r="61" spans="1:26" x14ac:dyDescent="0.3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3">
      <c r="A62" s="10"/>
      <c r="B62" s="26" t="s">
        <v>108</v>
      </c>
      <c r="C62" s="26"/>
      <c r="D62" s="21">
        <f>D12-D25</f>
        <v>888462.24000000022</v>
      </c>
      <c r="E62" s="13"/>
      <c r="F62" s="22">
        <f>IF(D$12=0,0,D62/D$12)</f>
        <v>0.56049818059983592</v>
      </c>
      <c r="G62" s="13"/>
      <c r="H62" s="21">
        <f>H12-H25</f>
        <v>1173392</v>
      </c>
      <c r="I62" s="13"/>
      <c r="J62" s="22">
        <f>IF(H$12=0,0,H62/H$12)</f>
        <v>0.4118550768486659</v>
      </c>
      <c r="K62" s="15"/>
      <c r="L62" s="21">
        <f>+D62-H62</f>
        <v>-284929.75999999978</v>
      </c>
      <c r="M62" s="15"/>
      <c r="N62" s="22">
        <f>IF(H62=0,0,L62/H62)</f>
        <v>-0.24282572235024594</v>
      </c>
      <c r="O62" s="25"/>
      <c r="P62" s="21">
        <f>P12-P25</f>
        <v>7445396.6000000024</v>
      </c>
      <c r="Q62" s="13"/>
      <c r="R62" s="22">
        <f>IF(P$12=0,0,P62/P$12)</f>
        <v>0.57445842396960833</v>
      </c>
      <c r="S62" s="13"/>
      <c r="T62" s="21">
        <f>T12-T25</f>
        <v>7156590</v>
      </c>
      <c r="U62" s="13"/>
      <c r="V62" s="22">
        <f>IF(T$12=0,0,T62/T$12)</f>
        <v>0.49268852267381691</v>
      </c>
      <c r="W62" s="15"/>
      <c r="X62" s="21">
        <f>+P62-T62</f>
        <v>288806.60000000242</v>
      </c>
      <c r="Y62" s="15"/>
      <c r="Z62" s="22">
        <f>IF(T62=0,0,X62/T62)</f>
        <v>4.0355336829412114E-2</v>
      </c>
    </row>
    <row r="63" spans="1:26" x14ac:dyDescent="0.3">
      <c r="A63" s="9"/>
      <c r="B63" s="10"/>
      <c r="C63" s="9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6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3" customFormat="1" x14ac:dyDescent="0.3">
      <c r="A64" s="10"/>
      <c r="B64" s="25" t="s">
        <v>295</v>
      </c>
      <c r="C64" s="10"/>
      <c r="D64" s="20">
        <f>SUM(OSRRefD22x_0)</f>
        <v>950308.69000000029</v>
      </c>
      <c r="E64" s="20"/>
      <c r="F64" s="33">
        <f t="shared" ref="F64:F75" si="14">IF(D$12=0,0,D64/D$12)</f>
        <v>0.59951483335207745</v>
      </c>
      <c r="G64" s="20"/>
      <c r="H64" s="20">
        <f>SUM(OSRRefH22x_0)</f>
        <v>1240836.7287411988</v>
      </c>
      <c r="I64" s="20"/>
      <c r="J64" s="33">
        <f t="shared" ref="J64:J75" si="15">IF(H$12=0,0,H64/H$12)</f>
        <v>0.4355278596345924</v>
      </c>
      <c r="K64" s="4"/>
      <c r="L64" s="20">
        <f t="shared" ref="L64:L75" si="16">+D64-H64</f>
        <v>-290528.03874119848</v>
      </c>
      <c r="M64" s="4"/>
      <c r="N64" s="33">
        <f t="shared" ref="N64:N75" si="17">IF(H64=0,0,L64/H64)</f>
        <v>-0.23413881295723146</v>
      </c>
      <c r="O64" s="10"/>
      <c r="P64" s="20">
        <f>SUM(OSRRefP22x_0)</f>
        <v>7052709.3100000005</v>
      </c>
      <c r="Q64" s="20"/>
      <c r="R64" s="33">
        <f t="shared" ref="R64:R75" si="18">IF(P$12=0,0,P64/P$12)</f>
        <v>0.54416016937746237</v>
      </c>
      <c r="S64" s="20"/>
      <c r="T64" s="20">
        <f>SUM(OSRRefT22x_0)</f>
        <v>7922995.9060221538</v>
      </c>
      <c r="U64" s="20"/>
      <c r="V64" s="33">
        <f t="shared" ref="V64:V75" si="19">IF(T$12=0,0,T64/T$12)</f>
        <v>0.5454509966462735</v>
      </c>
      <c r="W64" s="4"/>
      <c r="X64" s="20">
        <f t="shared" ref="X64:X75" si="20">+P64-T64</f>
        <v>-870286.59602215327</v>
      </c>
      <c r="Y64" s="4"/>
      <c r="Z64" s="33">
        <f t="shared" ref="Z64:Z75" si="21">IF(T64=0,0,X64/T64)</f>
        <v>-0.10984312075191925</v>
      </c>
    </row>
    <row r="65" spans="1:26" s="28" customFormat="1" outlineLevel="1" collapsed="1" x14ac:dyDescent="0.3">
      <c r="A65" s="29"/>
      <c r="B65" s="14" t="str">
        <f>CONCATENATE("     ","*Benefits                                         ")</f>
        <v xml:space="preserve">     *Benefits                                         </v>
      </c>
      <c r="C65" s="14"/>
      <c r="D65" s="1">
        <f>SUM(OSRRefD22_0x_0)</f>
        <v>199868.81000000003</v>
      </c>
      <c r="E65" s="1"/>
      <c r="F65" s="5">
        <f t="shared" si="14"/>
        <v>0.12608988803356941</v>
      </c>
      <c r="G65" s="1"/>
      <c r="H65" s="1">
        <f>SUM(OSRRefH22_0x_0)</f>
        <v>223479.91882540099</v>
      </c>
      <c r="I65" s="1"/>
      <c r="J65" s="5">
        <f t="shared" si="15"/>
        <v>7.844040111230445E-2</v>
      </c>
      <c r="K65" s="1"/>
      <c r="L65" s="1">
        <f t="shared" si="16"/>
        <v>-23611.108825400966</v>
      </c>
      <c r="M65" s="1"/>
      <c r="N65" s="5">
        <f t="shared" si="17"/>
        <v>-0.1056520377736834</v>
      </c>
      <c r="O65" s="14"/>
      <c r="P65" s="1">
        <f>SUM(OSRRefP22_0x_0)</f>
        <v>1227502.7</v>
      </c>
      <c r="Q65" s="1"/>
      <c r="R65" s="5">
        <f t="shared" si="18"/>
        <v>9.4709429778453799E-2</v>
      </c>
      <c r="S65" s="1"/>
      <c r="T65" s="1">
        <f>SUM(OSRRefT22_0x_0)</f>
        <v>1417725.9391637442</v>
      </c>
      <c r="U65" s="1"/>
      <c r="V65" s="5">
        <f t="shared" si="19"/>
        <v>9.7601972241379592E-2</v>
      </c>
      <c r="W65" s="1"/>
      <c r="X65" s="1">
        <f t="shared" si="20"/>
        <v>-190223.23916374426</v>
      </c>
      <c r="Y65" s="1"/>
      <c r="Z65" s="5">
        <f t="shared" si="21"/>
        <v>-0.13417490215065742</v>
      </c>
    </row>
    <row r="66" spans="1:26" s="24" customFormat="1" hidden="1" outlineLevel="2" x14ac:dyDescent="0.3">
      <c r="A66" s="27"/>
      <c r="B66" s="11" t="str">
        <f>CONCATENATE("          ", "6111", " - ", "F.I.C.A.")</f>
        <v xml:space="preserve">          6111 - F.I.C.A.</v>
      </c>
      <c r="C66" s="11"/>
      <c r="D66" s="7">
        <v>21845.47</v>
      </c>
      <c r="E66" s="2"/>
      <c r="F66" s="6">
        <f t="shared" si="14"/>
        <v>1.3781504309455283E-2</v>
      </c>
      <c r="G66" s="2"/>
      <c r="H66" s="7">
        <v>33100.191330917303</v>
      </c>
      <c r="I66" s="2"/>
      <c r="J66" s="6">
        <f t="shared" si="15"/>
        <v>1.1618011580358901E-2</v>
      </c>
      <c r="K66" s="2"/>
      <c r="L66" s="7">
        <f t="shared" si="16"/>
        <v>-11254.721330917302</v>
      </c>
      <c r="M66" s="2"/>
      <c r="N66" s="6">
        <f t="shared" si="17"/>
        <v>-0.34001982702754974</v>
      </c>
      <c r="O66" s="11"/>
      <c r="P66" s="7">
        <v>188194.4</v>
      </c>
      <c r="Q66" s="2"/>
      <c r="R66" s="6">
        <f t="shared" si="18"/>
        <v>1.4520362612235594E-2</v>
      </c>
      <c r="S66" s="2"/>
      <c r="T66" s="7">
        <v>205200.012960792</v>
      </c>
      <c r="U66" s="2"/>
      <c r="V66" s="6">
        <f t="shared" si="19"/>
        <v>1.412679659423003E-2</v>
      </c>
      <c r="W66" s="2"/>
      <c r="X66" s="7">
        <f t="shared" si="20"/>
        <v>-17005.612960792001</v>
      </c>
      <c r="Y66" s="2"/>
      <c r="Z66" s="6">
        <f t="shared" si="21"/>
        <v>-8.287335227430663E-2</v>
      </c>
    </row>
    <row r="67" spans="1:26" s="24" customFormat="1" hidden="1" outlineLevel="2" x14ac:dyDescent="0.3">
      <c r="A67" s="27"/>
      <c r="B67" s="11" t="str">
        <f>CONCATENATE("          ", "6112", " - ", "COMPENSATION INSURANCE")</f>
        <v xml:space="preserve">          6112 - COMPENSATION INSURANCE</v>
      </c>
      <c r="C67" s="11"/>
      <c r="D67" s="7">
        <v>8823.32</v>
      </c>
      <c r="E67" s="2"/>
      <c r="F67" s="6">
        <f t="shared" si="14"/>
        <v>5.5663083743999545E-3</v>
      </c>
      <c r="G67" s="2"/>
      <c r="H67" s="7">
        <v>19158.200620622301</v>
      </c>
      <c r="I67" s="2"/>
      <c r="J67" s="6">
        <f t="shared" si="15"/>
        <v>6.7244383708842037E-3</v>
      </c>
      <c r="K67" s="2"/>
      <c r="L67" s="7">
        <f t="shared" si="16"/>
        <v>-10334.880620622302</v>
      </c>
      <c r="M67" s="2"/>
      <c r="N67" s="6">
        <f t="shared" si="17"/>
        <v>-0.53944944127464733</v>
      </c>
      <c r="O67" s="11"/>
      <c r="P67" s="7">
        <v>82997.149999999994</v>
      </c>
      <c r="Q67" s="2"/>
      <c r="R67" s="6">
        <f t="shared" si="18"/>
        <v>6.4037437552982943E-3</v>
      </c>
      <c r="S67" s="2"/>
      <c r="T67" s="7">
        <v>117023.295787162</v>
      </c>
      <c r="U67" s="2"/>
      <c r="V67" s="6">
        <f t="shared" si="19"/>
        <v>8.0563557112812035E-3</v>
      </c>
      <c r="W67" s="2"/>
      <c r="X67" s="7">
        <f t="shared" si="20"/>
        <v>-34026.145787162008</v>
      </c>
      <c r="Y67" s="2"/>
      <c r="Z67" s="6">
        <f t="shared" si="21"/>
        <v>-0.29076386507732277</v>
      </c>
    </row>
    <row r="68" spans="1:26" s="24" customFormat="1" hidden="1" outlineLevel="2" x14ac:dyDescent="0.3">
      <c r="A68" s="27"/>
      <c r="B68" s="11" t="str">
        <f>CONCATENATE("          ", "6113", " - ", "GROUP INSURANCE")</f>
        <v xml:space="preserve">          6113 - GROUP INSURANCE</v>
      </c>
      <c r="C68" s="11"/>
      <c r="D68" s="7">
        <v>74406.19</v>
      </c>
      <c r="E68" s="2"/>
      <c r="F68" s="6">
        <f t="shared" si="14"/>
        <v>4.6940131209589384E-2</v>
      </c>
      <c r="G68" s="2"/>
      <c r="H68" s="7">
        <v>108818.476923077</v>
      </c>
      <c r="I68" s="2"/>
      <c r="J68" s="6">
        <f t="shared" si="15"/>
        <v>3.8194773933782282E-2</v>
      </c>
      <c r="K68" s="2"/>
      <c r="L68" s="7">
        <f t="shared" si="16"/>
        <v>-34412.286923077001</v>
      </c>
      <c r="M68" s="2"/>
      <c r="N68" s="6">
        <f t="shared" si="17"/>
        <v>-0.31623569724655121</v>
      </c>
      <c r="O68" s="11"/>
      <c r="P68" s="7">
        <v>525267.98</v>
      </c>
      <c r="Q68" s="2"/>
      <c r="R68" s="6">
        <f t="shared" si="18"/>
        <v>4.0527675309129887E-2</v>
      </c>
      <c r="S68" s="2"/>
      <c r="T68" s="7">
        <v>708062.14230769197</v>
      </c>
      <c r="U68" s="2"/>
      <c r="V68" s="6">
        <f t="shared" si="19"/>
        <v>4.8745853940890101E-2</v>
      </c>
      <c r="W68" s="2"/>
      <c r="X68" s="7">
        <f t="shared" si="20"/>
        <v>-182794.16230769199</v>
      </c>
      <c r="Y68" s="2"/>
      <c r="Z68" s="6">
        <f t="shared" si="21"/>
        <v>-0.25816118584159226</v>
      </c>
    </row>
    <row r="69" spans="1:26" s="24" customFormat="1" hidden="1" outlineLevel="2" x14ac:dyDescent="0.3">
      <c r="A69" s="27"/>
      <c r="B69" s="11" t="str">
        <f>CONCATENATE("          ", "6114", " - ", "STATE UNEMPLOYMENT INSURANCE")</f>
        <v xml:space="preserve">          6114 - STATE UNEMPLOYMENT INSURANCE</v>
      </c>
      <c r="C69" s="11"/>
      <c r="D69" s="7">
        <v>948.38</v>
      </c>
      <c r="E69" s="2"/>
      <c r="F69" s="6">
        <f t="shared" si="14"/>
        <v>5.982980937009458E-4</v>
      </c>
      <c r="G69" s="2"/>
      <c r="H69" s="7">
        <v>1440.1324808325001</v>
      </c>
      <c r="I69" s="2"/>
      <c r="J69" s="6">
        <f t="shared" si="15"/>
        <v>5.054797318931177E-4</v>
      </c>
      <c r="K69" s="2"/>
      <c r="L69" s="7">
        <f t="shared" si="16"/>
        <v>-491.75248083250005</v>
      </c>
      <c r="M69" s="2"/>
      <c r="N69" s="6">
        <f t="shared" si="17"/>
        <v>-0.3414633635290496</v>
      </c>
      <c r="O69" s="11"/>
      <c r="P69" s="7">
        <v>8368.39</v>
      </c>
      <c r="Q69" s="2"/>
      <c r="R69" s="6">
        <f t="shared" si="18"/>
        <v>6.4567307677915078E-4</v>
      </c>
      <c r="S69" s="2"/>
      <c r="T69" s="7">
        <v>8426.4045910113491</v>
      </c>
      <c r="U69" s="2"/>
      <c r="V69" s="6">
        <f t="shared" si="19"/>
        <v>5.801076810879553E-4</v>
      </c>
      <c r="W69" s="2"/>
      <c r="X69" s="7">
        <f t="shared" si="20"/>
        <v>-58.014591011349694</v>
      </c>
      <c r="Y69" s="2"/>
      <c r="Z69" s="6">
        <f t="shared" si="21"/>
        <v>-6.8848570448700351E-3</v>
      </c>
    </row>
    <row r="70" spans="1:26" s="24" customFormat="1" hidden="1" outlineLevel="2" x14ac:dyDescent="0.3">
      <c r="A70" s="27"/>
      <c r="B70" s="11" t="str">
        <f>CONCATENATE("          ", "6115", " - ", "P.E.R.S.")</f>
        <v xml:space="preserve">          6115 - P.E.R.S.</v>
      </c>
      <c r="C70" s="11"/>
      <c r="D70" s="7">
        <v>14271.85</v>
      </c>
      <c r="E70" s="2"/>
      <c r="F70" s="6">
        <f t="shared" si="14"/>
        <v>9.0035857447287419E-3</v>
      </c>
      <c r="G70" s="2"/>
      <c r="H70" s="7">
        <v>15061.18916975</v>
      </c>
      <c r="I70" s="2"/>
      <c r="J70" s="6">
        <f t="shared" si="15"/>
        <v>5.2864066083113583E-3</v>
      </c>
      <c r="K70" s="2"/>
      <c r="L70" s="7">
        <f t="shared" si="16"/>
        <v>-789.3391697499992</v>
      </c>
      <c r="M70" s="2"/>
      <c r="N70" s="6">
        <f t="shared" si="17"/>
        <v>-5.2408821166350268E-2</v>
      </c>
      <c r="O70" s="11"/>
      <c r="P70" s="7">
        <v>107856.34</v>
      </c>
      <c r="Q70" s="2"/>
      <c r="R70" s="6">
        <f t="shared" si="18"/>
        <v>8.3217841063738893E-3</v>
      </c>
      <c r="S70" s="2"/>
      <c r="T70" s="7">
        <v>92105.953453988506</v>
      </c>
      <c r="U70" s="2"/>
      <c r="V70" s="6">
        <f t="shared" si="19"/>
        <v>6.34094535759474E-3</v>
      </c>
      <c r="W70" s="2"/>
      <c r="X70" s="7">
        <f t="shared" si="20"/>
        <v>15750.38654601149</v>
      </c>
      <c r="Y70" s="2"/>
      <c r="Z70" s="6">
        <f t="shared" si="21"/>
        <v>0.17100291517941443</v>
      </c>
    </row>
    <row r="71" spans="1:26" s="24" customFormat="1" hidden="1" outlineLevel="2" x14ac:dyDescent="0.3">
      <c r="A71" s="27"/>
      <c r="B71" s="11" t="str">
        <f>CONCATENATE("          ", "6116", " - ", "EDUCATIONAL BENEFITS")</f>
        <v xml:space="preserve">          6116 - EDUCATIONAL BENEFITS</v>
      </c>
      <c r="C71" s="11"/>
      <c r="D71" s="7"/>
      <c r="E71" s="2"/>
      <c r="F71" s="6">
        <f t="shared" si="14"/>
        <v>0</v>
      </c>
      <c r="G71" s="2"/>
      <c r="H71" s="7">
        <v>0</v>
      </c>
      <c r="I71" s="2"/>
      <c r="J71" s="6">
        <f t="shared" si="15"/>
        <v>0</v>
      </c>
      <c r="K71" s="2"/>
      <c r="L71" s="7">
        <f t="shared" si="16"/>
        <v>0</v>
      </c>
      <c r="M71" s="2"/>
      <c r="N71" s="6">
        <f t="shared" si="17"/>
        <v>0</v>
      </c>
      <c r="O71" s="11"/>
      <c r="P71" s="7"/>
      <c r="Q71" s="2"/>
      <c r="R71" s="6">
        <f t="shared" si="18"/>
        <v>0</v>
      </c>
      <c r="S71" s="2"/>
      <c r="T71" s="7">
        <v>0</v>
      </c>
      <c r="U71" s="2"/>
      <c r="V71" s="6">
        <f t="shared" si="19"/>
        <v>0</v>
      </c>
      <c r="W71" s="2"/>
      <c r="X71" s="7">
        <f t="shared" si="20"/>
        <v>0</v>
      </c>
      <c r="Y71" s="2"/>
      <c r="Z71" s="6">
        <f t="shared" si="21"/>
        <v>0</v>
      </c>
    </row>
    <row r="72" spans="1:26" s="24" customFormat="1" hidden="1" outlineLevel="2" x14ac:dyDescent="0.3">
      <c r="A72" s="27"/>
      <c r="B72" s="11" t="str">
        <f>CONCATENATE("          ", "6117", " - ", "RETIREMENT STAFF HOURLY")</f>
        <v xml:space="preserve">          6117 - RETIREMENT STAFF HOURLY</v>
      </c>
      <c r="C72" s="11"/>
      <c r="D72" s="7">
        <v>3401.49</v>
      </c>
      <c r="E72" s="2"/>
      <c r="F72" s="6">
        <f t="shared" si="14"/>
        <v>2.1458750529775301E-3</v>
      </c>
      <c r="G72" s="2"/>
      <c r="H72" s="7"/>
      <c r="I72" s="2"/>
      <c r="J72" s="6">
        <f t="shared" si="15"/>
        <v>0</v>
      </c>
      <c r="K72" s="2"/>
      <c r="L72" s="7">
        <f t="shared" si="16"/>
        <v>3401.49</v>
      </c>
      <c r="M72" s="2"/>
      <c r="N72" s="6">
        <f t="shared" si="17"/>
        <v>0</v>
      </c>
      <c r="O72" s="11"/>
      <c r="P72" s="7">
        <v>16837.939999999999</v>
      </c>
      <c r="Q72" s="2"/>
      <c r="R72" s="6">
        <f t="shared" si="18"/>
        <v>1.2991512735929772E-3</v>
      </c>
      <c r="S72" s="2"/>
      <c r="T72" s="7"/>
      <c r="U72" s="2"/>
      <c r="V72" s="6">
        <f t="shared" si="19"/>
        <v>0</v>
      </c>
      <c r="W72" s="2"/>
      <c r="X72" s="7">
        <f t="shared" si="20"/>
        <v>16837.939999999999</v>
      </c>
      <c r="Y72" s="2"/>
      <c r="Z72" s="6">
        <f t="shared" si="21"/>
        <v>0</v>
      </c>
    </row>
    <row r="73" spans="1:26" s="24" customFormat="1" hidden="1" outlineLevel="2" x14ac:dyDescent="0.3">
      <c r="A73" s="27"/>
      <c r="B73" s="11" t="str">
        <f>CONCATENATE("          ", "6118", " - ", "VACATION")</f>
        <v xml:space="preserve">          6118 - VACATION</v>
      </c>
      <c r="C73" s="11"/>
      <c r="D73" s="7">
        <v>30449.35</v>
      </c>
      <c r="E73" s="2"/>
      <c r="F73" s="6">
        <f t="shared" si="14"/>
        <v>1.920937605119561E-2</v>
      </c>
      <c r="G73" s="2"/>
      <c r="H73" s="7">
        <v>15554.5319237596</v>
      </c>
      <c r="I73" s="2"/>
      <c r="J73" s="6">
        <f t="shared" si="15"/>
        <v>5.4595675961699392E-3</v>
      </c>
      <c r="K73" s="2"/>
      <c r="L73" s="7">
        <f t="shared" si="16"/>
        <v>14894.818076240399</v>
      </c>
      <c r="M73" s="2"/>
      <c r="N73" s="6">
        <f t="shared" si="17"/>
        <v>0.9575870331069567</v>
      </c>
      <c r="O73" s="11"/>
      <c r="P73" s="7">
        <v>132882.51</v>
      </c>
      <c r="Q73" s="2"/>
      <c r="R73" s="6">
        <f t="shared" si="18"/>
        <v>1.0252707997815146E-2</v>
      </c>
      <c r="S73" s="2"/>
      <c r="T73" s="7">
        <v>97789.909049340393</v>
      </c>
      <c r="U73" s="2"/>
      <c r="V73" s="6">
        <f t="shared" si="19"/>
        <v>6.7322517877825101E-3</v>
      </c>
      <c r="W73" s="2"/>
      <c r="X73" s="7">
        <f t="shared" si="20"/>
        <v>35092.600950659617</v>
      </c>
      <c r="Y73" s="2"/>
      <c r="Z73" s="6">
        <f t="shared" si="21"/>
        <v>0.3588570772977554</v>
      </c>
    </row>
    <row r="74" spans="1:26" s="24" customFormat="1" hidden="1" outlineLevel="2" x14ac:dyDescent="0.3">
      <c r="A74" s="27"/>
      <c r="B74" s="11" t="str">
        <f>CONCATENATE("          ", "6119", " - ", "SICK LEAVE")</f>
        <v xml:space="preserve">          6119 - SICK LEAVE</v>
      </c>
      <c r="C74" s="11"/>
      <c r="D74" s="7">
        <v>38353.67</v>
      </c>
      <c r="E74" s="2"/>
      <c r="F74" s="6">
        <f t="shared" si="14"/>
        <v>2.4195921094324169E-2</v>
      </c>
      <c r="G74" s="2"/>
      <c r="H74" s="7">
        <v>21377.196376442302</v>
      </c>
      <c r="I74" s="2"/>
      <c r="J74" s="6">
        <f t="shared" si="15"/>
        <v>7.5032954515018568E-3</v>
      </c>
      <c r="K74" s="2"/>
      <c r="L74" s="7">
        <f t="shared" si="16"/>
        <v>16976.473623557697</v>
      </c>
      <c r="M74" s="2"/>
      <c r="N74" s="6">
        <f t="shared" si="17"/>
        <v>0.79413938687796271</v>
      </c>
      <c r="O74" s="11"/>
      <c r="P74" s="7">
        <v>111326.59</v>
      </c>
      <c r="Q74" s="2"/>
      <c r="R74" s="6">
        <f t="shared" si="18"/>
        <v>8.5895353697223766E-3</v>
      </c>
      <c r="S74" s="2"/>
      <c r="T74" s="7">
        <v>126125.221013758</v>
      </c>
      <c r="U74" s="2"/>
      <c r="V74" s="6">
        <f t="shared" si="19"/>
        <v>8.6829689577266646E-3</v>
      </c>
      <c r="W74" s="2"/>
      <c r="X74" s="7">
        <f t="shared" si="20"/>
        <v>-14798.631013758</v>
      </c>
      <c r="Y74" s="2"/>
      <c r="Z74" s="6">
        <f t="shared" si="21"/>
        <v>-0.11733284504725455</v>
      </c>
    </row>
    <row r="75" spans="1:26" s="24" customFormat="1" hidden="1" outlineLevel="2" x14ac:dyDescent="0.3">
      <c r="A75" s="27"/>
      <c r="B75" s="11" t="str">
        <f>CONCATENATE("          ", "6156", " - ", "EMPLOYEE MEALS")</f>
        <v xml:space="preserve">          6156 - EMPLOYEE MEALS</v>
      </c>
      <c r="C75" s="11"/>
      <c r="D75" s="7">
        <v>7369.09</v>
      </c>
      <c r="E75" s="2"/>
      <c r="F75" s="6">
        <f t="shared" si="14"/>
        <v>4.6488881031977718E-3</v>
      </c>
      <c r="G75" s="2"/>
      <c r="H75" s="7">
        <v>8970</v>
      </c>
      <c r="I75" s="2"/>
      <c r="J75" s="6">
        <f t="shared" si="15"/>
        <v>3.1484278394028026E-3</v>
      </c>
      <c r="K75" s="2"/>
      <c r="L75" s="7">
        <f t="shared" si="16"/>
        <v>-1600.9099999999999</v>
      </c>
      <c r="M75" s="2"/>
      <c r="N75" s="6">
        <f t="shared" si="17"/>
        <v>-0.17847380156075807</v>
      </c>
      <c r="O75" s="11"/>
      <c r="P75" s="7">
        <v>53771.4</v>
      </c>
      <c r="Q75" s="2"/>
      <c r="R75" s="6">
        <f t="shared" si="18"/>
        <v>4.1487962775064776E-3</v>
      </c>
      <c r="S75" s="2"/>
      <c r="T75" s="7">
        <v>62993</v>
      </c>
      <c r="U75" s="2"/>
      <c r="V75" s="6">
        <f t="shared" si="19"/>
        <v>4.3366922107863871E-3</v>
      </c>
      <c r="W75" s="2"/>
      <c r="X75" s="7">
        <f t="shared" si="20"/>
        <v>-9221.5999999999985</v>
      </c>
      <c r="Y75" s="2"/>
      <c r="Z75" s="6">
        <f t="shared" si="21"/>
        <v>-0.146390868826695</v>
      </c>
    </row>
    <row r="76" spans="1:26" s="28" customFormat="1" outlineLevel="1" collapsed="1" x14ac:dyDescent="0.3">
      <c r="A76" s="29"/>
      <c r="B76" s="14" t="str">
        <f>CONCATENATE("     ","*Payroll                                          ")</f>
        <v xml:space="preserve">     *Payroll                                          </v>
      </c>
      <c r="C76" s="14"/>
      <c r="D76" s="1">
        <f>SUM(OSRRefD22_1x_0)</f>
        <v>467724.28</v>
      </c>
      <c r="E76" s="1"/>
      <c r="F76" s="5">
        <f t="shared" ref="F76:F86" si="22">IF(D$12=0,0,D76/D$12)</f>
        <v>0.29507006168587213</v>
      </c>
      <c r="G76" s="1"/>
      <c r="H76" s="1">
        <f>SUM(OSRRefH22_1x_0)</f>
        <v>657236.3099157979</v>
      </c>
      <c r="I76" s="1"/>
      <c r="J76" s="5">
        <f t="shared" ref="J76:J86" si="23">IF(H$12=0,0,H76/H$12)</f>
        <v>0.23068685565276101</v>
      </c>
      <c r="K76" s="1"/>
      <c r="L76" s="1">
        <f t="shared" ref="L76:L86" si="24">+D76-H76</f>
        <v>-189512.02991579787</v>
      </c>
      <c r="M76" s="1"/>
      <c r="N76" s="5">
        <f t="shared" ref="N76:N86" si="25">IF(H76=0,0,L76/H76)</f>
        <v>-0.28834686558945183</v>
      </c>
      <c r="O76" s="14"/>
      <c r="P76" s="1">
        <f>SUM(OSRRefP22_1x_0)</f>
        <v>3322940.7300000009</v>
      </c>
      <c r="Q76" s="1"/>
      <c r="R76" s="5">
        <f t="shared" ref="R76:R86" si="26">IF(P$12=0,0,P76/P$12)</f>
        <v>0.25638544153581011</v>
      </c>
      <c r="S76" s="1"/>
      <c r="T76" s="1">
        <f>SUM(OSRRefT22_1x_0)</f>
        <v>3826429.7168584093</v>
      </c>
      <c r="U76" s="1"/>
      <c r="V76" s="5">
        <f t="shared" ref="V76:V86" si="27">IF(T$12=0,0,T76/T$12)</f>
        <v>0.2634268561303863</v>
      </c>
      <c r="W76" s="1"/>
      <c r="X76" s="1">
        <f t="shared" ref="X76:X86" si="28">+P76-T76</f>
        <v>-503488.98685840843</v>
      </c>
      <c r="Y76" s="1"/>
      <c r="Z76" s="5">
        <f t="shared" ref="Z76:Z86" si="29">IF(T76=0,0,X76/T76)</f>
        <v>-0.13158192469605451</v>
      </c>
    </row>
    <row r="77" spans="1:26" s="24" customFormat="1" hidden="1" outlineLevel="2" x14ac:dyDescent="0.3">
      <c r="A77" s="27"/>
      <c r="B77" s="11" t="str">
        <f>CONCATENATE("          ", "6001", " - ", "ADMINISTRATIVE SALARIES")</f>
        <v xml:space="preserve">          6001 - ADMINISTRATIVE SALARIES</v>
      </c>
      <c r="C77" s="11"/>
      <c r="D77" s="7">
        <v>34887.26</v>
      </c>
      <c r="E77" s="2"/>
      <c r="F77" s="6">
        <f t="shared" si="22"/>
        <v>2.200909039883724E-2</v>
      </c>
      <c r="G77" s="2"/>
      <c r="H77" s="7">
        <v>23184.9038461538</v>
      </c>
      <c r="I77" s="2"/>
      <c r="J77" s="6">
        <f t="shared" si="23"/>
        <v>8.1377922768236053E-3</v>
      </c>
      <c r="K77" s="2"/>
      <c r="L77" s="7">
        <f t="shared" si="24"/>
        <v>11702.356153846202</v>
      </c>
      <c r="M77" s="2"/>
      <c r="N77" s="6">
        <f t="shared" si="25"/>
        <v>0.50474033584519407</v>
      </c>
      <c r="O77" s="11"/>
      <c r="P77" s="7">
        <v>211172.79</v>
      </c>
      <c r="Q77" s="2"/>
      <c r="R77" s="6">
        <f t="shared" si="26"/>
        <v>1.6293287603868545E-2</v>
      </c>
      <c r="S77" s="2"/>
      <c r="T77" s="7">
        <v>143746.40384615399</v>
      </c>
      <c r="U77" s="2"/>
      <c r="V77" s="6">
        <f t="shared" si="27"/>
        <v>9.896082261333327E-3</v>
      </c>
      <c r="W77" s="2"/>
      <c r="X77" s="7">
        <f t="shared" si="28"/>
        <v>67426.386153846019</v>
      </c>
      <c r="Y77" s="2"/>
      <c r="Z77" s="6">
        <f t="shared" si="29"/>
        <v>0.46906485553551502</v>
      </c>
    </row>
    <row r="78" spans="1:26" s="24" customFormat="1" hidden="1" outlineLevel="2" x14ac:dyDescent="0.3">
      <c r="A78" s="27"/>
      <c r="B78" s="11" t="str">
        <f>CONCATENATE("          ", "6002", " - ", "STAFF SALARIES")</f>
        <v xml:space="preserve">          6002 - STAFF SALARIES</v>
      </c>
      <c r="C78" s="11"/>
      <c r="D78" s="7">
        <v>136476.37</v>
      </c>
      <c r="E78" s="2"/>
      <c r="F78" s="6">
        <f t="shared" si="22"/>
        <v>8.6097926997854179E-2</v>
      </c>
      <c r="G78" s="2"/>
      <c r="H78" s="7">
        <v>138394.722644644</v>
      </c>
      <c r="I78" s="2"/>
      <c r="J78" s="6">
        <f t="shared" si="23"/>
        <v>4.8575897168431061E-2</v>
      </c>
      <c r="K78" s="2"/>
      <c r="L78" s="7">
        <f t="shared" si="24"/>
        <v>-1918.3526446440083</v>
      </c>
      <c r="M78" s="2"/>
      <c r="N78" s="6">
        <f t="shared" si="25"/>
        <v>-1.3861458067080784E-2</v>
      </c>
      <c r="O78" s="11"/>
      <c r="P78" s="7">
        <v>860918.76</v>
      </c>
      <c r="Q78" s="2"/>
      <c r="R78" s="6">
        <f t="shared" si="26"/>
        <v>6.6425210180941774E-2</v>
      </c>
      <c r="S78" s="2"/>
      <c r="T78" s="7">
        <v>841866.95743525506</v>
      </c>
      <c r="U78" s="2"/>
      <c r="V78" s="6">
        <f t="shared" si="27"/>
        <v>5.7957517134092758E-2</v>
      </c>
      <c r="W78" s="2"/>
      <c r="X78" s="7">
        <f t="shared" si="28"/>
        <v>19051.802564744954</v>
      </c>
      <c r="Y78" s="2"/>
      <c r="Z78" s="6">
        <f t="shared" si="29"/>
        <v>2.2630419683872863E-2</v>
      </c>
    </row>
    <row r="79" spans="1:26" s="24" customFormat="1" hidden="1" outlineLevel="2" x14ac:dyDescent="0.3">
      <c r="A79" s="27"/>
      <c r="B79" s="11" t="str">
        <f>CONCATENATE("          ", "6003", " - ", "STAFF HOURLY-9 MONTH")</f>
        <v xml:space="preserve">          6003 - STAFF HOURLY-9 MONTH</v>
      </c>
      <c r="C79" s="11"/>
      <c r="D79" s="7"/>
      <c r="E79" s="2"/>
      <c r="F79" s="6">
        <f t="shared" si="22"/>
        <v>0</v>
      </c>
      <c r="G79" s="2"/>
      <c r="H79" s="7">
        <v>0</v>
      </c>
      <c r="I79" s="2"/>
      <c r="J79" s="6">
        <f t="shared" si="23"/>
        <v>0</v>
      </c>
      <c r="K79" s="2"/>
      <c r="L79" s="7">
        <f t="shared" si="24"/>
        <v>0</v>
      </c>
      <c r="M79" s="2"/>
      <c r="N79" s="6">
        <f t="shared" si="25"/>
        <v>0</v>
      </c>
      <c r="O79" s="11"/>
      <c r="P79" s="7"/>
      <c r="Q79" s="2"/>
      <c r="R79" s="6">
        <f t="shared" si="26"/>
        <v>0</v>
      </c>
      <c r="S79" s="2"/>
      <c r="T79" s="7">
        <v>0</v>
      </c>
      <c r="U79" s="2"/>
      <c r="V79" s="6">
        <f t="shared" si="27"/>
        <v>0</v>
      </c>
      <c r="W79" s="2"/>
      <c r="X79" s="7">
        <f t="shared" si="28"/>
        <v>0</v>
      </c>
      <c r="Y79" s="2"/>
      <c r="Z79" s="6">
        <f t="shared" si="29"/>
        <v>0</v>
      </c>
    </row>
    <row r="80" spans="1:26" s="24" customFormat="1" hidden="1" outlineLevel="2" x14ac:dyDescent="0.3">
      <c r="A80" s="27"/>
      <c r="B80" s="11" t="str">
        <f>CONCATENATE("          ", "6004", " - ", "STAFF HOURLY")</f>
        <v xml:space="preserve">          6004 - STAFF HOURLY</v>
      </c>
      <c r="C80" s="11"/>
      <c r="D80" s="7">
        <v>90435.46</v>
      </c>
      <c r="E80" s="2"/>
      <c r="F80" s="6">
        <f t="shared" si="22"/>
        <v>5.7052408655779478E-2</v>
      </c>
      <c r="G80" s="2"/>
      <c r="H80" s="7">
        <v>192161.61665000001</v>
      </c>
      <c r="I80" s="2"/>
      <c r="J80" s="6">
        <f t="shared" si="23"/>
        <v>6.7447824250335464E-2</v>
      </c>
      <c r="K80" s="2"/>
      <c r="L80" s="7">
        <f t="shared" si="24"/>
        <v>-101726.15665</v>
      </c>
      <c r="M80" s="2"/>
      <c r="N80" s="6">
        <f t="shared" si="25"/>
        <v>-0.52937812672174978</v>
      </c>
      <c r="O80" s="11"/>
      <c r="P80" s="7">
        <v>769644.19</v>
      </c>
      <c r="Q80" s="2"/>
      <c r="R80" s="6">
        <f t="shared" si="26"/>
        <v>5.9382812247337581E-2</v>
      </c>
      <c r="S80" s="2"/>
      <c r="T80" s="7">
        <v>1171381.558802</v>
      </c>
      <c r="U80" s="2"/>
      <c r="V80" s="6">
        <f t="shared" si="27"/>
        <v>8.0642631433896619E-2</v>
      </c>
      <c r="W80" s="2"/>
      <c r="X80" s="7">
        <f t="shared" si="28"/>
        <v>-401737.36880200007</v>
      </c>
      <c r="Y80" s="2"/>
      <c r="Z80" s="6">
        <f t="shared" si="29"/>
        <v>-0.34296029827622221</v>
      </c>
    </row>
    <row r="81" spans="1:26" s="24" customFormat="1" hidden="1" outlineLevel="2" x14ac:dyDescent="0.3">
      <c r="A81" s="27"/>
      <c r="B81" s="11" t="str">
        <f>CONCATENATE("          ", "6005", " - ", "TEMPORARY WAGES-HOURLY")</f>
        <v xml:space="preserve">          6005 - TEMPORARY WAGES-HOURLY</v>
      </c>
      <c r="C81" s="11"/>
      <c r="D81" s="7">
        <v>33564.910000000003</v>
      </c>
      <c r="E81" s="2"/>
      <c r="F81" s="6">
        <f t="shared" si="22"/>
        <v>2.1174868373693895E-2</v>
      </c>
      <c r="G81" s="2"/>
      <c r="H81" s="7">
        <v>29538.7333</v>
      </c>
      <c r="I81" s="2"/>
      <c r="J81" s="6">
        <f t="shared" si="23"/>
        <v>1.0367956550993826E-2</v>
      </c>
      <c r="K81" s="2"/>
      <c r="L81" s="7">
        <f t="shared" si="24"/>
        <v>4026.1767000000036</v>
      </c>
      <c r="M81" s="2"/>
      <c r="N81" s="6">
        <f t="shared" si="25"/>
        <v>0.13630160302100713</v>
      </c>
      <c r="O81" s="11"/>
      <c r="P81" s="7">
        <v>454954.25</v>
      </c>
      <c r="Q81" s="2"/>
      <c r="R81" s="6">
        <f t="shared" si="26"/>
        <v>3.5102535898930497E-2</v>
      </c>
      <c r="S81" s="2"/>
      <c r="T81" s="7">
        <v>224674.91829999999</v>
      </c>
      <c r="U81" s="2"/>
      <c r="V81" s="6">
        <f t="shared" si="27"/>
        <v>1.5467527632446109E-2</v>
      </c>
      <c r="W81" s="2"/>
      <c r="X81" s="7">
        <f t="shared" si="28"/>
        <v>230279.33170000001</v>
      </c>
      <c r="Y81" s="2"/>
      <c r="Z81" s="6">
        <f t="shared" si="29"/>
        <v>1.0249445440657361</v>
      </c>
    </row>
    <row r="82" spans="1:26" s="24" customFormat="1" hidden="1" outlineLevel="2" x14ac:dyDescent="0.3">
      <c r="A82" s="27"/>
      <c r="B82" s="11" t="str">
        <f>CONCATENATE("          ", "6006", " - ", "TEMPORARY PART TIME")</f>
        <v xml:space="preserve">          6006 - TEMPORARY PART TIME</v>
      </c>
      <c r="C82" s="11"/>
      <c r="D82" s="7">
        <v>2092.35</v>
      </c>
      <c r="E82" s="2"/>
      <c r="F82" s="6">
        <f t="shared" si="22"/>
        <v>1.3199867314316772E-3</v>
      </c>
      <c r="G82" s="2"/>
      <c r="H82" s="7">
        <v>0</v>
      </c>
      <c r="I82" s="2"/>
      <c r="J82" s="6">
        <f t="shared" si="23"/>
        <v>0</v>
      </c>
      <c r="K82" s="2"/>
      <c r="L82" s="7">
        <f t="shared" si="24"/>
        <v>2092.35</v>
      </c>
      <c r="M82" s="2"/>
      <c r="N82" s="6">
        <f t="shared" si="25"/>
        <v>0</v>
      </c>
      <c r="O82" s="11"/>
      <c r="P82" s="7">
        <v>11969.97</v>
      </c>
      <c r="Q82" s="2"/>
      <c r="R82" s="6">
        <f t="shared" si="26"/>
        <v>9.2355726237115289E-4</v>
      </c>
      <c r="S82" s="2"/>
      <c r="T82" s="7">
        <v>0</v>
      </c>
      <c r="U82" s="2"/>
      <c r="V82" s="6">
        <f t="shared" si="27"/>
        <v>0</v>
      </c>
      <c r="W82" s="2"/>
      <c r="X82" s="7">
        <f t="shared" si="28"/>
        <v>11969.97</v>
      </c>
      <c r="Y82" s="2"/>
      <c r="Z82" s="6">
        <f t="shared" si="29"/>
        <v>0</v>
      </c>
    </row>
    <row r="83" spans="1:26" s="24" customFormat="1" hidden="1" outlineLevel="2" x14ac:dyDescent="0.3">
      <c r="A83" s="27"/>
      <c r="B83" s="11" t="str">
        <f>CONCATENATE("          ", "6007", " - ", "STUDENT HOURLY")</f>
        <v xml:space="preserve">          6007 - STUDENT HOURLY</v>
      </c>
      <c r="C83" s="11"/>
      <c r="D83" s="7">
        <v>155867.66</v>
      </c>
      <c r="E83" s="2"/>
      <c r="F83" s="6">
        <f t="shared" si="22"/>
        <v>9.8331179324350121E-2</v>
      </c>
      <c r="G83" s="2"/>
      <c r="H83" s="7">
        <v>52414.3056</v>
      </c>
      <c r="I83" s="2"/>
      <c r="J83" s="6">
        <f t="shared" si="23"/>
        <v>1.8397174909030794E-2</v>
      </c>
      <c r="K83" s="2"/>
      <c r="L83" s="7">
        <f t="shared" si="24"/>
        <v>103453.35440000001</v>
      </c>
      <c r="M83" s="2"/>
      <c r="N83" s="6">
        <f t="shared" si="25"/>
        <v>1.9737618044490512</v>
      </c>
      <c r="O83" s="11"/>
      <c r="P83" s="7">
        <v>860878.3</v>
      </c>
      <c r="Q83" s="2"/>
      <c r="R83" s="6">
        <f t="shared" si="26"/>
        <v>6.642208844155266E-2</v>
      </c>
      <c r="S83" s="2"/>
      <c r="T83" s="7">
        <v>357718.04560000001</v>
      </c>
      <c r="U83" s="2"/>
      <c r="V83" s="6">
        <f t="shared" si="27"/>
        <v>2.4626753163228446E-2</v>
      </c>
      <c r="W83" s="2"/>
      <c r="X83" s="7">
        <f t="shared" si="28"/>
        <v>503160.25440000003</v>
      </c>
      <c r="Y83" s="2"/>
      <c r="Z83" s="6">
        <f t="shared" si="29"/>
        <v>1.406583370866991</v>
      </c>
    </row>
    <row r="84" spans="1:26" s="24" customFormat="1" hidden="1" outlineLevel="2" x14ac:dyDescent="0.3">
      <c r="A84" s="27"/>
      <c r="B84" s="11" t="str">
        <f>CONCATENATE("          ", "6008", " - ", "STUDENT HOURLY-FICA EXEMPT")</f>
        <v xml:space="preserve">          6008 - STUDENT HOURLY-FICA EXEMPT</v>
      </c>
      <c r="C84" s="11"/>
      <c r="D84" s="7">
        <v>14400.27</v>
      </c>
      <c r="E84" s="2"/>
      <c r="F84" s="6">
        <f t="shared" si="22"/>
        <v>9.0846012039255564E-3</v>
      </c>
      <c r="G84" s="2"/>
      <c r="H84" s="7">
        <v>221542.027875</v>
      </c>
      <c r="I84" s="2"/>
      <c r="J84" s="6">
        <f t="shared" si="23"/>
        <v>7.7760210497146237E-2</v>
      </c>
      <c r="K84" s="2"/>
      <c r="L84" s="7">
        <f t="shared" si="24"/>
        <v>-207141.75787500001</v>
      </c>
      <c r="M84" s="2"/>
      <c r="N84" s="6">
        <f t="shared" si="25"/>
        <v>-0.93499982762582179</v>
      </c>
      <c r="O84" s="11"/>
      <c r="P84" s="7">
        <v>153402.47</v>
      </c>
      <c r="Q84" s="2"/>
      <c r="R84" s="6">
        <f t="shared" si="26"/>
        <v>1.1835949900807849E-2</v>
      </c>
      <c r="S84" s="2"/>
      <c r="T84" s="7">
        <v>1087041.8328750001</v>
      </c>
      <c r="U84" s="2"/>
      <c r="V84" s="6">
        <f t="shared" si="27"/>
        <v>7.4836344505389008E-2</v>
      </c>
      <c r="W84" s="2"/>
      <c r="X84" s="7">
        <f t="shared" si="28"/>
        <v>-933639.36287500011</v>
      </c>
      <c r="Y84" s="2"/>
      <c r="Z84" s="6">
        <f t="shared" si="29"/>
        <v>-0.85888080351582952</v>
      </c>
    </row>
    <row r="85" spans="1:26" s="24" customFormat="1" hidden="1" outlineLevel="2" x14ac:dyDescent="0.3">
      <c r="A85" s="27"/>
      <c r="B85" s="11" t="str">
        <f>CONCATENATE("          ", "6009", " - ", "TEMPORARY-SEASONAL")</f>
        <v xml:space="preserve">          6009 - TEMPORARY-SEASONAL</v>
      </c>
      <c r="C85" s="11"/>
      <c r="D85" s="7"/>
      <c r="E85" s="2"/>
      <c r="F85" s="6">
        <f t="shared" si="22"/>
        <v>0</v>
      </c>
      <c r="G85" s="2"/>
      <c r="H85" s="7">
        <v>0</v>
      </c>
      <c r="I85" s="2"/>
      <c r="J85" s="6">
        <f t="shared" si="23"/>
        <v>0</v>
      </c>
      <c r="K85" s="2"/>
      <c r="L85" s="7">
        <f t="shared" si="24"/>
        <v>0</v>
      </c>
      <c r="M85" s="2"/>
      <c r="N85" s="6">
        <f t="shared" si="25"/>
        <v>0</v>
      </c>
      <c r="O85" s="11"/>
      <c r="P85" s="7"/>
      <c r="Q85" s="2"/>
      <c r="R85" s="6">
        <f t="shared" si="26"/>
        <v>0</v>
      </c>
      <c r="S85" s="2"/>
      <c r="T85" s="7">
        <v>0</v>
      </c>
      <c r="U85" s="2"/>
      <c r="V85" s="6">
        <f t="shared" si="27"/>
        <v>0</v>
      </c>
      <c r="W85" s="2"/>
      <c r="X85" s="7">
        <f t="shared" si="28"/>
        <v>0</v>
      </c>
      <c r="Y85" s="2"/>
      <c r="Z85" s="6">
        <f t="shared" si="29"/>
        <v>0</v>
      </c>
    </row>
    <row r="86" spans="1:26" s="24" customFormat="1" hidden="1" outlineLevel="2" x14ac:dyDescent="0.3">
      <c r="A86" s="27"/>
      <c r="B86" s="11" t="str">
        <f>CONCATENATE("          ", "6010", " - ", "GRATUITY")</f>
        <v xml:space="preserve">          6010 - GRATUITY</v>
      </c>
      <c r="C86" s="11"/>
      <c r="D86" s="7"/>
      <c r="E86" s="2"/>
      <c r="F86" s="6">
        <f t="shared" si="22"/>
        <v>0</v>
      </c>
      <c r="G86" s="2"/>
      <c r="H86" s="7">
        <v>0</v>
      </c>
      <c r="I86" s="2"/>
      <c r="J86" s="6">
        <f t="shared" si="23"/>
        <v>0</v>
      </c>
      <c r="K86" s="2"/>
      <c r="L86" s="7">
        <f t="shared" si="24"/>
        <v>0</v>
      </c>
      <c r="M86" s="2"/>
      <c r="N86" s="6">
        <f t="shared" si="25"/>
        <v>0</v>
      </c>
      <c r="O86" s="11"/>
      <c r="P86" s="7"/>
      <c r="Q86" s="2"/>
      <c r="R86" s="6">
        <f t="shared" si="26"/>
        <v>0</v>
      </c>
      <c r="S86" s="2"/>
      <c r="T86" s="7">
        <v>0</v>
      </c>
      <c r="U86" s="2"/>
      <c r="V86" s="6">
        <f t="shared" si="27"/>
        <v>0</v>
      </c>
      <c r="W86" s="2"/>
      <c r="X86" s="7">
        <f t="shared" si="28"/>
        <v>0</v>
      </c>
      <c r="Y86" s="2"/>
      <c r="Z86" s="6">
        <f t="shared" si="29"/>
        <v>0</v>
      </c>
    </row>
    <row r="87" spans="1:26" s="28" customFormat="1" outlineLevel="1" collapsed="1" x14ac:dyDescent="0.3">
      <c r="A87" s="29"/>
      <c r="B87" s="14" t="str">
        <f>CONCATENATE("     ","Advertising/Promo                                 ")</f>
        <v xml:space="preserve">     Advertising/Promo                                 </v>
      </c>
      <c r="C87" s="14"/>
      <c r="D87" s="1">
        <f>SUM(OSRRefD22_2x_0)</f>
        <v>1236.4100000000001</v>
      </c>
      <c r="E87" s="1"/>
      <c r="F87" s="5">
        <f t="shared" ref="F87:F95" si="30">IF(D$12=0,0,D87/D$12)</f>
        <v>7.8000563701552806E-4</v>
      </c>
      <c r="G87" s="1"/>
      <c r="H87" s="1">
        <f>SUM(OSRRefH22_2x_0)</f>
        <v>2219</v>
      </c>
      <c r="I87" s="1"/>
      <c r="J87" s="5">
        <f t="shared" ref="J87:J95" si="31">IF(H$12=0,0,H87/H$12)</f>
        <v>7.7885857030488503E-4</v>
      </c>
      <c r="K87" s="1"/>
      <c r="L87" s="1">
        <f t="shared" ref="L87:L95" si="32">+D87-H87</f>
        <v>-982.58999999999992</v>
      </c>
      <c r="M87" s="1"/>
      <c r="N87" s="5">
        <f t="shared" ref="N87:N95" si="33">IF(H87=0,0,L87/H87)</f>
        <v>-0.44280757097791795</v>
      </c>
      <c r="O87" s="14"/>
      <c r="P87" s="1">
        <f>SUM(OSRRefP22_2x_0)</f>
        <v>11224.07</v>
      </c>
      <c r="Q87" s="1"/>
      <c r="R87" s="5">
        <f t="shared" ref="R87:R95" si="34">IF(P$12=0,0,P87/P$12)</f>
        <v>8.6600646132464711E-4</v>
      </c>
      <c r="S87" s="1"/>
      <c r="T87" s="1">
        <f>SUM(OSRRefT22_2x_0)</f>
        <v>16833</v>
      </c>
      <c r="U87" s="1"/>
      <c r="V87" s="5">
        <f t="shared" ref="V87:V95" si="35">IF(T$12=0,0,T87/T$12)</f>
        <v>1.1588516181824527E-3</v>
      </c>
      <c r="W87" s="1"/>
      <c r="X87" s="1">
        <f t="shared" ref="X87:X95" si="36">+P87-T87</f>
        <v>-5608.93</v>
      </c>
      <c r="Y87" s="1"/>
      <c r="Z87" s="5">
        <f t="shared" ref="Z87:Z95" si="37">IF(T87=0,0,X87/T87)</f>
        <v>-0.33321036060120002</v>
      </c>
    </row>
    <row r="88" spans="1:26" s="24" customFormat="1" hidden="1" outlineLevel="2" x14ac:dyDescent="0.3">
      <c r="A88" s="27"/>
      <c r="B88" s="11" t="str">
        <f>CONCATENATE("          ", "6362", " - ", "ADVERTISING EXPENSE")</f>
        <v xml:space="preserve">          6362 - ADVERTISING EXPENSE</v>
      </c>
      <c r="C88" s="11"/>
      <c r="D88" s="7">
        <v>1236.4100000000001</v>
      </c>
      <c r="E88" s="2"/>
      <c r="F88" s="6">
        <f t="shared" si="30"/>
        <v>7.8000563701552806E-4</v>
      </c>
      <c r="G88" s="2"/>
      <c r="H88" s="7">
        <v>2219</v>
      </c>
      <c r="I88" s="2"/>
      <c r="J88" s="6">
        <f t="shared" si="31"/>
        <v>7.7885857030488503E-4</v>
      </c>
      <c r="K88" s="2"/>
      <c r="L88" s="7">
        <f t="shared" si="32"/>
        <v>-982.58999999999992</v>
      </c>
      <c r="M88" s="2"/>
      <c r="N88" s="6">
        <f t="shared" si="33"/>
        <v>-0.44280757097791795</v>
      </c>
      <c r="O88" s="11"/>
      <c r="P88" s="7">
        <v>11224.07</v>
      </c>
      <c r="Q88" s="2"/>
      <c r="R88" s="6">
        <f t="shared" si="34"/>
        <v>8.6600646132464711E-4</v>
      </c>
      <c r="S88" s="2"/>
      <c r="T88" s="7">
        <v>16833</v>
      </c>
      <c r="U88" s="2"/>
      <c r="V88" s="6">
        <f t="shared" si="35"/>
        <v>1.1588516181824527E-3</v>
      </c>
      <c r="W88" s="2"/>
      <c r="X88" s="7">
        <f t="shared" si="36"/>
        <v>-5608.93</v>
      </c>
      <c r="Y88" s="2"/>
      <c r="Z88" s="6">
        <f t="shared" si="37"/>
        <v>-0.33321036060120002</v>
      </c>
    </row>
    <row r="89" spans="1:26" s="28" customFormat="1" outlineLevel="1" collapsed="1" x14ac:dyDescent="0.3">
      <c r="A89" s="29"/>
      <c r="B89" s="14" t="str">
        <f>CONCATENATE("     ","Bad Debts/Over/Short                              ")</f>
        <v xml:space="preserve">     Bad Debts/Over/Short                              </v>
      </c>
      <c r="C89" s="14"/>
      <c r="D89" s="1">
        <f>SUM(OSRRefD22_3x_0)</f>
        <v>-5.74</v>
      </c>
      <c r="E89" s="1"/>
      <c r="F89" s="5">
        <f t="shared" si="30"/>
        <v>-3.621155083240293E-6</v>
      </c>
      <c r="G89" s="1"/>
      <c r="H89" s="1">
        <f>SUM(OSRRefH22_3x_0)</f>
        <v>268</v>
      </c>
      <c r="I89" s="1"/>
      <c r="J89" s="5">
        <f t="shared" si="31"/>
        <v>9.4066740352279947E-5</v>
      </c>
      <c r="K89" s="1"/>
      <c r="L89" s="1">
        <f t="shared" si="32"/>
        <v>-273.74</v>
      </c>
      <c r="M89" s="1"/>
      <c r="N89" s="5">
        <f t="shared" si="33"/>
        <v>-1.0214179104477612</v>
      </c>
      <c r="O89" s="14"/>
      <c r="P89" s="1">
        <f>SUM(OSRRefP22_3x_0)</f>
        <v>71.349999999999994</v>
      </c>
      <c r="Q89" s="1"/>
      <c r="R89" s="5">
        <f t="shared" si="34"/>
        <v>5.5050940537179091E-6</v>
      </c>
      <c r="S89" s="1"/>
      <c r="T89" s="1">
        <f>SUM(OSRRefT22_3x_0)</f>
        <v>1908</v>
      </c>
      <c r="U89" s="1"/>
      <c r="V89" s="5">
        <f t="shared" si="35"/>
        <v>1.3135441617608982E-4</v>
      </c>
      <c r="W89" s="1"/>
      <c r="X89" s="1">
        <f t="shared" si="36"/>
        <v>-1836.65</v>
      </c>
      <c r="Y89" s="1"/>
      <c r="Z89" s="5">
        <f t="shared" si="37"/>
        <v>-0.96260482180293505</v>
      </c>
    </row>
    <row r="90" spans="1:26" s="24" customFormat="1" hidden="1" outlineLevel="2" x14ac:dyDescent="0.3">
      <c r="A90" s="27"/>
      <c r="B90" s="11" t="str">
        <f>CONCATENATE("          ", "6272", " - ", "CASH (OVER/SHORT)")</f>
        <v xml:space="preserve">          6272 - CASH (OVER/SHORT)</v>
      </c>
      <c r="C90" s="11"/>
      <c r="D90" s="7">
        <v>-5.74</v>
      </c>
      <c r="E90" s="2"/>
      <c r="F90" s="6">
        <f t="shared" si="30"/>
        <v>-3.621155083240293E-6</v>
      </c>
      <c r="G90" s="2"/>
      <c r="H90" s="7">
        <v>268</v>
      </c>
      <c r="I90" s="2"/>
      <c r="J90" s="6">
        <f t="shared" si="31"/>
        <v>9.4066740352279947E-5</v>
      </c>
      <c r="K90" s="2"/>
      <c r="L90" s="7">
        <f t="shared" si="32"/>
        <v>-273.74</v>
      </c>
      <c r="M90" s="2"/>
      <c r="N90" s="6">
        <f t="shared" si="33"/>
        <v>-1.0214179104477612</v>
      </c>
      <c r="O90" s="11"/>
      <c r="P90" s="7">
        <v>71.349999999999994</v>
      </c>
      <c r="Q90" s="2"/>
      <c r="R90" s="6">
        <f t="shared" si="34"/>
        <v>5.5050940537179091E-6</v>
      </c>
      <c r="S90" s="2"/>
      <c r="T90" s="7">
        <v>1908</v>
      </c>
      <c r="U90" s="2"/>
      <c r="V90" s="6">
        <f t="shared" si="35"/>
        <v>1.3135441617608982E-4</v>
      </c>
      <c r="W90" s="2"/>
      <c r="X90" s="7">
        <f t="shared" si="36"/>
        <v>-1836.65</v>
      </c>
      <c r="Y90" s="2"/>
      <c r="Z90" s="6">
        <f t="shared" si="37"/>
        <v>-0.96260482180293505</v>
      </c>
    </row>
    <row r="91" spans="1:26" s="28" customFormat="1" outlineLevel="1" collapsed="1" x14ac:dyDescent="0.3">
      <c r="A91" s="29"/>
      <c r="B91" s="14" t="str">
        <f>CONCATENATE("     ","Bank/card Fees                                    ")</f>
        <v xml:space="preserve">     Bank/card Fees                                    </v>
      </c>
      <c r="C91" s="14"/>
      <c r="D91" s="1">
        <f>SUM(OSRRefD22_4x_0)</f>
        <v>13120.88</v>
      </c>
      <c r="E91" s="1"/>
      <c r="F91" s="5">
        <f t="shared" si="30"/>
        <v>8.27748106421357E-3</v>
      </c>
      <c r="G91" s="1"/>
      <c r="H91" s="1">
        <f>SUM(OSRRefH22_4x_0)</f>
        <v>45897.5</v>
      </c>
      <c r="I91" s="1"/>
      <c r="J91" s="5">
        <f t="shared" si="31"/>
        <v>1.6109806773577495E-2</v>
      </c>
      <c r="K91" s="1"/>
      <c r="L91" s="1">
        <f t="shared" si="32"/>
        <v>-32776.620000000003</v>
      </c>
      <c r="M91" s="1"/>
      <c r="N91" s="5">
        <f t="shared" si="33"/>
        <v>-0.71412647747698688</v>
      </c>
      <c r="O91" s="14"/>
      <c r="P91" s="1">
        <f>SUM(OSRRefP22_4x_0)</f>
        <v>109661.51</v>
      </c>
      <c r="Q91" s="1"/>
      <c r="R91" s="5">
        <f t="shared" si="34"/>
        <v>8.4610641432757809E-3</v>
      </c>
      <c r="S91" s="1"/>
      <c r="T91" s="1">
        <f>SUM(OSRRefT22_4x_0)</f>
        <v>189506.25</v>
      </c>
      <c r="U91" s="1"/>
      <c r="V91" s="5">
        <f t="shared" si="35"/>
        <v>1.3046374649093355E-2</v>
      </c>
      <c r="W91" s="1"/>
      <c r="X91" s="1">
        <f t="shared" si="36"/>
        <v>-79844.740000000005</v>
      </c>
      <c r="Y91" s="1"/>
      <c r="Z91" s="5">
        <f t="shared" si="37"/>
        <v>-0.4213303782856766</v>
      </c>
    </row>
    <row r="92" spans="1:26" s="24" customFormat="1" hidden="1" outlineLevel="2" x14ac:dyDescent="0.3">
      <c r="A92" s="27"/>
      <c r="B92" s="11" t="str">
        <f>CONCATENATE("          ", "6381", " - ", "BANK/CREDIT CARD FEES")</f>
        <v xml:space="preserve">          6381 - BANK/CREDIT CARD FEES</v>
      </c>
      <c r="C92" s="11"/>
      <c r="D92" s="7">
        <v>13120.88</v>
      </c>
      <c r="E92" s="2"/>
      <c r="F92" s="6">
        <f t="shared" si="30"/>
        <v>8.27748106421357E-3</v>
      </c>
      <c r="G92" s="2"/>
      <c r="H92" s="7">
        <v>45897.5</v>
      </c>
      <c r="I92" s="2"/>
      <c r="J92" s="6">
        <f t="shared" si="31"/>
        <v>1.6109806773577495E-2</v>
      </c>
      <c r="K92" s="2"/>
      <c r="L92" s="7">
        <f t="shared" si="32"/>
        <v>-32776.620000000003</v>
      </c>
      <c r="M92" s="2"/>
      <c r="N92" s="6">
        <f t="shared" si="33"/>
        <v>-0.71412647747698688</v>
      </c>
      <c r="O92" s="11"/>
      <c r="P92" s="7">
        <v>109661.51</v>
      </c>
      <c r="Q92" s="2"/>
      <c r="R92" s="6">
        <f t="shared" si="34"/>
        <v>8.4610641432757809E-3</v>
      </c>
      <c r="S92" s="2"/>
      <c r="T92" s="7">
        <v>189506.25</v>
      </c>
      <c r="U92" s="2"/>
      <c r="V92" s="6">
        <f t="shared" si="35"/>
        <v>1.3046374649093355E-2</v>
      </c>
      <c r="W92" s="2"/>
      <c r="X92" s="7">
        <f t="shared" si="36"/>
        <v>-79844.740000000005</v>
      </c>
      <c r="Y92" s="2"/>
      <c r="Z92" s="6">
        <f t="shared" si="37"/>
        <v>-0.4213303782856766</v>
      </c>
    </row>
    <row r="93" spans="1:26" s="28" customFormat="1" outlineLevel="1" collapsed="1" x14ac:dyDescent="0.3">
      <c r="A93" s="29"/>
      <c r="B93" s="14" t="str">
        <f>CONCATENATE("     ","Depreciation                                      ")</f>
        <v xml:space="preserve">     Depreciation                                      </v>
      </c>
      <c r="C93" s="14"/>
      <c r="D93" s="1">
        <f>SUM(OSRRefD22_5x_0)</f>
        <v>68497.2</v>
      </c>
      <c r="E93" s="1"/>
      <c r="F93" s="5">
        <f t="shared" si="30"/>
        <v>4.3212366544900169E-2</v>
      </c>
      <c r="G93" s="1"/>
      <c r="H93" s="1">
        <f>SUM(OSRRefH22_5x_0)</f>
        <v>67822</v>
      </c>
      <c r="I93" s="1"/>
      <c r="J93" s="5">
        <f t="shared" si="31"/>
        <v>2.3805203224523619E-2</v>
      </c>
      <c r="K93" s="1"/>
      <c r="L93" s="1">
        <f t="shared" si="32"/>
        <v>675.19999999999709</v>
      </c>
      <c r="M93" s="1"/>
      <c r="N93" s="5">
        <f t="shared" si="33"/>
        <v>9.955471675857348E-3</v>
      </c>
      <c r="O93" s="14"/>
      <c r="P93" s="1">
        <f>SUM(OSRRefP22_5x_0)</f>
        <v>495907.91</v>
      </c>
      <c r="Q93" s="1"/>
      <c r="R93" s="5">
        <f t="shared" si="34"/>
        <v>3.8262364212090762E-2</v>
      </c>
      <c r="S93" s="1"/>
      <c r="T93" s="1">
        <f>SUM(OSRRefT22_5x_0)</f>
        <v>491179</v>
      </c>
      <c r="U93" s="1"/>
      <c r="V93" s="5">
        <f t="shared" si="35"/>
        <v>3.3814743596936911E-2</v>
      </c>
      <c r="W93" s="1"/>
      <c r="X93" s="1">
        <f t="shared" si="36"/>
        <v>4728.9099999999744</v>
      </c>
      <c r="Y93" s="1"/>
      <c r="Z93" s="5">
        <f t="shared" si="37"/>
        <v>9.6276713784587183E-3</v>
      </c>
    </row>
    <row r="94" spans="1:26" s="24" customFormat="1" hidden="1" outlineLevel="2" x14ac:dyDescent="0.3">
      <c r="A94" s="27"/>
      <c r="B94" s="11" t="str">
        <f>CONCATENATE("          ", "6321", " - ", "BUILDING DEPRECIATION")</f>
        <v xml:space="preserve">          6321 - BUILDING DEPRECIATION</v>
      </c>
      <c r="C94" s="11"/>
      <c r="D94" s="7">
        <v>42751.51</v>
      </c>
      <c r="E94" s="2"/>
      <c r="F94" s="6">
        <f t="shared" si="30"/>
        <v>2.6970356751341153E-2</v>
      </c>
      <c r="G94" s="2"/>
      <c r="H94" s="7"/>
      <c r="I94" s="2"/>
      <c r="J94" s="6">
        <f t="shared" si="31"/>
        <v>0</v>
      </c>
      <c r="K94" s="2"/>
      <c r="L94" s="7">
        <f t="shared" si="32"/>
        <v>42751.51</v>
      </c>
      <c r="M94" s="2"/>
      <c r="N94" s="6">
        <f t="shared" si="33"/>
        <v>0</v>
      </c>
      <c r="O94" s="11"/>
      <c r="P94" s="7">
        <v>312938.21999999997</v>
      </c>
      <c r="Q94" s="2"/>
      <c r="R94" s="6">
        <f t="shared" si="34"/>
        <v>2.4145120309783694E-2</v>
      </c>
      <c r="S94" s="2"/>
      <c r="T94" s="7"/>
      <c r="U94" s="2"/>
      <c r="V94" s="6">
        <f t="shared" si="35"/>
        <v>0</v>
      </c>
      <c r="W94" s="2"/>
      <c r="X94" s="7">
        <f t="shared" si="36"/>
        <v>312938.21999999997</v>
      </c>
      <c r="Y94" s="2"/>
      <c r="Z94" s="6">
        <f t="shared" si="37"/>
        <v>0</v>
      </c>
    </row>
    <row r="95" spans="1:26" s="24" customFormat="1" hidden="1" outlineLevel="2" x14ac:dyDescent="0.3">
      <c r="A95" s="27"/>
      <c r="B95" s="11" t="str">
        <f>CONCATENATE("          ", "6322", " - ", "EQUIPMENT DEPRECIATION EXPENSE")</f>
        <v xml:space="preserve">          6322 - EQUIPMENT DEPRECIATION EXPENSE</v>
      </c>
      <c r="C95" s="11"/>
      <c r="D95" s="7">
        <v>25745.69</v>
      </c>
      <c r="E95" s="2"/>
      <c r="F95" s="6">
        <f t="shared" si="30"/>
        <v>1.6242009793559019E-2</v>
      </c>
      <c r="G95" s="2"/>
      <c r="H95" s="7">
        <v>67822</v>
      </c>
      <c r="I95" s="2"/>
      <c r="J95" s="6">
        <f t="shared" si="31"/>
        <v>2.3805203224523619E-2</v>
      </c>
      <c r="K95" s="2"/>
      <c r="L95" s="7">
        <f t="shared" si="32"/>
        <v>-42076.31</v>
      </c>
      <c r="M95" s="2"/>
      <c r="N95" s="6">
        <f t="shared" si="33"/>
        <v>-0.62039323523340506</v>
      </c>
      <c r="O95" s="11"/>
      <c r="P95" s="7">
        <v>182969.69</v>
      </c>
      <c r="Q95" s="2"/>
      <c r="R95" s="6">
        <f t="shared" si="34"/>
        <v>1.4117243902307066E-2</v>
      </c>
      <c r="S95" s="2"/>
      <c r="T95" s="7">
        <v>491179</v>
      </c>
      <c r="U95" s="2"/>
      <c r="V95" s="6">
        <f t="shared" si="35"/>
        <v>3.3814743596936911E-2</v>
      </c>
      <c r="W95" s="2"/>
      <c r="X95" s="7">
        <f t="shared" si="36"/>
        <v>-308209.31</v>
      </c>
      <c r="Y95" s="2"/>
      <c r="Z95" s="6">
        <f t="shared" si="37"/>
        <v>-0.62748877700390282</v>
      </c>
    </row>
    <row r="96" spans="1:26" s="28" customFormat="1" outlineLevel="1" collapsed="1" x14ac:dyDescent="0.3">
      <c r="A96" s="29"/>
      <c r="B96" s="14" t="str">
        <f>CONCATENATE("     ","Discounts and Markdowns                           ")</f>
        <v xml:space="preserve">     Discounts and Markdowns                           </v>
      </c>
      <c r="C96" s="14"/>
      <c r="D96" s="1">
        <f>SUM(OSRRefD22_6x_0)</f>
        <v>-1290.25</v>
      </c>
      <c r="E96" s="1"/>
      <c r="F96" s="5">
        <f t="shared" ref="F96:F98" si="38">IF(D$12=0,0,D96/D$12)</f>
        <v>-8.1397131466041603E-4</v>
      </c>
      <c r="G96" s="1"/>
      <c r="H96" s="1">
        <f>SUM(OSRRefH22_6x_0)</f>
        <v>0</v>
      </c>
      <c r="I96" s="1"/>
      <c r="J96" s="5">
        <f t="shared" ref="J96:J98" si="39">IF(H$12=0,0,H96/H$12)</f>
        <v>0</v>
      </c>
      <c r="K96" s="1"/>
      <c r="L96" s="1">
        <f t="shared" ref="L96:L98" si="40">+D96-H96</f>
        <v>-1290.25</v>
      </c>
      <c r="M96" s="1"/>
      <c r="N96" s="5">
        <f t="shared" ref="N96:N98" si="41">IF(H96=0,0,L96/H96)</f>
        <v>0</v>
      </c>
      <c r="O96" s="14"/>
      <c r="P96" s="1">
        <f>SUM(OSRRefP22_6x_0)</f>
        <v>2064.5499999999997</v>
      </c>
      <c r="Q96" s="1"/>
      <c r="R96" s="5">
        <f t="shared" ref="R96:R98" si="42">IF(P$12=0,0,P96/P$12)</f>
        <v>1.592928090904458E-4</v>
      </c>
      <c r="S96" s="1"/>
      <c r="T96" s="1">
        <f>SUM(OSRRefT22_6x_0)</f>
        <v>0</v>
      </c>
      <c r="U96" s="1"/>
      <c r="V96" s="5">
        <f t="shared" ref="V96:V98" si="43">IF(T$12=0,0,T96/T$12)</f>
        <v>0</v>
      </c>
      <c r="W96" s="1"/>
      <c r="X96" s="1">
        <f t="shared" ref="X96:X98" si="44">+P96-T96</f>
        <v>2064.5499999999997</v>
      </c>
      <c r="Y96" s="1"/>
      <c r="Z96" s="5">
        <f t="shared" ref="Z96:Z98" si="45">IF(T96=0,0,X96/T96)</f>
        <v>0</v>
      </c>
    </row>
    <row r="97" spans="1:26" s="24" customFormat="1" hidden="1" outlineLevel="2" x14ac:dyDescent="0.3">
      <c r="A97" s="27"/>
      <c r="B97" s="11" t="str">
        <f>CONCATENATE("          ", "6382", " - ", "DISCOUNTS/MARK DOWNS")</f>
        <v xml:space="preserve">          6382 - DISCOUNTS/MARK DOWNS</v>
      </c>
      <c r="C97" s="11"/>
      <c r="D97" s="7">
        <v>-1238.6500000000001</v>
      </c>
      <c r="E97" s="2"/>
      <c r="F97" s="6">
        <f t="shared" si="38"/>
        <v>-7.8141877070654869E-4</v>
      </c>
      <c r="G97" s="2"/>
      <c r="H97" s="7"/>
      <c r="I97" s="2"/>
      <c r="J97" s="6">
        <f t="shared" si="39"/>
        <v>0</v>
      </c>
      <c r="K97" s="2"/>
      <c r="L97" s="7">
        <f t="shared" si="40"/>
        <v>-1238.6500000000001</v>
      </c>
      <c r="M97" s="2"/>
      <c r="N97" s="6">
        <f t="shared" si="41"/>
        <v>0</v>
      </c>
      <c r="O97" s="11"/>
      <c r="P97" s="7">
        <v>2171.35</v>
      </c>
      <c r="Q97" s="2"/>
      <c r="R97" s="6">
        <f t="shared" si="42"/>
        <v>1.6753309002859678E-4</v>
      </c>
      <c r="S97" s="2"/>
      <c r="T97" s="7">
        <v>0</v>
      </c>
      <c r="U97" s="2"/>
      <c r="V97" s="6">
        <f t="shared" si="43"/>
        <v>0</v>
      </c>
      <c r="W97" s="2"/>
      <c r="X97" s="7">
        <f t="shared" si="44"/>
        <v>2171.35</v>
      </c>
      <c r="Y97" s="2"/>
      <c r="Z97" s="6">
        <f t="shared" si="45"/>
        <v>0</v>
      </c>
    </row>
    <row r="98" spans="1:26" s="24" customFormat="1" hidden="1" outlineLevel="2" x14ac:dyDescent="0.3">
      <c r="A98" s="27"/>
      <c r="B98" s="11" t="str">
        <f>CONCATENATE("          ", "9175", " - ", "EARNED DISCOUNTS")</f>
        <v xml:space="preserve">          9175 - EARNED DISCOUNTS</v>
      </c>
      <c r="C98" s="11"/>
      <c r="D98" s="7">
        <v>-51.6</v>
      </c>
      <c r="E98" s="2"/>
      <c r="F98" s="6">
        <f t="shared" si="38"/>
        <v>-3.2552543953867446E-5</v>
      </c>
      <c r="G98" s="2"/>
      <c r="H98" s="7"/>
      <c r="I98" s="2"/>
      <c r="J98" s="6">
        <f t="shared" si="39"/>
        <v>0</v>
      </c>
      <c r="K98" s="2"/>
      <c r="L98" s="7">
        <f t="shared" si="40"/>
        <v>-51.6</v>
      </c>
      <c r="M98" s="2"/>
      <c r="N98" s="6">
        <f t="shared" si="41"/>
        <v>0</v>
      </c>
      <c r="O98" s="11"/>
      <c r="P98" s="7">
        <v>-106.8</v>
      </c>
      <c r="Q98" s="2"/>
      <c r="R98" s="6">
        <f t="shared" si="42"/>
        <v>-8.2402809381509834E-6</v>
      </c>
      <c r="S98" s="2"/>
      <c r="T98" s="7"/>
      <c r="U98" s="2"/>
      <c r="V98" s="6">
        <f t="shared" si="43"/>
        <v>0</v>
      </c>
      <c r="W98" s="2"/>
      <c r="X98" s="7">
        <f t="shared" si="44"/>
        <v>-106.8</v>
      </c>
      <c r="Y98" s="2"/>
      <c r="Z98" s="6">
        <f t="shared" si="45"/>
        <v>0</v>
      </c>
    </row>
    <row r="99" spans="1:26" s="28" customFormat="1" outlineLevel="1" collapsed="1" x14ac:dyDescent="0.3">
      <c r="A99" s="29"/>
      <c r="B99" s="14" t="str">
        <f>CONCATENATE("     ","Donations                                         ")</f>
        <v xml:space="preserve">     Donations                                         </v>
      </c>
      <c r="C99" s="14"/>
      <c r="D99" s="1">
        <f>SUM(OSRRefD22_7x_0)</f>
        <v>4031.65</v>
      </c>
      <c r="E99" s="1"/>
      <c r="F99" s="5">
        <f t="shared" ref="F99:F107" si="46">IF(D$12=0,0,D99/D$12)</f>
        <v>2.5434198416978619E-3</v>
      </c>
      <c r="G99" s="1"/>
      <c r="H99" s="1">
        <f>SUM(OSRRefH22_7x_0)</f>
        <v>16750</v>
      </c>
      <c r="I99" s="1"/>
      <c r="J99" s="5">
        <f t="shared" ref="J99:J107" si="47">IF(H$12=0,0,H99/H$12)</f>
        <v>5.8791712720174961E-3</v>
      </c>
      <c r="K99" s="1"/>
      <c r="L99" s="1">
        <f t="shared" ref="L99:L107" si="48">+D99-H99</f>
        <v>-12718.35</v>
      </c>
      <c r="M99" s="1"/>
      <c r="N99" s="5">
        <f t="shared" ref="N99:N107" si="49">IF(H99=0,0,L99/H99)</f>
        <v>-0.75930447761194031</v>
      </c>
      <c r="O99" s="14"/>
      <c r="P99" s="1">
        <f>SUM(OSRRefP22_7x_0)</f>
        <v>43446.87</v>
      </c>
      <c r="Q99" s="1"/>
      <c r="R99" s="5">
        <f t="shared" ref="R99:R107" si="50">IF(P$12=0,0,P99/P$12)</f>
        <v>3.3521948940386129E-3</v>
      </c>
      <c r="S99" s="1"/>
      <c r="T99" s="1">
        <f>SUM(OSRRefT22_7x_0)</f>
        <v>101750</v>
      </c>
      <c r="U99" s="1"/>
      <c r="V99" s="5">
        <f t="shared" ref="V99:V107" si="51">IF(T$12=0,0,T99/T$12)</f>
        <v>7.0048804223884374E-3</v>
      </c>
      <c r="W99" s="1"/>
      <c r="X99" s="1">
        <f t="shared" ref="X99:X107" si="52">+P99-T99</f>
        <v>-58303.13</v>
      </c>
      <c r="Y99" s="1"/>
      <c r="Z99" s="5">
        <f t="shared" ref="Z99:Z107" si="53">IF(T99=0,0,X99/T99)</f>
        <v>-0.57300373464373466</v>
      </c>
    </row>
    <row r="100" spans="1:26" s="24" customFormat="1" hidden="1" outlineLevel="2" x14ac:dyDescent="0.3">
      <c r="A100" s="27"/>
      <c r="B100" s="11" t="str">
        <f>CONCATENATE("          ", "6399", " - ", "DONATION-ON CAMPUS")</f>
        <v xml:space="preserve">          6399 - DONATION-ON CAMPUS</v>
      </c>
      <c r="C100" s="11"/>
      <c r="D100" s="7">
        <v>4031.65</v>
      </c>
      <c r="E100" s="2"/>
      <c r="F100" s="6">
        <f t="shared" si="46"/>
        <v>2.5434198416978619E-3</v>
      </c>
      <c r="G100" s="2"/>
      <c r="H100" s="7">
        <v>16750</v>
      </c>
      <c r="I100" s="2"/>
      <c r="J100" s="6">
        <f t="shared" si="47"/>
        <v>5.8791712720174961E-3</v>
      </c>
      <c r="K100" s="2"/>
      <c r="L100" s="7">
        <f t="shared" si="48"/>
        <v>-12718.35</v>
      </c>
      <c r="M100" s="2"/>
      <c r="N100" s="6">
        <f t="shared" si="49"/>
        <v>-0.75930447761194031</v>
      </c>
      <c r="O100" s="11"/>
      <c r="P100" s="7">
        <v>43446.87</v>
      </c>
      <c r="Q100" s="2"/>
      <c r="R100" s="6">
        <f t="shared" si="50"/>
        <v>3.3521948940386129E-3</v>
      </c>
      <c r="S100" s="2"/>
      <c r="T100" s="7">
        <v>101750</v>
      </c>
      <c r="U100" s="2"/>
      <c r="V100" s="6">
        <f t="shared" si="51"/>
        <v>7.0048804223884374E-3</v>
      </c>
      <c r="W100" s="2"/>
      <c r="X100" s="7">
        <f t="shared" si="52"/>
        <v>-58303.13</v>
      </c>
      <c r="Y100" s="2"/>
      <c r="Z100" s="6">
        <f t="shared" si="53"/>
        <v>-0.57300373464373466</v>
      </c>
    </row>
    <row r="101" spans="1:26" s="28" customFormat="1" outlineLevel="1" collapsed="1" x14ac:dyDescent="0.3">
      <c r="A101" s="29"/>
      <c r="B101" s="14" t="str">
        <f>CONCATENATE("     ","Employees' Appreciation                           ")</f>
        <v xml:space="preserve">     Employees' Appreciation                           </v>
      </c>
      <c r="C101" s="14"/>
      <c r="D101" s="1">
        <f>SUM(OSRRefD22_8x_0)</f>
        <v>1497.36</v>
      </c>
      <c r="E101" s="1"/>
      <c r="F101" s="5">
        <f t="shared" si="46"/>
        <v>9.4462940338687891E-4</v>
      </c>
      <c r="G101" s="1"/>
      <c r="H101" s="1">
        <f>SUM(OSRRefH22_8x_0)</f>
        <v>485</v>
      </c>
      <c r="I101" s="1"/>
      <c r="J101" s="5">
        <f t="shared" si="47"/>
        <v>1.7023272041364094E-4</v>
      </c>
      <c r="K101" s="1"/>
      <c r="L101" s="1">
        <f t="shared" si="48"/>
        <v>1012.3599999999999</v>
      </c>
      <c r="M101" s="1"/>
      <c r="N101" s="5">
        <f t="shared" si="49"/>
        <v>2.0873402061855666</v>
      </c>
      <c r="O101" s="14"/>
      <c r="P101" s="1">
        <f>SUM(OSRRefP22_8x_0)</f>
        <v>4798.3999999999996</v>
      </c>
      <c r="Q101" s="1"/>
      <c r="R101" s="5">
        <f t="shared" si="50"/>
        <v>3.7022625518374228E-4</v>
      </c>
      <c r="S101" s="1"/>
      <c r="T101" s="1">
        <f>SUM(OSRRefT22_8x_0)</f>
        <v>4035</v>
      </c>
      <c r="U101" s="1"/>
      <c r="V101" s="5">
        <f t="shared" si="51"/>
        <v>2.7778567571830315E-4</v>
      </c>
      <c r="W101" s="1"/>
      <c r="X101" s="1">
        <f t="shared" si="52"/>
        <v>763.39999999999964</v>
      </c>
      <c r="Y101" s="1"/>
      <c r="Z101" s="5">
        <f t="shared" si="53"/>
        <v>0.18919454770755878</v>
      </c>
    </row>
    <row r="102" spans="1:26" s="24" customFormat="1" hidden="1" outlineLevel="2" x14ac:dyDescent="0.3">
      <c r="A102" s="27"/>
      <c r="B102" s="11" t="str">
        <f>CONCATENATE("          ", "6277", " - ", "EMPLOYEE APPRECIATION")</f>
        <v xml:space="preserve">          6277 - EMPLOYEE APPRECIATION</v>
      </c>
      <c r="C102" s="11"/>
      <c r="D102" s="7">
        <v>1497.36</v>
      </c>
      <c r="E102" s="2"/>
      <c r="F102" s="6">
        <f t="shared" si="46"/>
        <v>9.4462940338687891E-4</v>
      </c>
      <c r="G102" s="2"/>
      <c r="H102" s="7">
        <v>485</v>
      </c>
      <c r="I102" s="2"/>
      <c r="J102" s="6">
        <f t="shared" si="47"/>
        <v>1.7023272041364094E-4</v>
      </c>
      <c r="K102" s="2"/>
      <c r="L102" s="7">
        <f t="shared" si="48"/>
        <v>1012.3599999999999</v>
      </c>
      <c r="M102" s="2"/>
      <c r="N102" s="6">
        <f t="shared" si="49"/>
        <v>2.0873402061855666</v>
      </c>
      <c r="O102" s="11"/>
      <c r="P102" s="7">
        <v>4798.3999999999996</v>
      </c>
      <c r="Q102" s="2"/>
      <c r="R102" s="6">
        <f t="shared" si="50"/>
        <v>3.7022625518374228E-4</v>
      </c>
      <c r="S102" s="2"/>
      <c r="T102" s="7">
        <v>4035</v>
      </c>
      <c r="U102" s="2"/>
      <c r="V102" s="6">
        <f t="shared" si="51"/>
        <v>2.7778567571830315E-4</v>
      </c>
      <c r="W102" s="2"/>
      <c r="X102" s="7">
        <f t="shared" si="52"/>
        <v>763.39999999999964</v>
      </c>
      <c r="Y102" s="2"/>
      <c r="Z102" s="6">
        <f t="shared" si="53"/>
        <v>0.18919454770755878</v>
      </c>
    </row>
    <row r="103" spans="1:26" s="28" customFormat="1" outlineLevel="1" collapsed="1" x14ac:dyDescent="0.3">
      <c r="A103" s="29"/>
      <c r="B103" s="14" t="str">
        <f>CONCATENATE("     ","Equipment Rental                                  ")</f>
        <v xml:space="preserve">     Equipment Rental                                  </v>
      </c>
      <c r="C103" s="14"/>
      <c r="D103" s="1">
        <f>SUM(OSRRefD22_9x_0)</f>
        <v>2830.88</v>
      </c>
      <c r="E103" s="1"/>
      <c r="F103" s="5">
        <f t="shared" si="46"/>
        <v>1.7858981710876796E-3</v>
      </c>
      <c r="G103" s="1"/>
      <c r="H103" s="1">
        <f>SUM(OSRRefH22_9x_0)</f>
        <v>3446</v>
      </c>
      <c r="I103" s="1"/>
      <c r="J103" s="5">
        <f t="shared" si="47"/>
        <v>1.2095298031864056E-3</v>
      </c>
      <c r="K103" s="1"/>
      <c r="L103" s="1">
        <f t="shared" si="48"/>
        <v>-615.11999999999989</v>
      </c>
      <c r="M103" s="1"/>
      <c r="N103" s="5">
        <f t="shared" si="49"/>
        <v>-0.17850261172373763</v>
      </c>
      <c r="O103" s="14"/>
      <c r="P103" s="1">
        <f>SUM(OSRRefP22_9x_0)</f>
        <v>26324.26</v>
      </c>
      <c r="Q103" s="1"/>
      <c r="R103" s="5">
        <f t="shared" si="50"/>
        <v>2.0310795682484122E-3</v>
      </c>
      <c r="S103" s="1"/>
      <c r="T103" s="1">
        <f>SUM(OSRRefT22_9x_0)</f>
        <v>23922</v>
      </c>
      <c r="U103" s="1"/>
      <c r="V103" s="5">
        <f t="shared" si="51"/>
        <v>1.646886972622862E-3</v>
      </c>
      <c r="W103" s="1"/>
      <c r="X103" s="1">
        <f t="shared" si="52"/>
        <v>2402.2599999999984</v>
      </c>
      <c r="Y103" s="1"/>
      <c r="Z103" s="5">
        <f t="shared" si="53"/>
        <v>0.10042053340021731</v>
      </c>
    </row>
    <row r="104" spans="1:26" s="24" customFormat="1" hidden="1" outlineLevel="2" x14ac:dyDescent="0.3">
      <c r="A104" s="27"/>
      <c r="B104" s="11" t="str">
        <f>CONCATENATE("          ", "6351", " - ", "EQUIPMENT RENTAL")</f>
        <v xml:space="preserve">          6351 - EQUIPMENT RENTAL</v>
      </c>
      <c r="C104" s="11"/>
      <c r="D104" s="7">
        <v>2830.88</v>
      </c>
      <c r="E104" s="2"/>
      <c r="F104" s="6">
        <f t="shared" si="46"/>
        <v>1.7858981710876796E-3</v>
      </c>
      <c r="G104" s="2"/>
      <c r="H104" s="7">
        <v>3446</v>
      </c>
      <c r="I104" s="2"/>
      <c r="J104" s="6">
        <f t="shared" si="47"/>
        <v>1.2095298031864056E-3</v>
      </c>
      <c r="K104" s="2"/>
      <c r="L104" s="7">
        <f t="shared" si="48"/>
        <v>-615.11999999999989</v>
      </c>
      <c r="M104" s="2"/>
      <c r="N104" s="6">
        <f t="shared" si="49"/>
        <v>-0.17850261172373763</v>
      </c>
      <c r="O104" s="11"/>
      <c r="P104" s="7">
        <v>26324.26</v>
      </c>
      <c r="Q104" s="2"/>
      <c r="R104" s="6">
        <f t="shared" si="50"/>
        <v>2.0310795682484122E-3</v>
      </c>
      <c r="S104" s="2"/>
      <c r="T104" s="7">
        <v>23922</v>
      </c>
      <c r="U104" s="2"/>
      <c r="V104" s="6">
        <f t="shared" si="51"/>
        <v>1.646886972622862E-3</v>
      </c>
      <c r="W104" s="2"/>
      <c r="X104" s="7">
        <f t="shared" si="52"/>
        <v>2402.2599999999984</v>
      </c>
      <c r="Y104" s="2"/>
      <c r="Z104" s="6">
        <f t="shared" si="53"/>
        <v>0.10042053340021731</v>
      </c>
    </row>
    <row r="105" spans="1:26" s="28" customFormat="1" outlineLevel="1" collapsed="1" x14ac:dyDescent="0.3">
      <c r="A105" s="29"/>
      <c r="B105" s="14" t="str">
        <f>CONCATENATE("     ","Freight out/Postage                               ")</f>
        <v xml:space="preserve">     Freight out/Postage                               </v>
      </c>
      <c r="C105" s="14"/>
      <c r="D105" s="1">
        <f>SUM(OSRRefD22_10x_0)</f>
        <v>-7280.8900000000012</v>
      </c>
      <c r="E105" s="1"/>
      <c r="F105" s="5">
        <f t="shared" si="46"/>
        <v>-4.5932459641138366E-3</v>
      </c>
      <c r="G105" s="1"/>
      <c r="H105" s="1">
        <f>SUM(OSRRefH22_10x_0)</f>
        <v>-25525</v>
      </c>
      <c r="I105" s="1"/>
      <c r="J105" s="5">
        <f t="shared" si="47"/>
        <v>-8.9591550279550201E-3</v>
      </c>
      <c r="K105" s="1"/>
      <c r="L105" s="1">
        <f t="shared" si="48"/>
        <v>18244.11</v>
      </c>
      <c r="M105" s="1"/>
      <c r="N105" s="5">
        <f t="shared" si="49"/>
        <v>-0.71475455435847213</v>
      </c>
      <c r="O105" s="14"/>
      <c r="P105" s="1">
        <f>SUM(OSRRefP22_10x_0)</f>
        <v>-39325.349999999991</v>
      </c>
      <c r="Q105" s="1"/>
      <c r="R105" s="5">
        <f t="shared" si="50"/>
        <v>-3.034194119767001E-3</v>
      </c>
      <c r="S105" s="1"/>
      <c r="T105" s="1">
        <f>SUM(OSRRefT22_10x_0)</f>
        <v>-16775</v>
      </c>
      <c r="U105" s="1"/>
      <c r="V105" s="5">
        <f t="shared" si="51"/>
        <v>-1.1548586642316074E-3</v>
      </c>
      <c r="W105" s="1"/>
      <c r="X105" s="1">
        <f t="shared" si="52"/>
        <v>-22550.349999999991</v>
      </c>
      <c r="Y105" s="1"/>
      <c r="Z105" s="5">
        <f t="shared" si="53"/>
        <v>1.3442831594634868</v>
      </c>
    </row>
    <row r="106" spans="1:26" s="24" customFormat="1" hidden="1" outlineLevel="2" x14ac:dyDescent="0.3">
      <c r="A106" s="27"/>
      <c r="B106" s="11" t="str">
        <f>CONCATENATE("          ", "6305", " - ", "FREIGHT OUT")</f>
        <v xml:space="preserve">          6305 - FREIGHT OUT</v>
      </c>
      <c r="C106" s="11"/>
      <c r="D106" s="7">
        <v>16037.19</v>
      </c>
      <c r="E106" s="2"/>
      <c r="F106" s="6">
        <f t="shared" si="46"/>
        <v>1.0117273883169058E-2</v>
      </c>
      <c r="G106" s="2"/>
      <c r="H106" s="7">
        <v>15865</v>
      </c>
      <c r="I106" s="2"/>
      <c r="J106" s="6">
        <f t="shared" si="47"/>
        <v>5.5685404316750797E-3</v>
      </c>
      <c r="K106" s="2"/>
      <c r="L106" s="7">
        <f t="shared" si="48"/>
        <v>172.19000000000051</v>
      </c>
      <c r="M106" s="2"/>
      <c r="N106" s="6">
        <f t="shared" si="49"/>
        <v>1.0853450992751371E-2</v>
      </c>
      <c r="O106" s="11"/>
      <c r="P106" s="7">
        <v>94259.199999999997</v>
      </c>
      <c r="Q106" s="2"/>
      <c r="R106" s="6">
        <f t="shared" si="50"/>
        <v>7.2726806086644306E-3</v>
      </c>
      <c r="S106" s="2"/>
      <c r="T106" s="7">
        <v>115455</v>
      </c>
      <c r="U106" s="2"/>
      <c r="V106" s="6">
        <f t="shared" si="51"/>
        <v>7.9483879033597753E-3</v>
      </c>
      <c r="W106" s="2"/>
      <c r="X106" s="7">
        <f t="shared" si="52"/>
        <v>-21195.800000000003</v>
      </c>
      <c r="Y106" s="2"/>
      <c r="Z106" s="6">
        <f t="shared" si="53"/>
        <v>-0.18358494651595864</v>
      </c>
    </row>
    <row r="107" spans="1:26" s="24" customFormat="1" hidden="1" outlineLevel="2" x14ac:dyDescent="0.3">
      <c r="A107" s="27"/>
      <c r="B107" s="11" t="str">
        <f>CONCATENATE("          ", "6307", " - ", "POSTAGE")</f>
        <v xml:space="preserve">          6307 - POSTAGE</v>
      </c>
      <c r="C107" s="11"/>
      <c r="D107" s="7">
        <v>-23318.080000000002</v>
      </c>
      <c r="E107" s="2"/>
      <c r="F107" s="6">
        <f t="shared" si="46"/>
        <v>-1.4710519847282895E-2</v>
      </c>
      <c r="G107" s="2"/>
      <c r="H107" s="7">
        <v>-41390</v>
      </c>
      <c r="I107" s="2"/>
      <c r="J107" s="6">
        <f t="shared" si="47"/>
        <v>-1.45276954596301E-2</v>
      </c>
      <c r="K107" s="2"/>
      <c r="L107" s="7">
        <f t="shared" si="48"/>
        <v>18071.919999999998</v>
      </c>
      <c r="M107" s="2"/>
      <c r="N107" s="6">
        <f t="shared" si="49"/>
        <v>-0.43662527180478372</v>
      </c>
      <c r="O107" s="11"/>
      <c r="P107" s="7">
        <v>-133584.54999999999</v>
      </c>
      <c r="Q107" s="2"/>
      <c r="R107" s="6">
        <f t="shared" si="50"/>
        <v>-1.0306874728431432E-2</v>
      </c>
      <c r="S107" s="2"/>
      <c r="T107" s="7">
        <v>-132230</v>
      </c>
      <c r="U107" s="2"/>
      <c r="V107" s="6">
        <f t="shared" si="51"/>
        <v>-9.1032465675913825E-3</v>
      </c>
      <c r="W107" s="2"/>
      <c r="X107" s="7">
        <f t="shared" si="52"/>
        <v>-1354.5499999999884</v>
      </c>
      <c r="Y107" s="2"/>
      <c r="Z107" s="6">
        <f t="shared" si="53"/>
        <v>1.0243893216365336E-2</v>
      </c>
    </row>
    <row r="108" spans="1:26" s="28" customFormat="1" outlineLevel="1" collapsed="1" x14ac:dyDescent="0.3">
      <c r="A108" s="29"/>
      <c r="B108" s="14" t="str">
        <f>CONCATENATE("     ","General                                           ")</f>
        <v xml:space="preserve">     General                                           </v>
      </c>
      <c r="C108" s="14"/>
      <c r="D108" s="1">
        <f>SUM(OSRRefD22_11x_0)</f>
        <v>2740.56</v>
      </c>
      <c r="E108" s="1"/>
      <c r="F108" s="5">
        <f t="shared" ref="F108:F111" si="54">IF(D$12=0,0,D108/D$12)</f>
        <v>1.7289186019033131E-3</v>
      </c>
      <c r="G108" s="1"/>
      <c r="H108" s="1">
        <f>SUM(OSRRefH22_11x_0)</f>
        <v>1060</v>
      </c>
      <c r="I108" s="1"/>
      <c r="J108" s="5">
        <f t="shared" ref="J108:J111" si="55">IF(H$12=0,0,H108/H$12)</f>
        <v>3.7205501781125647E-4</v>
      </c>
      <c r="K108" s="1"/>
      <c r="L108" s="1">
        <f t="shared" ref="L108:L111" si="56">+D108-H108</f>
        <v>1680.56</v>
      </c>
      <c r="M108" s="1"/>
      <c r="N108" s="5">
        <f t="shared" ref="N108:N111" si="57">IF(H108=0,0,L108/H108)</f>
        <v>1.5854339622641509</v>
      </c>
      <c r="O108" s="14"/>
      <c r="P108" s="1">
        <f>SUM(OSRRefP22_11x_0)</f>
        <v>35636.1</v>
      </c>
      <c r="Q108" s="1"/>
      <c r="R108" s="5">
        <f t="shared" ref="R108:R111" si="58">IF(P$12=0,0,P108/P$12)</f>
        <v>2.749545651123991E-3</v>
      </c>
      <c r="S108" s="1"/>
      <c r="T108" s="1">
        <f>SUM(OSRRefT22_11x_0)</f>
        <v>19895</v>
      </c>
      <c r="U108" s="1"/>
      <c r="V108" s="5">
        <f t="shared" ref="V108:V111" si="59">IF(T$12=0,0,T108/T$12)</f>
        <v>1.3696520491736409E-3</v>
      </c>
      <c r="W108" s="1"/>
      <c r="X108" s="1">
        <f t="shared" ref="X108:X111" si="60">+P108-T108</f>
        <v>15741.099999999999</v>
      </c>
      <c r="Y108" s="1"/>
      <c r="Z108" s="5">
        <f t="shared" ref="Z108:Z111" si="61">IF(T108=0,0,X108/T108)</f>
        <v>0.79120884644383005</v>
      </c>
    </row>
    <row r="109" spans="1:26" s="24" customFormat="1" hidden="1" outlineLevel="2" x14ac:dyDescent="0.3">
      <c r="A109" s="27"/>
      <c r="B109" s="11" t="str">
        <f>CONCATENATE("          ", "6269", " - ", "ENTERTAINMENT")</f>
        <v xml:space="preserve">          6269 - ENTERTAINMENT</v>
      </c>
      <c r="C109" s="11"/>
      <c r="D109" s="7"/>
      <c r="E109" s="2"/>
      <c r="F109" s="6">
        <f t="shared" si="54"/>
        <v>0</v>
      </c>
      <c r="G109" s="2"/>
      <c r="H109" s="7">
        <v>250</v>
      </c>
      <c r="I109" s="2"/>
      <c r="J109" s="6">
        <f t="shared" si="55"/>
        <v>8.7748824955485014E-5</v>
      </c>
      <c r="K109" s="2"/>
      <c r="L109" s="7">
        <f t="shared" si="56"/>
        <v>-250</v>
      </c>
      <c r="M109" s="2"/>
      <c r="N109" s="6">
        <f t="shared" si="57"/>
        <v>-1</v>
      </c>
      <c r="O109" s="11"/>
      <c r="P109" s="7"/>
      <c r="Q109" s="2"/>
      <c r="R109" s="6">
        <f t="shared" si="58"/>
        <v>0</v>
      </c>
      <c r="S109" s="2"/>
      <c r="T109" s="7">
        <v>250</v>
      </c>
      <c r="U109" s="2"/>
      <c r="V109" s="6">
        <f t="shared" si="59"/>
        <v>1.72110084088168E-5</v>
      </c>
      <c r="W109" s="2"/>
      <c r="X109" s="7">
        <f t="shared" si="60"/>
        <v>-250</v>
      </c>
      <c r="Y109" s="2"/>
      <c r="Z109" s="6">
        <f t="shared" si="61"/>
        <v>-1</v>
      </c>
    </row>
    <row r="110" spans="1:26" s="24" customFormat="1" hidden="1" outlineLevel="2" x14ac:dyDescent="0.3">
      <c r="A110" s="27"/>
      <c r="B110" s="11" t="str">
        <f>CONCATENATE("          ", "6276", " - ", "PROPERTY TAX")</f>
        <v xml:space="preserve">          6276 - PROPERTY TAX</v>
      </c>
      <c r="C110" s="11"/>
      <c r="D110" s="7"/>
      <c r="E110" s="2"/>
      <c r="F110" s="6">
        <f t="shared" si="54"/>
        <v>0</v>
      </c>
      <c r="G110" s="2"/>
      <c r="H110" s="7"/>
      <c r="I110" s="2"/>
      <c r="J110" s="6">
        <f t="shared" si="55"/>
        <v>0</v>
      </c>
      <c r="K110" s="2"/>
      <c r="L110" s="7">
        <f t="shared" si="56"/>
        <v>0</v>
      </c>
      <c r="M110" s="2"/>
      <c r="N110" s="6">
        <f t="shared" si="57"/>
        <v>0</v>
      </c>
      <c r="O110" s="11"/>
      <c r="P110" s="7"/>
      <c r="Q110" s="2"/>
      <c r="R110" s="6">
        <f t="shared" si="58"/>
        <v>0</v>
      </c>
      <c r="S110" s="2"/>
      <c r="T110" s="7">
        <v>1250</v>
      </c>
      <c r="U110" s="2"/>
      <c r="V110" s="6">
        <f t="shared" si="59"/>
        <v>8.6055042044083996E-5</v>
      </c>
      <c r="W110" s="2"/>
      <c r="X110" s="7">
        <f t="shared" si="60"/>
        <v>-1250</v>
      </c>
      <c r="Y110" s="2"/>
      <c r="Z110" s="6">
        <f t="shared" si="61"/>
        <v>-1</v>
      </c>
    </row>
    <row r="111" spans="1:26" s="24" customFormat="1" hidden="1" outlineLevel="2" x14ac:dyDescent="0.3">
      <c r="A111" s="27"/>
      <c r="B111" s="11" t="str">
        <f>CONCATENATE("          ", "6279", " - ", "GENERAL EXPENSE")</f>
        <v xml:space="preserve">          6279 - GENERAL EXPENSE</v>
      </c>
      <c r="C111" s="11"/>
      <c r="D111" s="7">
        <v>2740.56</v>
      </c>
      <c r="E111" s="2"/>
      <c r="F111" s="6">
        <f t="shared" si="54"/>
        <v>1.7289186019033131E-3</v>
      </c>
      <c r="G111" s="2"/>
      <c r="H111" s="7">
        <v>810</v>
      </c>
      <c r="I111" s="2"/>
      <c r="J111" s="6">
        <f t="shared" si="55"/>
        <v>2.8430619285577146E-4</v>
      </c>
      <c r="K111" s="2"/>
      <c r="L111" s="7">
        <f t="shared" si="56"/>
        <v>1930.56</v>
      </c>
      <c r="M111" s="2"/>
      <c r="N111" s="6">
        <f t="shared" si="57"/>
        <v>2.3834074074074074</v>
      </c>
      <c r="O111" s="11"/>
      <c r="P111" s="7">
        <v>35636.1</v>
      </c>
      <c r="Q111" s="2"/>
      <c r="R111" s="6">
        <f t="shared" si="58"/>
        <v>2.749545651123991E-3</v>
      </c>
      <c r="S111" s="2"/>
      <c r="T111" s="7">
        <v>18395</v>
      </c>
      <c r="U111" s="2"/>
      <c r="V111" s="6">
        <f t="shared" si="59"/>
        <v>1.2663859987207401E-3</v>
      </c>
      <c r="W111" s="2"/>
      <c r="X111" s="7">
        <f t="shared" si="60"/>
        <v>17241.099999999999</v>
      </c>
      <c r="Y111" s="2"/>
      <c r="Z111" s="6">
        <f t="shared" si="61"/>
        <v>0.93727099755368304</v>
      </c>
    </row>
    <row r="112" spans="1:26" s="28" customFormat="1" outlineLevel="1" collapsed="1" x14ac:dyDescent="0.3">
      <c r="A112" s="29"/>
      <c r="B112" s="14" t="str">
        <f>CONCATENATE("     ","Insurance                                         ")</f>
        <v xml:space="preserve">     Insurance                                         </v>
      </c>
      <c r="C112" s="14"/>
      <c r="D112" s="1">
        <f>SUM(OSRRefD22_12x_0)</f>
        <v>11626.43</v>
      </c>
      <c r="E112" s="1"/>
      <c r="F112" s="5">
        <f t="shared" ref="F112:F128" si="62">IF(D$12=0,0,D112/D$12)</f>
        <v>7.3346874728985089E-3</v>
      </c>
      <c r="G112" s="1"/>
      <c r="H112" s="1">
        <f>SUM(OSRRefH22_12x_0)</f>
        <v>11425</v>
      </c>
      <c r="I112" s="1"/>
      <c r="J112" s="5">
        <f t="shared" ref="J112:J128" si="63">IF(H$12=0,0,H112/H$12)</f>
        <v>4.0101213004656655E-3</v>
      </c>
      <c r="K112" s="1"/>
      <c r="L112" s="1">
        <f t="shared" ref="L112:L128" si="64">+D112-H112</f>
        <v>201.43000000000029</v>
      </c>
      <c r="M112" s="1"/>
      <c r="N112" s="5">
        <f t="shared" ref="N112:N128" si="65">IF(H112=0,0,L112/H112)</f>
        <v>1.7630634573304185E-2</v>
      </c>
      <c r="O112" s="14"/>
      <c r="P112" s="1">
        <f>SUM(OSRRefP22_12x_0)</f>
        <v>88268.02</v>
      </c>
      <c r="Q112" s="1"/>
      <c r="R112" s="5">
        <f t="shared" ref="R112:R128" si="66">IF(P$12=0,0,P112/P$12)</f>
        <v>6.8104239948907292E-3</v>
      </c>
      <c r="S112" s="1"/>
      <c r="T112" s="1">
        <f>SUM(OSRRefT22_12x_0)</f>
        <v>79975</v>
      </c>
      <c r="U112" s="1"/>
      <c r="V112" s="5">
        <f t="shared" ref="V112:V128" si="67">IF(T$12=0,0,T112/T$12)</f>
        <v>5.5058015899804944E-3</v>
      </c>
      <c r="W112" s="1"/>
      <c r="X112" s="1">
        <f t="shared" ref="X112:X128" si="68">+P112-T112</f>
        <v>8293.0200000000041</v>
      </c>
      <c r="Y112" s="1"/>
      <c r="Z112" s="5">
        <f t="shared" ref="Z112:Z128" si="69">IF(T112=0,0,X112/T112)</f>
        <v>0.103695154735855</v>
      </c>
    </row>
    <row r="113" spans="1:26" s="24" customFormat="1" hidden="1" outlineLevel="2" x14ac:dyDescent="0.3">
      <c r="A113" s="27"/>
      <c r="B113" s="11" t="str">
        <f>CONCATENATE("          ", "6314", " - ", "LIABILITY INSURANCE")</f>
        <v xml:space="preserve">          6314 - LIABILITY INSURANCE</v>
      </c>
      <c r="C113" s="11"/>
      <c r="D113" s="7">
        <v>11626.43</v>
      </c>
      <c r="E113" s="2"/>
      <c r="F113" s="6">
        <f t="shared" si="62"/>
        <v>7.3346874728985089E-3</v>
      </c>
      <c r="G113" s="2"/>
      <c r="H113" s="7">
        <v>11425</v>
      </c>
      <c r="I113" s="2"/>
      <c r="J113" s="6">
        <f t="shared" si="63"/>
        <v>4.0101213004656655E-3</v>
      </c>
      <c r="K113" s="2"/>
      <c r="L113" s="7">
        <f t="shared" si="64"/>
        <v>201.43000000000029</v>
      </c>
      <c r="M113" s="2"/>
      <c r="N113" s="6">
        <f t="shared" si="65"/>
        <v>1.7630634573304185E-2</v>
      </c>
      <c r="O113" s="11"/>
      <c r="P113" s="7">
        <v>88268.02</v>
      </c>
      <c r="Q113" s="2"/>
      <c r="R113" s="6">
        <f t="shared" si="66"/>
        <v>6.8104239948907292E-3</v>
      </c>
      <c r="S113" s="2"/>
      <c r="T113" s="7">
        <v>79975</v>
      </c>
      <c r="U113" s="2"/>
      <c r="V113" s="6">
        <f t="shared" si="67"/>
        <v>5.5058015899804944E-3</v>
      </c>
      <c r="W113" s="2"/>
      <c r="X113" s="7">
        <f t="shared" si="68"/>
        <v>8293.0200000000041</v>
      </c>
      <c r="Y113" s="2"/>
      <c r="Z113" s="6">
        <f t="shared" si="69"/>
        <v>0.103695154735855</v>
      </c>
    </row>
    <row r="114" spans="1:26" s="28" customFormat="1" outlineLevel="1" collapsed="1" x14ac:dyDescent="0.3">
      <c r="A114" s="29"/>
      <c r="B114" s="14" t="str">
        <f>CONCATENATE("     ","Interest                                          ")</f>
        <v xml:space="preserve">     Interest                                          </v>
      </c>
      <c r="C114" s="14"/>
      <c r="D114" s="1">
        <f>SUM(OSRRefD22_13x_0)</f>
        <v>11158</v>
      </c>
      <c r="E114" s="1"/>
      <c r="F114" s="5">
        <f t="shared" si="62"/>
        <v>7.0391721983963746E-3</v>
      </c>
      <c r="G114" s="1"/>
      <c r="H114" s="1">
        <f>SUM(OSRRefH22_13x_0)</f>
        <v>11158</v>
      </c>
      <c r="I114" s="1"/>
      <c r="J114" s="5">
        <f t="shared" si="63"/>
        <v>3.9164055554132072E-3</v>
      </c>
      <c r="K114" s="1"/>
      <c r="L114" s="1">
        <f t="shared" si="64"/>
        <v>0</v>
      </c>
      <c r="M114" s="1"/>
      <c r="N114" s="5">
        <f t="shared" si="65"/>
        <v>0</v>
      </c>
      <c r="O114" s="14"/>
      <c r="P114" s="1">
        <f>SUM(OSRRefP22_13x_0)</f>
        <v>77316</v>
      </c>
      <c r="Q114" s="1"/>
      <c r="R114" s="5">
        <f t="shared" si="66"/>
        <v>5.9654078746636842E-3</v>
      </c>
      <c r="S114" s="1"/>
      <c r="T114" s="1">
        <f>SUM(OSRRefT22_13x_0)</f>
        <v>78106</v>
      </c>
      <c r="U114" s="1"/>
      <c r="V114" s="5">
        <f t="shared" si="67"/>
        <v>5.3771320911161803E-3</v>
      </c>
      <c r="W114" s="1"/>
      <c r="X114" s="1">
        <f t="shared" si="68"/>
        <v>-790</v>
      </c>
      <c r="Y114" s="1"/>
      <c r="Z114" s="5">
        <f t="shared" si="69"/>
        <v>-1.011445983663227E-2</v>
      </c>
    </row>
    <row r="115" spans="1:26" s="24" customFormat="1" hidden="1" outlineLevel="2" x14ac:dyDescent="0.3">
      <c r="A115" s="27"/>
      <c r="B115" s="11" t="str">
        <f>CONCATENATE("          ", "6401", " - ", "INTEREST EXPENSE")</f>
        <v xml:space="preserve">          6401 - INTEREST EXPENSE</v>
      </c>
      <c r="C115" s="11"/>
      <c r="D115" s="7">
        <v>11158</v>
      </c>
      <c r="E115" s="2"/>
      <c r="F115" s="6">
        <f t="shared" si="62"/>
        <v>7.0391721983963746E-3</v>
      </c>
      <c r="G115" s="2"/>
      <c r="H115" s="7">
        <v>11158</v>
      </c>
      <c r="I115" s="2"/>
      <c r="J115" s="6">
        <f t="shared" si="63"/>
        <v>3.9164055554132072E-3</v>
      </c>
      <c r="K115" s="2"/>
      <c r="L115" s="7">
        <f t="shared" si="64"/>
        <v>0</v>
      </c>
      <c r="M115" s="2"/>
      <c r="N115" s="6">
        <f t="shared" si="65"/>
        <v>0</v>
      </c>
      <c r="O115" s="11"/>
      <c r="P115" s="7">
        <v>77316</v>
      </c>
      <c r="Q115" s="2"/>
      <c r="R115" s="6">
        <f t="shared" si="66"/>
        <v>5.9654078746636842E-3</v>
      </c>
      <c r="S115" s="2"/>
      <c r="T115" s="7">
        <v>78106</v>
      </c>
      <c r="U115" s="2"/>
      <c r="V115" s="6">
        <f t="shared" si="67"/>
        <v>5.3771320911161803E-3</v>
      </c>
      <c r="W115" s="2"/>
      <c r="X115" s="7">
        <f t="shared" si="68"/>
        <v>-790</v>
      </c>
      <c r="Y115" s="2"/>
      <c r="Z115" s="6">
        <f t="shared" si="69"/>
        <v>-1.011445983663227E-2</v>
      </c>
    </row>
    <row r="116" spans="1:26" s="28" customFormat="1" outlineLevel="1" collapsed="1" x14ac:dyDescent="0.3">
      <c r="A116" s="29"/>
      <c r="B116" s="14" t="str">
        <f>CONCATENATE("     ","Inventory Adjustment                              ")</f>
        <v xml:space="preserve">     Inventory Adjustment                              </v>
      </c>
      <c r="C116" s="14"/>
      <c r="D116" s="1">
        <f>SUM(OSRRefD22_14x_0)</f>
        <v>6070</v>
      </c>
      <c r="E116" s="1"/>
      <c r="F116" s="5">
        <f t="shared" si="62"/>
        <v>3.8293399573638637E-3</v>
      </c>
      <c r="G116" s="1"/>
      <c r="H116" s="1">
        <f>SUM(OSRRefH22_14x_0)</f>
        <v>6070</v>
      </c>
      <c r="I116" s="1"/>
      <c r="J116" s="5">
        <f t="shared" si="63"/>
        <v>2.1305414699191762E-3</v>
      </c>
      <c r="K116" s="1"/>
      <c r="L116" s="1">
        <f t="shared" si="64"/>
        <v>0</v>
      </c>
      <c r="M116" s="1"/>
      <c r="N116" s="5">
        <f t="shared" si="65"/>
        <v>0</v>
      </c>
      <c r="O116" s="14"/>
      <c r="P116" s="1">
        <f>SUM(OSRRefP22_14x_0)</f>
        <v>46310</v>
      </c>
      <c r="Q116" s="1"/>
      <c r="R116" s="5">
        <f t="shared" si="66"/>
        <v>3.573103092188877E-3</v>
      </c>
      <c r="S116" s="1"/>
      <c r="T116" s="1">
        <f>SUM(OSRRefT22_14x_0)</f>
        <v>47020</v>
      </c>
      <c r="U116" s="1"/>
      <c r="V116" s="5">
        <f t="shared" si="67"/>
        <v>3.2370464615302636E-3</v>
      </c>
      <c r="W116" s="1"/>
      <c r="X116" s="1">
        <f t="shared" si="68"/>
        <v>-710</v>
      </c>
      <c r="Y116" s="1"/>
      <c r="Z116" s="5">
        <f t="shared" si="69"/>
        <v>-1.509995746490855E-2</v>
      </c>
    </row>
    <row r="117" spans="1:26" s="24" customFormat="1" hidden="1" outlineLevel="2" x14ac:dyDescent="0.3">
      <c r="A117" s="27"/>
      <c r="B117" s="11" t="str">
        <f>CONCATENATE("          ", "6408", " - ", "INVENTORY ADJUSTMENT")</f>
        <v xml:space="preserve">          6408 - INVENTORY ADJUSTMENT</v>
      </c>
      <c r="C117" s="11"/>
      <c r="D117" s="7">
        <v>6070</v>
      </c>
      <c r="E117" s="2"/>
      <c r="F117" s="6">
        <f t="shared" si="62"/>
        <v>3.8293399573638637E-3</v>
      </c>
      <c r="G117" s="2"/>
      <c r="H117" s="7">
        <v>6070</v>
      </c>
      <c r="I117" s="2"/>
      <c r="J117" s="6">
        <f t="shared" si="63"/>
        <v>2.1305414699191762E-3</v>
      </c>
      <c r="K117" s="2"/>
      <c r="L117" s="7">
        <f t="shared" si="64"/>
        <v>0</v>
      </c>
      <c r="M117" s="2"/>
      <c r="N117" s="6">
        <f t="shared" si="65"/>
        <v>0</v>
      </c>
      <c r="O117" s="11"/>
      <c r="P117" s="7">
        <v>46310</v>
      </c>
      <c r="Q117" s="2"/>
      <c r="R117" s="6">
        <f t="shared" si="66"/>
        <v>3.573103092188877E-3</v>
      </c>
      <c r="S117" s="2"/>
      <c r="T117" s="7">
        <v>47020</v>
      </c>
      <c r="U117" s="2"/>
      <c r="V117" s="6">
        <f t="shared" si="67"/>
        <v>3.2370464615302636E-3</v>
      </c>
      <c r="W117" s="2"/>
      <c r="X117" s="7">
        <f t="shared" si="68"/>
        <v>-710</v>
      </c>
      <c r="Y117" s="2"/>
      <c r="Z117" s="6">
        <f t="shared" si="69"/>
        <v>-1.509995746490855E-2</v>
      </c>
    </row>
    <row r="118" spans="1:26" s="28" customFormat="1" outlineLevel="1" collapsed="1" x14ac:dyDescent="0.3">
      <c r="A118" s="29"/>
      <c r="B118" s="14" t="str">
        <f>CONCATENATE("     ","Professional Services                             ")</f>
        <v xml:space="preserve">     Professional Services                             </v>
      </c>
      <c r="C118" s="14"/>
      <c r="D118" s="1">
        <f>SUM(OSRRefD22_15x_0)</f>
        <v>0</v>
      </c>
      <c r="E118" s="1"/>
      <c r="F118" s="5">
        <f t="shared" si="62"/>
        <v>0</v>
      </c>
      <c r="G118" s="1"/>
      <c r="H118" s="1">
        <f>SUM(OSRRefH22_15x_0)</f>
        <v>250</v>
      </c>
      <c r="I118" s="1"/>
      <c r="J118" s="5">
        <f t="shared" si="63"/>
        <v>8.7748824955485014E-5</v>
      </c>
      <c r="K118" s="1"/>
      <c r="L118" s="1">
        <f t="shared" si="64"/>
        <v>-250</v>
      </c>
      <c r="M118" s="1"/>
      <c r="N118" s="5">
        <f t="shared" si="65"/>
        <v>-1</v>
      </c>
      <c r="O118" s="14"/>
      <c r="P118" s="1">
        <f>SUM(OSRRefP22_15x_0)</f>
        <v>8186.53</v>
      </c>
      <c r="Q118" s="1"/>
      <c r="R118" s="5">
        <f t="shared" si="66"/>
        <v>6.3164145232772633E-4</v>
      </c>
      <c r="S118" s="1"/>
      <c r="T118" s="1">
        <f>SUM(OSRRefT22_15x_0)</f>
        <v>1500</v>
      </c>
      <c r="U118" s="1"/>
      <c r="V118" s="5">
        <f t="shared" si="67"/>
        <v>1.0326605045290081E-4</v>
      </c>
      <c r="W118" s="1"/>
      <c r="X118" s="1">
        <f t="shared" si="68"/>
        <v>6686.53</v>
      </c>
      <c r="Y118" s="1"/>
      <c r="Z118" s="5">
        <f t="shared" si="69"/>
        <v>4.4576866666666666</v>
      </c>
    </row>
    <row r="119" spans="1:26" s="24" customFormat="1" hidden="1" outlineLevel="2" x14ac:dyDescent="0.3">
      <c r="A119" s="27"/>
      <c r="B119" s="11" t="str">
        <f>CONCATENATE("          ", "6336", " - ", "PROFESSIONAL SERVICES")</f>
        <v xml:space="preserve">          6336 - PROFESSIONAL SERVICES</v>
      </c>
      <c r="C119" s="11"/>
      <c r="D119" s="7"/>
      <c r="E119" s="2"/>
      <c r="F119" s="6">
        <f t="shared" si="62"/>
        <v>0</v>
      </c>
      <c r="G119" s="2"/>
      <c r="H119" s="7">
        <v>250</v>
      </c>
      <c r="I119" s="2"/>
      <c r="J119" s="6">
        <f t="shared" si="63"/>
        <v>8.7748824955485014E-5</v>
      </c>
      <c r="K119" s="2"/>
      <c r="L119" s="7">
        <f t="shared" si="64"/>
        <v>-250</v>
      </c>
      <c r="M119" s="2"/>
      <c r="N119" s="6">
        <f t="shared" si="65"/>
        <v>-1</v>
      </c>
      <c r="O119" s="11"/>
      <c r="P119" s="7">
        <v>8186.53</v>
      </c>
      <c r="Q119" s="2"/>
      <c r="R119" s="6">
        <f t="shared" si="66"/>
        <v>6.3164145232772633E-4</v>
      </c>
      <c r="S119" s="2"/>
      <c r="T119" s="7">
        <v>1500</v>
      </c>
      <c r="U119" s="2"/>
      <c r="V119" s="6">
        <f t="shared" si="67"/>
        <v>1.0326605045290081E-4</v>
      </c>
      <c r="W119" s="2"/>
      <c r="X119" s="7">
        <f t="shared" si="68"/>
        <v>6686.53</v>
      </c>
      <c r="Y119" s="2"/>
      <c r="Z119" s="6">
        <f t="shared" si="69"/>
        <v>4.4576866666666666</v>
      </c>
    </row>
    <row r="120" spans="1:26" s="28" customFormat="1" outlineLevel="1" collapsed="1" x14ac:dyDescent="0.3">
      <c r="A120" s="29"/>
      <c r="B120" s="14" t="str">
        <f>CONCATENATE("     ","R/H Commissions                                   ")</f>
        <v xml:space="preserve">     R/H Commissions                                   </v>
      </c>
      <c r="C120" s="14"/>
      <c r="D120" s="1">
        <f>SUM(OSRRefD22_16x_0)</f>
        <v>49958.66</v>
      </c>
      <c r="E120" s="1"/>
      <c r="F120" s="5">
        <f t="shared" si="62"/>
        <v>3.1517082859037197E-2</v>
      </c>
      <c r="G120" s="1"/>
      <c r="H120" s="1">
        <f>SUM(OSRRefH22_16x_0)</f>
        <v>35482</v>
      </c>
      <c r="I120" s="1"/>
      <c r="J120" s="5">
        <f t="shared" si="63"/>
        <v>1.2454015228282078E-2</v>
      </c>
      <c r="K120" s="1"/>
      <c r="L120" s="1">
        <f t="shared" si="64"/>
        <v>14476.660000000003</v>
      </c>
      <c r="M120" s="1"/>
      <c r="N120" s="5">
        <f t="shared" si="65"/>
        <v>0.40800011273321696</v>
      </c>
      <c r="O120" s="14"/>
      <c r="P120" s="1">
        <f>SUM(OSRRefP22_16x_0)</f>
        <v>499627.4</v>
      </c>
      <c r="Q120" s="1"/>
      <c r="R120" s="5">
        <f t="shared" si="66"/>
        <v>3.8549345883875812E-2</v>
      </c>
      <c r="S120" s="1"/>
      <c r="T120" s="1">
        <f>SUM(OSRRefT22_16x_0)</f>
        <v>394589</v>
      </c>
      <c r="U120" s="1"/>
      <c r="V120" s="5">
        <f t="shared" si="67"/>
        <v>2.7165098388106448E-2</v>
      </c>
      <c r="W120" s="1"/>
      <c r="X120" s="1">
        <f t="shared" si="68"/>
        <v>105038.40000000002</v>
      </c>
      <c r="Y120" s="1"/>
      <c r="Z120" s="5">
        <f t="shared" si="69"/>
        <v>0.2661969796421087</v>
      </c>
    </row>
    <row r="121" spans="1:26" s="24" customFormat="1" hidden="1" outlineLevel="2" x14ac:dyDescent="0.3">
      <c r="A121" s="27"/>
      <c r="B121" s="11" t="str">
        <f>CONCATENATE("          ", "6387", " - ", "COMMISSION DUE HOUSING")</f>
        <v xml:space="preserve">          6387 - COMMISSION DUE HOUSING</v>
      </c>
      <c r="C121" s="11"/>
      <c r="D121" s="7">
        <v>49958.66</v>
      </c>
      <c r="E121" s="2"/>
      <c r="F121" s="6">
        <f t="shared" si="62"/>
        <v>3.1517082859037197E-2</v>
      </c>
      <c r="G121" s="2"/>
      <c r="H121" s="7">
        <v>35482</v>
      </c>
      <c r="I121" s="2"/>
      <c r="J121" s="6">
        <f t="shared" si="63"/>
        <v>1.2454015228282078E-2</v>
      </c>
      <c r="K121" s="2"/>
      <c r="L121" s="7">
        <f t="shared" si="64"/>
        <v>14476.660000000003</v>
      </c>
      <c r="M121" s="2"/>
      <c r="N121" s="6">
        <f t="shared" si="65"/>
        <v>0.40800011273321696</v>
      </c>
      <c r="O121" s="11"/>
      <c r="P121" s="7">
        <v>499627.4</v>
      </c>
      <c r="Q121" s="2"/>
      <c r="R121" s="6">
        <f t="shared" si="66"/>
        <v>3.8549345883875812E-2</v>
      </c>
      <c r="S121" s="2"/>
      <c r="T121" s="7">
        <v>394589</v>
      </c>
      <c r="U121" s="2"/>
      <c r="V121" s="6">
        <f t="shared" si="67"/>
        <v>2.7165098388106448E-2</v>
      </c>
      <c r="W121" s="2"/>
      <c r="X121" s="7">
        <f t="shared" si="68"/>
        <v>105038.40000000002</v>
      </c>
      <c r="Y121" s="2"/>
      <c r="Z121" s="6">
        <f t="shared" si="69"/>
        <v>0.2661969796421087</v>
      </c>
    </row>
    <row r="122" spans="1:26" s="28" customFormat="1" outlineLevel="1" collapsed="1" x14ac:dyDescent="0.3">
      <c r="A122" s="29"/>
      <c r="B122" s="14" t="str">
        <f>CONCATENATE("     ","Rent                                              ")</f>
        <v xml:space="preserve">     Rent                                              </v>
      </c>
      <c r="C122" s="14"/>
      <c r="D122" s="1">
        <f>SUM(OSRRefD22_17x_0)</f>
        <v>8750</v>
      </c>
      <c r="E122" s="1"/>
      <c r="F122" s="5">
        <f t="shared" si="62"/>
        <v>5.5200534805492267E-3</v>
      </c>
      <c r="G122" s="1"/>
      <c r="H122" s="1">
        <f>SUM(OSRRefH22_17x_0)</f>
        <v>8750</v>
      </c>
      <c r="I122" s="1"/>
      <c r="J122" s="5">
        <f t="shared" si="63"/>
        <v>3.0712088734419756E-3</v>
      </c>
      <c r="K122" s="1"/>
      <c r="L122" s="1">
        <f t="shared" si="64"/>
        <v>0</v>
      </c>
      <c r="M122" s="1"/>
      <c r="N122" s="5">
        <f t="shared" si="65"/>
        <v>0</v>
      </c>
      <c r="O122" s="14"/>
      <c r="P122" s="1">
        <f>SUM(OSRRefP22_17x_0)</f>
        <v>61250</v>
      </c>
      <c r="Q122" s="1"/>
      <c r="R122" s="5">
        <f t="shared" si="66"/>
        <v>4.7258165492673008E-3</v>
      </c>
      <c r="S122" s="1"/>
      <c r="T122" s="1">
        <f>SUM(OSRRefT22_17x_0)</f>
        <v>61250</v>
      </c>
      <c r="U122" s="1"/>
      <c r="V122" s="5">
        <f t="shared" si="67"/>
        <v>4.2166970601601158E-3</v>
      </c>
      <c r="W122" s="1"/>
      <c r="X122" s="1">
        <f t="shared" si="68"/>
        <v>0</v>
      </c>
      <c r="Y122" s="1"/>
      <c r="Z122" s="5">
        <f t="shared" si="69"/>
        <v>0</v>
      </c>
    </row>
    <row r="123" spans="1:26" s="24" customFormat="1" hidden="1" outlineLevel="2" x14ac:dyDescent="0.3">
      <c r="A123" s="27"/>
      <c r="B123" s="11" t="str">
        <f>CONCATENATE("          ", "6273", " - ", "RENT")</f>
        <v xml:space="preserve">          6273 - RENT</v>
      </c>
      <c r="C123" s="11"/>
      <c r="D123" s="7">
        <v>8750</v>
      </c>
      <c r="E123" s="2"/>
      <c r="F123" s="6">
        <f t="shared" si="62"/>
        <v>5.5200534805492267E-3</v>
      </c>
      <c r="G123" s="2"/>
      <c r="H123" s="7">
        <v>8750</v>
      </c>
      <c r="I123" s="2"/>
      <c r="J123" s="6">
        <f t="shared" si="63"/>
        <v>3.0712088734419756E-3</v>
      </c>
      <c r="K123" s="2"/>
      <c r="L123" s="7">
        <f t="shared" si="64"/>
        <v>0</v>
      </c>
      <c r="M123" s="2"/>
      <c r="N123" s="6">
        <f t="shared" si="65"/>
        <v>0</v>
      </c>
      <c r="O123" s="11"/>
      <c r="P123" s="7">
        <v>61250</v>
      </c>
      <c r="Q123" s="2"/>
      <c r="R123" s="6">
        <f t="shared" si="66"/>
        <v>4.7258165492673008E-3</v>
      </c>
      <c r="S123" s="2"/>
      <c r="T123" s="7">
        <v>61250</v>
      </c>
      <c r="U123" s="2"/>
      <c r="V123" s="6">
        <f t="shared" si="67"/>
        <v>4.2166970601601158E-3</v>
      </c>
      <c r="W123" s="2"/>
      <c r="X123" s="7">
        <f t="shared" si="68"/>
        <v>0</v>
      </c>
      <c r="Y123" s="2"/>
      <c r="Z123" s="6">
        <f t="shared" si="69"/>
        <v>0</v>
      </c>
    </row>
    <row r="124" spans="1:26" s="28" customFormat="1" outlineLevel="1" collapsed="1" x14ac:dyDescent="0.3">
      <c r="A124" s="29"/>
      <c r="B124" s="14" t="str">
        <f>CONCATENATE("     ","Repair and Maintenance                            ")</f>
        <v xml:space="preserve">     Repair and Maintenance                            </v>
      </c>
      <c r="C124" s="14"/>
      <c r="D124" s="1">
        <f>SUM(OSRRefD22_18x_0)</f>
        <v>21476.55</v>
      </c>
      <c r="E124" s="1"/>
      <c r="F124" s="5">
        <f t="shared" si="62"/>
        <v>1.3548766237450228E-2</v>
      </c>
      <c r="G124" s="1"/>
      <c r="H124" s="1">
        <f>SUM(OSRRefH22_18x_0)</f>
        <v>33526</v>
      </c>
      <c r="I124" s="1"/>
      <c r="J124" s="5">
        <f t="shared" si="63"/>
        <v>1.1767468421830364E-2</v>
      </c>
      <c r="K124" s="1"/>
      <c r="L124" s="1">
        <f t="shared" si="64"/>
        <v>-12049.45</v>
      </c>
      <c r="M124" s="1"/>
      <c r="N124" s="5">
        <f t="shared" si="65"/>
        <v>-0.35940613255383885</v>
      </c>
      <c r="O124" s="14"/>
      <c r="P124" s="1">
        <f>SUM(OSRRefP22_18x_0)</f>
        <v>323645.82</v>
      </c>
      <c r="Q124" s="1"/>
      <c r="R124" s="5">
        <f t="shared" si="66"/>
        <v>2.4971277914403039E-2</v>
      </c>
      <c r="S124" s="1"/>
      <c r="T124" s="1">
        <f>SUM(OSRRefT22_18x_0)</f>
        <v>335259</v>
      </c>
      <c r="U124" s="1"/>
      <c r="V124" s="5">
        <f t="shared" si="67"/>
        <v>2.3080581872526047E-2</v>
      </c>
      <c r="W124" s="1"/>
      <c r="X124" s="1">
        <f t="shared" si="68"/>
        <v>-11613.179999999993</v>
      </c>
      <c r="Y124" s="1"/>
      <c r="Z124" s="5">
        <f t="shared" si="69"/>
        <v>-3.463942802430358E-2</v>
      </c>
    </row>
    <row r="125" spans="1:26" s="24" customFormat="1" hidden="1" outlineLevel="2" x14ac:dyDescent="0.3">
      <c r="A125" s="27"/>
      <c r="B125" s="11" t="str">
        <f>CONCATENATE("          ", "6371", " - ", "COMPUTER SOFTWARE MAINTENANCE")</f>
        <v xml:space="preserve">          6371 - COMPUTER SOFTWARE MAINTENANCE</v>
      </c>
      <c r="C125" s="11"/>
      <c r="D125" s="7">
        <v>3981.09</v>
      </c>
      <c r="E125" s="2"/>
      <c r="F125" s="6">
        <f t="shared" si="62"/>
        <v>2.5115233955291111E-3</v>
      </c>
      <c r="G125" s="2"/>
      <c r="H125" s="7">
        <v>4500</v>
      </c>
      <c r="I125" s="2"/>
      <c r="J125" s="6">
        <f t="shared" si="63"/>
        <v>1.5794788491987305E-3</v>
      </c>
      <c r="K125" s="2"/>
      <c r="L125" s="7">
        <f t="shared" si="64"/>
        <v>-518.90999999999985</v>
      </c>
      <c r="M125" s="2"/>
      <c r="N125" s="6">
        <f t="shared" si="65"/>
        <v>-0.1153133333333333</v>
      </c>
      <c r="O125" s="11"/>
      <c r="P125" s="7">
        <v>93828.17</v>
      </c>
      <c r="Q125" s="2"/>
      <c r="R125" s="6">
        <f t="shared" si="66"/>
        <v>7.2394239767096438E-3</v>
      </c>
      <c r="S125" s="2"/>
      <c r="T125" s="7">
        <v>198223</v>
      </c>
      <c r="U125" s="2"/>
      <c r="V125" s="6">
        <f t="shared" si="67"/>
        <v>1.364647087928357E-2</v>
      </c>
      <c r="W125" s="2"/>
      <c r="X125" s="7">
        <f t="shared" si="68"/>
        <v>-104394.83</v>
      </c>
      <c r="Y125" s="2"/>
      <c r="Z125" s="6">
        <f t="shared" si="69"/>
        <v>-0.52665346604581709</v>
      </c>
    </row>
    <row r="126" spans="1:26" s="24" customFormat="1" hidden="1" outlineLevel="2" x14ac:dyDescent="0.3">
      <c r="A126" s="27"/>
      <c r="B126" s="11" t="str">
        <f>CONCATENATE("          ", "6372", " - ", "COMPUTER HARDWARE MAINTENANCE")</f>
        <v xml:space="preserve">          6372 - COMPUTER HARDWARE MAINTENANCE</v>
      </c>
      <c r="C126" s="11"/>
      <c r="D126" s="7">
        <v>1555.65</v>
      </c>
      <c r="E126" s="2"/>
      <c r="F126" s="6">
        <f t="shared" si="62"/>
        <v>9.8140242251616066E-4</v>
      </c>
      <c r="G126" s="2"/>
      <c r="H126" s="7">
        <v>14950</v>
      </c>
      <c r="I126" s="2"/>
      <c r="J126" s="6">
        <f t="shared" si="63"/>
        <v>5.2473797323380044E-3</v>
      </c>
      <c r="K126" s="2"/>
      <c r="L126" s="7">
        <f t="shared" si="64"/>
        <v>-13394.35</v>
      </c>
      <c r="M126" s="2"/>
      <c r="N126" s="6">
        <f t="shared" si="65"/>
        <v>-0.89594314381270901</v>
      </c>
      <c r="O126" s="11"/>
      <c r="P126" s="7">
        <v>1555.65</v>
      </c>
      <c r="Q126" s="2"/>
      <c r="R126" s="6">
        <f t="shared" si="66"/>
        <v>1.2002802473253351E-4</v>
      </c>
      <c r="S126" s="2"/>
      <c r="T126" s="7">
        <v>53270</v>
      </c>
      <c r="U126" s="2"/>
      <c r="V126" s="6">
        <f t="shared" si="67"/>
        <v>3.667321671750684E-3</v>
      </c>
      <c r="W126" s="2"/>
      <c r="X126" s="7">
        <f t="shared" si="68"/>
        <v>-51714.35</v>
      </c>
      <c r="Y126" s="2"/>
      <c r="Z126" s="6">
        <f t="shared" si="69"/>
        <v>-0.9707968837995119</v>
      </c>
    </row>
    <row r="127" spans="1:26" s="24" customFormat="1" hidden="1" outlineLevel="2" x14ac:dyDescent="0.3">
      <c r="A127" s="27"/>
      <c r="B127" s="11" t="str">
        <f>CONCATENATE("          ", "6373", " - ", "MAINTENANCE CONTRACTS")</f>
        <v xml:space="preserve">          6373 - MAINTENANCE CONTRACTS</v>
      </c>
      <c r="C127" s="11"/>
      <c r="D127" s="7">
        <v>4151.88</v>
      </c>
      <c r="E127" s="2"/>
      <c r="F127" s="6">
        <f t="shared" si="62"/>
        <v>2.6192685308368828E-3</v>
      </c>
      <c r="G127" s="2"/>
      <c r="H127" s="7">
        <v>10635</v>
      </c>
      <c r="I127" s="2"/>
      <c r="J127" s="6">
        <f t="shared" si="63"/>
        <v>3.732835013606333E-3</v>
      </c>
      <c r="K127" s="2"/>
      <c r="L127" s="7">
        <f t="shared" si="64"/>
        <v>-6483.12</v>
      </c>
      <c r="M127" s="2"/>
      <c r="N127" s="6">
        <f t="shared" si="65"/>
        <v>-0.60960225669957691</v>
      </c>
      <c r="O127" s="11"/>
      <c r="P127" s="7">
        <v>153164.69</v>
      </c>
      <c r="Q127" s="2"/>
      <c r="R127" s="6">
        <f t="shared" si="66"/>
        <v>1.1817603702292179E-2</v>
      </c>
      <c r="S127" s="2"/>
      <c r="T127" s="7">
        <v>52286</v>
      </c>
      <c r="U127" s="2"/>
      <c r="V127" s="6">
        <f t="shared" si="67"/>
        <v>3.5995791426535807E-3</v>
      </c>
      <c r="W127" s="2"/>
      <c r="X127" s="7">
        <f t="shared" si="68"/>
        <v>100878.69</v>
      </c>
      <c r="Y127" s="2"/>
      <c r="Z127" s="6">
        <f t="shared" si="69"/>
        <v>1.9293633094901121</v>
      </c>
    </row>
    <row r="128" spans="1:26" s="24" customFormat="1" hidden="1" outlineLevel="2" x14ac:dyDescent="0.3">
      <c r="A128" s="27"/>
      <c r="B128" s="11" t="str">
        <f>CONCATENATE("          ", "6375", " - ", "OUTSIDE REPAIRS &amp; MAINTENANCE")</f>
        <v xml:space="preserve">          6375 - OUTSIDE REPAIRS &amp; MAINTENANCE</v>
      </c>
      <c r="C128" s="11"/>
      <c r="D128" s="7">
        <v>11787.93</v>
      </c>
      <c r="E128" s="2"/>
      <c r="F128" s="6">
        <f t="shared" si="62"/>
        <v>7.4365718885680745E-3</v>
      </c>
      <c r="G128" s="2"/>
      <c r="H128" s="7">
        <v>3441</v>
      </c>
      <c r="I128" s="2"/>
      <c r="J128" s="6">
        <f t="shared" si="63"/>
        <v>1.2077748266872959E-3</v>
      </c>
      <c r="K128" s="2"/>
      <c r="L128" s="7">
        <f t="shared" si="64"/>
        <v>8346.93</v>
      </c>
      <c r="M128" s="2"/>
      <c r="N128" s="6">
        <f t="shared" si="65"/>
        <v>2.4257279860505667</v>
      </c>
      <c r="O128" s="11"/>
      <c r="P128" s="7">
        <v>75097.31</v>
      </c>
      <c r="Q128" s="2"/>
      <c r="R128" s="6">
        <f t="shared" si="66"/>
        <v>5.7942222106686821E-3</v>
      </c>
      <c r="S128" s="2"/>
      <c r="T128" s="7">
        <v>31480</v>
      </c>
      <c r="U128" s="2"/>
      <c r="V128" s="6">
        <f t="shared" si="67"/>
        <v>2.1672101788382113E-3</v>
      </c>
      <c r="W128" s="2"/>
      <c r="X128" s="7">
        <f t="shared" si="68"/>
        <v>43617.31</v>
      </c>
      <c r="Y128" s="2"/>
      <c r="Z128" s="6">
        <f t="shared" si="69"/>
        <v>1.3855562261753493</v>
      </c>
    </row>
    <row r="129" spans="1:26" s="28" customFormat="1" outlineLevel="1" collapsed="1" x14ac:dyDescent="0.3">
      <c r="A129" s="29"/>
      <c r="B129" s="14" t="str">
        <f>CONCATENATE("     ","Royalty &amp; Commissions                             ")</f>
        <v xml:space="preserve">     Royalty &amp; Commissions                             </v>
      </c>
      <c r="C129" s="14"/>
      <c r="D129" s="1">
        <f>SUM(OSRRefD22_19x_0)</f>
        <v>23704.5</v>
      </c>
      <c r="E129" s="1"/>
      <c r="F129" s="5">
        <f t="shared" ref="F129:F133" si="70">IF(D$12=0,0,D129/D$12)</f>
        <v>1.4954298026249046E-2</v>
      </c>
      <c r="G129" s="1"/>
      <c r="H129" s="1">
        <f>SUM(OSRRefH22_19x_0)</f>
        <v>20055</v>
      </c>
      <c r="I129" s="1"/>
      <c r="J129" s="5">
        <f t="shared" ref="J129:J133" si="71">IF(H$12=0,0,H129/H$12)</f>
        <v>7.0392107379290084E-3</v>
      </c>
      <c r="K129" s="1"/>
      <c r="L129" s="1">
        <f t="shared" ref="L129:L133" si="72">+D129-H129</f>
        <v>3649.5</v>
      </c>
      <c r="M129" s="1"/>
      <c r="N129" s="5">
        <f t="shared" ref="N129:N133" si="73">IF(H129=0,0,L129/H129)</f>
        <v>0.18197456993268513</v>
      </c>
      <c r="O129" s="14"/>
      <c r="P129" s="1">
        <f>SUM(OSRRefP22_19x_0)</f>
        <v>47296.340000000004</v>
      </c>
      <c r="Q129" s="1"/>
      <c r="R129" s="5">
        <f t="shared" ref="R129:R133" si="74">IF(P$12=0,0,P129/P$12)</f>
        <v>3.6492053272126211E-3</v>
      </c>
      <c r="S129" s="1"/>
      <c r="T129" s="1">
        <f>SUM(OSRRefT22_19x_0)</f>
        <v>69419</v>
      </c>
      <c r="U129" s="1"/>
      <c r="V129" s="5">
        <f t="shared" ref="V129:V133" si="75">IF(T$12=0,0,T129/T$12)</f>
        <v>4.7790839709266142E-3</v>
      </c>
      <c r="W129" s="1"/>
      <c r="X129" s="1">
        <f t="shared" ref="X129:X133" si="76">+P129-T129</f>
        <v>-22122.659999999996</v>
      </c>
      <c r="Y129" s="1"/>
      <c r="Z129" s="5">
        <f t="shared" ref="Z129:Z133" si="77">IF(T129=0,0,X129/T129)</f>
        <v>-0.3186830694766562</v>
      </c>
    </row>
    <row r="130" spans="1:26" s="24" customFormat="1" hidden="1" outlineLevel="2" x14ac:dyDescent="0.3">
      <c r="A130" s="27"/>
      <c r="B130" s="11" t="str">
        <f>CONCATENATE("          ", "6252", " - ", "ROYALTY DUE CSTV")</f>
        <v xml:space="preserve">          6252 - ROYALTY DUE CSTV</v>
      </c>
      <c r="C130" s="11"/>
      <c r="D130" s="7"/>
      <c r="E130" s="2"/>
      <c r="F130" s="6">
        <f t="shared" si="70"/>
        <v>0</v>
      </c>
      <c r="G130" s="2"/>
      <c r="H130" s="7">
        <v>821</v>
      </c>
      <c r="I130" s="2"/>
      <c r="J130" s="6">
        <f t="shared" si="71"/>
        <v>2.8816714115381279E-4</v>
      </c>
      <c r="K130" s="2"/>
      <c r="L130" s="7">
        <f t="shared" si="72"/>
        <v>-821</v>
      </c>
      <c r="M130" s="2"/>
      <c r="N130" s="6">
        <f t="shared" si="73"/>
        <v>-1</v>
      </c>
      <c r="O130" s="11"/>
      <c r="P130" s="7"/>
      <c r="Q130" s="2"/>
      <c r="R130" s="6">
        <f t="shared" si="74"/>
        <v>0</v>
      </c>
      <c r="S130" s="2"/>
      <c r="T130" s="7">
        <v>11051</v>
      </c>
      <c r="U130" s="2"/>
      <c r="V130" s="6">
        <f t="shared" si="75"/>
        <v>7.6079541570333784E-4</v>
      </c>
      <c r="W130" s="2"/>
      <c r="X130" s="7">
        <f t="shared" si="76"/>
        <v>-11051</v>
      </c>
      <c r="Y130" s="2"/>
      <c r="Z130" s="6">
        <f t="shared" si="77"/>
        <v>-1</v>
      </c>
    </row>
    <row r="131" spans="1:26" s="24" customFormat="1" hidden="1" outlineLevel="2" x14ac:dyDescent="0.3">
      <c r="A131" s="27"/>
      <c r="B131" s="11" t="str">
        <f>CONCATENATE("          ", "6253", " - ", "ROYALTY DUE ATHLETICS-LRG")</f>
        <v xml:space="preserve">          6253 - ROYALTY DUE ATHLETICS-LRG</v>
      </c>
      <c r="C131" s="11"/>
      <c r="D131" s="7">
        <v>16060.87</v>
      </c>
      <c r="E131" s="2"/>
      <c r="F131" s="6">
        <f t="shared" si="70"/>
        <v>1.0132212725045562E-2</v>
      </c>
      <c r="G131" s="2"/>
      <c r="H131" s="7">
        <v>7785</v>
      </c>
      <c r="I131" s="2"/>
      <c r="J131" s="6">
        <f t="shared" si="71"/>
        <v>2.7324984091138035E-3</v>
      </c>
      <c r="K131" s="2"/>
      <c r="L131" s="7">
        <f t="shared" si="72"/>
        <v>8275.8700000000008</v>
      </c>
      <c r="M131" s="2"/>
      <c r="N131" s="6">
        <f t="shared" si="73"/>
        <v>1.0630533076429032</v>
      </c>
      <c r="O131" s="11"/>
      <c r="P131" s="7">
        <v>39221.160000000003</v>
      </c>
      <c r="Q131" s="2"/>
      <c r="R131" s="6">
        <f t="shared" si="74"/>
        <v>3.0261552164809911E-3</v>
      </c>
      <c r="S131" s="2"/>
      <c r="T131" s="7">
        <v>23947</v>
      </c>
      <c r="U131" s="2"/>
      <c r="V131" s="6">
        <f t="shared" si="75"/>
        <v>1.6486080734637437E-3</v>
      </c>
      <c r="W131" s="2"/>
      <c r="X131" s="7">
        <f t="shared" si="76"/>
        <v>15274.160000000003</v>
      </c>
      <c r="Y131" s="2"/>
      <c r="Z131" s="6">
        <f t="shared" si="77"/>
        <v>0.63783187873220037</v>
      </c>
    </row>
    <row r="132" spans="1:26" s="24" customFormat="1" hidden="1" outlineLevel="2" x14ac:dyDescent="0.3">
      <c r="A132" s="27"/>
      <c r="B132" s="11" t="str">
        <f>CONCATENATE("          ", "6254", " - ", "ROYALTY &amp; COMMISSIONS")</f>
        <v xml:space="preserve">          6254 - ROYALTY &amp; COMMISSIONS</v>
      </c>
      <c r="C132" s="11"/>
      <c r="D132" s="7">
        <v>7389.19</v>
      </c>
      <c r="E132" s="2"/>
      <c r="F132" s="6">
        <f t="shared" si="70"/>
        <v>4.661568454621662E-3</v>
      </c>
      <c r="G132" s="2"/>
      <c r="H132" s="7">
        <v>500</v>
      </c>
      <c r="I132" s="2"/>
      <c r="J132" s="6">
        <f t="shared" si="71"/>
        <v>1.7549764991097003E-4</v>
      </c>
      <c r="K132" s="2"/>
      <c r="L132" s="7">
        <f t="shared" si="72"/>
        <v>6889.19</v>
      </c>
      <c r="M132" s="2"/>
      <c r="N132" s="6">
        <f t="shared" si="73"/>
        <v>13.778379999999999</v>
      </c>
      <c r="O132" s="11"/>
      <c r="P132" s="7">
        <v>2206.6</v>
      </c>
      <c r="Q132" s="2"/>
      <c r="R132" s="6">
        <f t="shared" si="74"/>
        <v>1.7025284567531799E-4</v>
      </c>
      <c r="S132" s="2"/>
      <c r="T132" s="7">
        <v>500</v>
      </c>
      <c r="U132" s="2"/>
      <c r="V132" s="6">
        <f t="shared" si="75"/>
        <v>3.44220168176336E-5</v>
      </c>
      <c r="W132" s="2"/>
      <c r="X132" s="7">
        <f t="shared" si="76"/>
        <v>1706.6</v>
      </c>
      <c r="Y132" s="2"/>
      <c r="Z132" s="6">
        <f t="shared" si="77"/>
        <v>3.4131999999999998</v>
      </c>
    </row>
    <row r="133" spans="1:26" s="24" customFormat="1" hidden="1" outlineLevel="2" x14ac:dyDescent="0.3">
      <c r="A133" s="27"/>
      <c r="B133" s="11" t="str">
        <f>CONCATENATE("          ", "6259", " - ", "ROYALTY &amp; COMMISSIONS")</f>
        <v xml:space="preserve">          6259 - ROYALTY &amp; COMMISSIONS</v>
      </c>
      <c r="C133" s="11"/>
      <c r="D133" s="7">
        <v>254.44</v>
      </c>
      <c r="E133" s="2"/>
      <c r="F133" s="6">
        <f t="shared" si="70"/>
        <v>1.6051684658182231E-4</v>
      </c>
      <c r="G133" s="2"/>
      <c r="H133" s="7">
        <v>10949</v>
      </c>
      <c r="I133" s="2"/>
      <c r="J133" s="6">
        <f t="shared" si="71"/>
        <v>3.8430475377504219E-3</v>
      </c>
      <c r="K133" s="2"/>
      <c r="L133" s="7">
        <f t="shared" si="72"/>
        <v>-10694.56</v>
      </c>
      <c r="M133" s="2"/>
      <c r="N133" s="6">
        <f t="shared" si="73"/>
        <v>-0.97676134806831671</v>
      </c>
      <c r="O133" s="11"/>
      <c r="P133" s="7">
        <v>5868.58</v>
      </c>
      <c r="Q133" s="2"/>
      <c r="R133" s="6">
        <f t="shared" si="74"/>
        <v>4.5279726505631181E-4</v>
      </c>
      <c r="S133" s="2"/>
      <c r="T133" s="7">
        <v>33921</v>
      </c>
      <c r="U133" s="2"/>
      <c r="V133" s="6">
        <f t="shared" si="75"/>
        <v>2.3352584649418986E-3</v>
      </c>
      <c r="W133" s="2"/>
      <c r="X133" s="7">
        <f t="shared" si="76"/>
        <v>-28052.42</v>
      </c>
      <c r="Y133" s="2"/>
      <c r="Z133" s="6">
        <f t="shared" si="77"/>
        <v>-0.82699271837504784</v>
      </c>
    </row>
    <row r="134" spans="1:26" s="28" customFormat="1" outlineLevel="1" collapsed="1" x14ac:dyDescent="0.3">
      <c r="A134" s="29"/>
      <c r="B134" s="14" t="str">
        <f>CONCATENATE("     ","Services                                          ")</f>
        <v xml:space="preserve">     Services                                          </v>
      </c>
      <c r="C134" s="14"/>
      <c r="D134" s="1">
        <f>SUM(OSRRefD22_20x_0)</f>
        <v>26700.649999999998</v>
      </c>
      <c r="E134" s="1"/>
      <c r="F134" s="5">
        <f t="shared" ref="F134:F139" si="78">IF(D$12=0,0,D134/D$12)</f>
        <v>1.6844458967477337E-2</v>
      </c>
      <c r="G134" s="1"/>
      <c r="H134" s="1">
        <f>SUM(OSRRefH22_20x_0)</f>
        <v>37585</v>
      </c>
      <c r="I134" s="1"/>
      <c r="J134" s="5">
        <f t="shared" ref="J134:J139" si="79">IF(H$12=0,0,H134/H$12)</f>
        <v>1.3192158343807618E-2</v>
      </c>
      <c r="K134" s="1"/>
      <c r="L134" s="1">
        <f t="shared" ref="L134:L139" si="80">+D134-H134</f>
        <v>-10884.350000000002</v>
      </c>
      <c r="M134" s="1"/>
      <c r="N134" s="5">
        <f t="shared" ref="N134:N139" si="81">IF(H134=0,0,L134/H134)</f>
        <v>-0.28959292270852738</v>
      </c>
      <c r="O134" s="14"/>
      <c r="P134" s="1">
        <f>SUM(OSRRefP22_20x_0)</f>
        <v>211475.06</v>
      </c>
      <c r="Q134" s="1"/>
      <c r="R134" s="5">
        <f t="shared" ref="R134:R139" si="82">IF(P$12=0,0,P134/P$12)</f>
        <v>1.6316609604984416E-2</v>
      </c>
      <c r="S134" s="1"/>
      <c r="T134" s="1">
        <f>SUM(OSRRefT22_20x_0)</f>
        <v>253367</v>
      </c>
      <c r="U134" s="1"/>
      <c r="V134" s="5">
        <f t="shared" ref="V134:V139" si="83">IF(T$12=0,0,T134/T$12)</f>
        <v>1.7442806270066745E-2</v>
      </c>
      <c r="W134" s="1"/>
      <c r="X134" s="1">
        <f t="shared" ref="X134:X139" si="84">+P134-T134</f>
        <v>-41891.94</v>
      </c>
      <c r="Y134" s="1"/>
      <c r="Z134" s="5">
        <f t="shared" ref="Z134:Z139" si="85">IF(T134=0,0,X134/T134)</f>
        <v>-0.16534094811084318</v>
      </c>
    </row>
    <row r="135" spans="1:26" s="24" customFormat="1" hidden="1" outlineLevel="2" x14ac:dyDescent="0.3">
      <c r="A135" s="27"/>
      <c r="B135" s="11" t="str">
        <f>CONCATENATE("          ", "6282", " - ", "JANITORIAL/EXTERMINATOR EXPENS")</f>
        <v xml:space="preserve">          6282 - JANITORIAL/EXTERMINATOR EXPENS</v>
      </c>
      <c r="C135" s="11"/>
      <c r="D135" s="7">
        <v>1805.15</v>
      </c>
      <c r="E135" s="2"/>
      <c r="F135" s="6">
        <f t="shared" si="78"/>
        <v>1.1388028046186785E-3</v>
      </c>
      <c r="G135" s="2"/>
      <c r="H135" s="7">
        <v>7256</v>
      </c>
      <c r="I135" s="2"/>
      <c r="J135" s="6">
        <f t="shared" si="79"/>
        <v>2.5468218955079971E-3</v>
      </c>
      <c r="K135" s="2"/>
      <c r="L135" s="7">
        <f t="shared" si="80"/>
        <v>-5450.85</v>
      </c>
      <c r="M135" s="2"/>
      <c r="N135" s="6">
        <f t="shared" si="81"/>
        <v>-0.75121968026460861</v>
      </c>
      <c r="O135" s="11"/>
      <c r="P135" s="7">
        <v>22284.91</v>
      </c>
      <c r="Q135" s="2"/>
      <c r="R135" s="6">
        <f t="shared" si="82"/>
        <v>1.7194187179907325E-3</v>
      </c>
      <c r="S135" s="2"/>
      <c r="T135" s="7">
        <v>50434</v>
      </c>
      <c r="U135" s="2"/>
      <c r="V135" s="6">
        <f t="shared" si="83"/>
        <v>3.472079992361066E-3</v>
      </c>
      <c r="W135" s="2"/>
      <c r="X135" s="7">
        <f t="shared" si="84"/>
        <v>-28149.09</v>
      </c>
      <c r="Y135" s="2"/>
      <c r="Z135" s="6">
        <f t="shared" si="85"/>
        <v>-0.55813716936986957</v>
      </c>
    </row>
    <row r="136" spans="1:26" s="24" customFormat="1" hidden="1" outlineLevel="2" x14ac:dyDescent="0.3">
      <c r="A136" s="27"/>
      <c r="B136" s="11" t="str">
        <f>CONCATENATE("          ", "6283", " - ", "PLANT SERVICE")</f>
        <v xml:space="preserve">          6283 - PLANT SERVICE</v>
      </c>
      <c r="C136" s="11"/>
      <c r="D136" s="7"/>
      <c r="E136" s="2"/>
      <c r="F136" s="6">
        <f t="shared" si="78"/>
        <v>0</v>
      </c>
      <c r="G136" s="2"/>
      <c r="H136" s="7">
        <v>100</v>
      </c>
      <c r="I136" s="2"/>
      <c r="J136" s="6">
        <f t="shared" si="79"/>
        <v>3.5099529982194006E-5</v>
      </c>
      <c r="K136" s="2"/>
      <c r="L136" s="7">
        <f t="shared" si="80"/>
        <v>-100</v>
      </c>
      <c r="M136" s="2"/>
      <c r="N136" s="6">
        <f t="shared" si="81"/>
        <v>-1</v>
      </c>
      <c r="O136" s="11"/>
      <c r="P136" s="7"/>
      <c r="Q136" s="2"/>
      <c r="R136" s="6">
        <f t="shared" si="82"/>
        <v>0</v>
      </c>
      <c r="S136" s="2"/>
      <c r="T136" s="7">
        <v>700</v>
      </c>
      <c r="U136" s="2"/>
      <c r="V136" s="6">
        <f t="shared" si="83"/>
        <v>4.819082354468704E-5</v>
      </c>
      <c r="W136" s="2"/>
      <c r="X136" s="7">
        <f t="shared" si="84"/>
        <v>-700</v>
      </c>
      <c r="Y136" s="2"/>
      <c r="Z136" s="6">
        <f t="shared" si="85"/>
        <v>-1</v>
      </c>
    </row>
    <row r="137" spans="1:26" s="24" customFormat="1" hidden="1" outlineLevel="2" x14ac:dyDescent="0.3">
      <c r="A137" s="27"/>
      <c r="B137" s="11" t="str">
        <f>CONCATENATE("          ", "6284", " - ", "TRASH REMOVAL EXPENSE")</f>
        <v xml:space="preserve">          6284 - TRASH REMOVAL EXPENSE</v>
      </c>
      <c r="C137" s="11"/>
      <c r="D137" s="7">
        <v>149.69999999999999</v>
      </c>
      <c r="E137" s="2"/>
      <c r="F137" s="6">
        <f t="shared" si="78"/>
        <v>9.4440229261510774E-5</v>
      </c>
      <c r="G137" s="2"/>
      <c r="H137" s="7">
        <v>1660</v>
      </c>
      <c r="I137" s="2"/>
      <c r="J137" s="6">
        <f t="shared" si="79"/>
        <v>5.8265219770442056E-4</v>
      </c>
      <c r="K137" s="2"/>
      <c r="L137" s="7">
        <f t="shared" si="80"/>
        <v>-1510.3</v>
      </c>
      <c r="M137" s="2"/>
      <c r="N137" s="6">
        <f t="shared" si="81"/>
        <v>-0.90981927710843369</v>
      </c>
      <c r="O137" s="11"/>
      <c r="P137" s="7">
        <v>1040.77</v>
      </c>
      <c r="Q137" s="2"/>
      <c r="R137" s="6">
        <f t="shared" si="82"/>
        <v>8.0301846367035568E-5</v>
      </c>
      <c r="S137" s="2"/>
      <c r="T137" s="7">
        <v>11740</v>
      </c>
      <c r="U137" s="2"/>
      <c r="V137" s="6">
        <f t="shared" si="83"/>
        <v>8.0822895487803691E-4</v>
      </c>
      <c r="W137" s="2"/>
      <c r="X137" s="7">
        <f t="shared" si="84"/>
        <v>-10699.23</v>
      </c>
      <c r="Y137" s="2"/>
      <c r="Z137" s="6">
        <f t="shared" si="85"/>
        <v>-0.91134838160136278</v>
      </c>
    </row>
    <row r="138" spans="1:26" s="24" customFormat="1" hidden="1" outlineLevel="2" x14ac:dyDescent="0.3">
      <c r="A138" s="27"/>
      <c r="B138" s="11" t="str">
        <f>CONCATENATE("          ", "6285", " - ", "JANITORIAL SERVICES")</f>
        <v xml:space="preserve">          6285 - JANITORIAL SERVICES</v>
      </c>
      <c r="C138" s="11"/>
      <c r="D138" s="7">
        <v>21653.82</v>
      </c>
      <c r="E138" s="2"/>
      <c r="F138" s="6">
        <f t="shared" si="78"/>
        <v>1.3660599366649881E-2</v>
      </c>
      <c r="G138" s="2"/>
      <c r="H138" s="7">
        <v>23083</v>
      </c>
      <c r="I138" s="2"/>
      <c r="J138" s="6">
        <f t="shared" si="79"/>
        <v>8.1020245057898434E-3</v>
      </c>
      <c r="K138" s="2"/>
      <c r="L138" s="7">
        <f t="shared" si="80"/>
        <v>-1429.1800000000003</v>
      </c>
      <c r="M138" s="2"/>
      <c r="N138" s="6">
        <f t="shared" si="81"/>
        <v>-6.1914829095004995E-2</v>
      </c>
      <c r="O138" s="11"/>
      <c r="P138" s="7">
        <v>167576.68</v>
      </c>
      <c r="Q138" s="2"/>
      <c r="R138" s="6">
        <f t="shared" si="82"/>
        <v>1.2929577920249317E-2</v>
      </c>
      <c r="S138" s="2"/>
      <c r="T138" s="7">
        <v>154129</v>
      </c>
      <c r="U138" s="2"/>
      <c r="V138" s="6">
        <f t="shared" si="83"/>
        <v>1.0610862060170098E-2</v>
      </c>
      <c r="W138" s="2"/>
      <c r="X138" s="7">
        <f t="shared" si="84"/>
        <v>13447.679999999993</v>
      </c>
      <c r="Y138" s="2"/>
      <c r="Z138" s="6">
        <f t="shared" si="85"/>
        <v>8.7249511772606023E-2</v>
      </c>
    </row>
    <row r="139" spans="1:26" s="24" customFormat="1" hidden="1" outlineLevel="2" x14ac:dyDescent="0.3">
      <c r="A139" s="27"/>
      <c r="B139" s="11" t="str">
        <f>CONCATENATE("          ", "6286", " - ", "LAUNDRY EXPENSE")</f>
        <v xml:space="preserve">          6286 - LAUNDRY EXPENSE</v>
      </c>
      <c r="C139" s="11"/>
      <c r="D139" s="7">
        <v>3091.98</v>
      </c>
      <c r="E139" s="2"/>
      <c r="F139" s="6">
        <f t="shared" si="78"/>
        <v>1.9506165669472685E-3</v>
      </c>
      <c r="G139" s="2"/>
      <c r="H139" s="7">
        <v>5486</v>
      </c>
      <c r="I139" s="2"/>
      <c r="J139" s="6">
        <f t="shared" si="79"/>
        <v>1.9255602148231634E-3</v>
      </c>
      <c r="K139" s="2"/>
      <c r="L139" s="7">
        <f t="shared" si="80"/>
        <v>-2394.02</v>
      </c>
      <c r="M139" s="2"/>
      <c r="N139" s="6">
        <f t="shared" si="81"/>
        <v>-0.43638716733503463</v>
      </c>
      <c r="O139" s="11"/>
      <c r="P139" s="7">
        <v>20572.7</v>
      </c>
      <c r="Q139" s="2"/>
      <c r="R139" s="6">
        <f t="shared" si="82"/>
        <v>1.5873111203773291E-3</v>
      </c>
      <c r="S139" s="2"/>
      <c r="T139" s="7">
        <v>36364</v>
      </c>
      <c r="U139" s="2"/>
      <c r="V139" s="6">
        <f t="shared" si="83"/>
        <v>2.5034444391128564E-3</v>
      </c>
      <c r="W139" s="2"/>
      <c r="X139" s="7">
        <f t="shared" si="84"/>
        <v>-15791.3</v>
      </c>
      <c r="Y139" s="2"/>
      <c r="Z139" s="6">
        <f t="shared" si="85"/>
        <v>-0.43425640743592564</v>
      </c>
    </row>
    <row r="140" spans="1:26" s="28" customFormat="1" outlineLevel="1" collapsed="1" x14ac:dyDescent="0.3">
      <c r="A140" s="29"/>
      <c r="B140" s="14" t="str">
        <f>CONCATENATE("     ","Subscriptions &amp; Dues                              ")</f>
        <v xml:space="preserve">     Subscriptions &amp; Dues                              </v>
      </c>
      <c r="C140" s="14"/>
      <c r="D140" s="1">
        <f>SUM(OSRRefD22_21x_0)</f>
        <v>862.49</v>
      </c>
      <c r="E140" s="1"/>
      <c r="F140" s="5">
        <f t="shared" ref="F140:F142" si="86">IF(D$12=0,0,D140/D$12)</f>
        <v>5.441132487358746E-4</v>
      </c>
      <c r="G140" s="1"/>
      <c r="H140" s="1">
        <f>SUM(OSRRefH22_21x_0)</f>
        <v>3076</v>
      </c>
      <c r="I140" s="1"/>
      <c r="J140" s="5">
        <f t="shared" ref="J140:J142" si="87">IF(H$12=0,0,H140/H$12)</f>
        <v>1.0796615422522878E-3</v>
      </c>
      <c r="K140" s="1"/>
      <c r="L140" s="1">
        <f t="shared" ref="L140:L142" si="88">+D140-H140</f>
        <v>-2213.5100000000002</v>
      </c>
      <c r="M140" s="1"/>
      <c r="N140" s="5">
        <f t="shared" ref="N140:N142" si="89">IF(H140=0,0,L140/H140)</f>
        <v>-0.71960663198959696</v>
      </c>
      <c r="O140" s="14"/>
      <c r="P140" s="1">
        <f>SUM(OSRRefP22_21x_0)</f>
        <v>6226.84</v>
      </c>
      <c r="Q140" s="1"/>
      <c r="R140" s="5">
        <f t="shared" ref="R140:R142" si="90">IF(P$12=0,0,P140/P$12)</f>
        <v>4.8043924116962614E-4</v>
      </c>
      <c r="S140" s="1"/>
      <c r="T140" s="1">
        <f>SUM(OSRRefT22_21x_0)</f>
        <v>14432</v>
      </c>
      <c r="U140" s="1"/>
      <c r="V140" s="5">
        <f t="shared" ref="V140:V142" si="91">IF(T$12=0,0,T140/T$12)</f>
        <v>9.9355709342417633E-4</v>
      </c>
      <c r="W140" s="1"/>
      <c r="X140" s="1">
        <f t="shared" ref="X140:X142" si="92">+P140-T140</f>
        <v>-8205.16</v>
      </c>
      <c r="Y140" s="1"/>
      <c r="Z140" s="5">
        <f t="shared" ref="Z140:Z142" si="93">IF(T140=0,0,X140/T140)</f>
        <v>-0.56853935698447888</v>
      </c>
    </row>
    <row r="141" spans="1:26" s="24" customFormat="1" hidden="1" outlineLevel="2" x14ac:dyDescent="0.3">
      <c r="A141" s="27"/>
      <c r="B141" s="11" t="str">
        <f>CONCATENATE("          ", "6258", " - ", "MEMBERSHIP DUES")</f>
        <v xml:space="preserve">          6258 - MEMBERSHIP DUES</v>
      </c>
      <c r="C141" s="11"/>
      <c r="D141" s="7">
        <v>301.99</v>
      </c>
      <c r="E141" s="2"/>
      <c r="F141" s="6">
        <f t="shared" si="86"/>
        <v>1.9051439435326413E-4</v>
      </c>
      <c r="G141" s="2"/>
      <c r="H141" s="7">
        <v>385</v>
      </c>
      <c r="I141" s="2"/>
      <c r="J141" s="6">
        <f t="shared" si="87"/>
        <v>1.3513319043144693E-4</v>
      </c>
      <c r="K141" s="2"/>
      <c r="L141" s="7">
        <f t="shared" si="88"/>
        <v>-83.009999999999991</v>
      </c>
      <c r="M141" s="2"/>
      <c r="N141" s="6">
        <f t="shared" si="89"/>
        <v>-0.21561038961038959</v>
      </c>
      <c r="O141" s="11"/>
      <c r="P141" s="7">
        <v>1693.73</v>
      </c>
      <c r="Q141" s="2"/>
      <c r="R141" s="6">
        <f t="shared" si="90"/>
        <v>1.306817512488246E-4</v>
      </c>
      <c r="S141" s="2"/>
      <c r="T141" s="7">
        <v>7885</v>
      </c>
      <c r="U141" s="2"/>
      <c r="V141" s="6">
        <f t="shared" si="91"/>
        <v>5.4283520521408192E-4</v>
      </c>
      <c r="W141" s="2"/>
      <c r="X141" s="7">
        <f t="shared" si="92"/>
        <v>-6191.27</v>
      </c>
      <c r="Y141" s="2"/>
      <c r="Z141" s="6">
        <f t="shared" si="93"/>
        <v>-0.7851959416613824</v>
      </c>
    </row>
    <row r="142" spans="1:26" s="24" customFormat="1" hidden="1" outlineLevel="2" x14ac:dyDescent="0.3">
      <c r="A142" s="27"/>
      <c r="B142" s="11" t="str">
        <f>CONCATENATE("          ", "6275", " - ", "SUBSCRIPTIONS")</f>
        <v xml:space="preserve">          6275 - SUBSCRIPTIONS</v>
      </c>
      <c r="C142" s="11"/>
      <c r="D142" s="7">
        <v>560.5</v>
      </c>
      <c r="E142" s="2"/>
      <c r="F142" s="6">
        <f t="shared" si="86"/>
        <v>3.535988543826105E-4</v>
      </c>
      <c r="G142" s="2"/>
      <c r="H142" s="7">
        <v>2691</v>
      </c>
      <c r="I142" s="2"/>
      <c r="J142" s="6">
        <f t="shared" si="87"/>
        <v>9.4452835182084072E-4</v>
      </c>
      <c r="K142" s="2"/>
      <c r="L142" s="7">
        <f t="shared" si="88"/>
        <v>-2130.5</v>
      </c>
      <c r="M142" s="2"/>
      <c r="N142" s="6">
        <f t="shared" si="89"/>
        <v>-0.79171311780007436</v>
      </c>
      <c r="O142" s="11"/>
      <c r="P142" s="7">
        <v>4533.1099999999997</v>
      </c>
      <c r="Q142" s="2"/>
      <c r="R142" s="6">
        <f t="shared" si="90"/>
        <v>3.4975748992080154E-4</v>
      </c>
      <c r="S142" s="2"/>
      <c r="T142" s="7">
        <v>6547</v>
      </c>
      <c r="U142" s="2"/>
      <c r="V142" s="6">
        <f t="shared" si="91"/>
        <v>4.5072188821009435E-4</v>
      </c>
      <c r="W142" s="2"/>
      <c r="X142" s="7">
        <f t="shared" si="92"/>
        <v>-2013.8900000000003</v>
      </c>
      <c r="Y142" s="2"/>
      <c r="Z142" s="6">
        <f t="shared" si="93"/>
        <v>-0.30760500992821144</v>
      </c>
    </row>
    <row r="143" spans="1:26" s="28" customFormat="1" outlineLevel="1" collapsed="1" x14ac:dyDescent="0.3">
      <c r="A143" s="29"/>
      <c r="B143" s="14" t="str">
        <f>CONCATENATE("     ","Supplies                                          ")</f>
        <v xml:space="preserve">     Supplies                                          </v>
      </c>
      <c r="C143" s="14"/>
      <c r="D143" s="1">
        <f>SUM(OSRRefD22_22x_0)</f>
        <v>18272.350000000002</v>
      </c>
      <c r="E143" s="1"/>
      <c r="F143" s="5">
        <f t="shared" ref="F143:F153" si="94">IF(D$12=0,0,D143/D$12)</f>
        <v>1.1527354196035849E-2</v>
      </c>
      <c r="G143" s="1"/>
      <c r="H143" s="1">
        <f>SUM(OSRRefH22_22x_0)</f>
        <v>58765</v>
      </c>
      <c r="I143" s="1"/>
      <c r="J143" s="5">
        <f t="shared" ref="J143:J153" si="95">IF(H$12=0,0,H143/H$12)</f>
        <v>2.0626238794036311E-2</v>
      </c>
      <c r="K143" s="1"/>
      <c r="L143" s="1">
        <f t="shared" ref="L143:L153" si="96">+D143-H143</f>
        <v>-40492.649999999994</v>
      </c>
      <c r="M143" s="1"/>
      <c r="N143" s="5">
        <f t="shared" ref="N143:N153" si="97">IF(H143=0,0,L143/H143)</f>
        <v>-0.68906066536203514</v>
      </c>
      <c r="O143" s="14"/>
      <c r="P143" s="1">
        <f>SUM(OSRRefP22_22x_0)</f>
        <v>320373.65999999997</v>
      </c>
      <c r="Q143" s="1"/>
      <c r="R143" s="5">
        <f t="shared" ref="R143:R153" si="98">IF(P$12=0,0,P143/P$12)</f>
        <v>2.4718810520446294E-2</v>
      </c>
      <c r="S143" s="1"/>
      <c r="T143" s="1">
        <f>SUM(OSRRefT22_22x_0)</f>
        <v>373283</v>
      </c>
      <c r="U143" s="1"/>
      <c r="V143" s="5">
        <f t="shared" ref="V143:V153" si="99">IF(T$12=0,0,T143/T$12)</f>
        <v>2.5698307407473447E-2</v>
      </c>
      <c r="W143" s="1"/>
      <c r="X143" s="1">
        <f t="shared" ref="X143:X153" si="100">+P143-T143</f>
        <v>-52909.340000000026</v>
      </c>
      <c r="Y143" s="1"/>
      <c r="Z143" s="5">
        <f t="shared" ref="Z143:Z153" si="101">IF(T143=0,0,X143/T143)</f>
        <v>-0.14174055609283043</v>
      </c>
    </row>
    <row r="144" spans="1:26" s="24" customFormat="1" hidden="1" outlineLevel="2" x14ac:dyDescent="0.3">
      <c r="A144" s="27"/>
      <c r="B144" s="11" t="str">
        <f>CONCATENATE("          ", "6234", " - ", "EXPENDABLE SUPPLIES &amp; EQUIPMEN")</f>
        <v xml:space="preserve">          6234 - EXPENDABLE SUPPLIES &amp; EQUIPMEN</v>
      </c>
      <c r="C144" s="11"/>
      <c r="D144" s="7">
        <v>57.77</v>
      </c>
      <c r="E144" s="2"/>
      <c r="F144" s="6">
        <f t="shared" si="94"/>
        <v>3.6444970236723298E-5</v>
      </c>
      <c r="G144" s="2"/>
      <c r="H144" s="7">
        <v>6642</v>
      </c>
      <c r="I144" s="2"/>
      <c r="J144" s="6">
        <f t="shared" si="95"/>
        <v>2.3313107814173259E-3</v>
      </c>
      <c r="K144" s="2"/>
      <c r="L144" s="7">
        <f t="shared" si="96"/>
        <v>-6584.23</v>
      </c>
      <c r="M144" s="2"/>
      <c r="N144" s="6">
        <f t="shared" si="97"/>
        <v>-0.99130231857874129</v>
      </c>
      <c r="O144" s="11"/>
      <c r="P144" s="7">
        <v>6879.21</v>
      </c>
      <c r="Q144" s="2"/>
      <c r="R144" s="6">
        <f t="shared" si="98"/>
        <v>5.3077362390016505E-4</v>
      </c>
      <c r="S144" s="2"/>
      <c r="T144" s="7">
        <v>45094</v>
      </c>
      <c r="U144" s="2"/>
      <c r="V144" s="6">
        <f t="shared" si="99"/>
        <v>3.104452852748739E-3</v>
      </c>
      <c r="W144" s="2"/>
      <c r="X144" s="7">
        <f t="shared" si="100"/>
        <v>-38214.79</v>
      </c>
      <c r="Y144" s="2"/>
      <c r="Z144" s="6">
        <f t="shared" si="101"/>
        <v>-0.84744733223932234</v>
      </c>
    </row>
    <row r="145" spans="1:26" s="24" customFormat="1" hidden="1" outlineLevel="2" x14ac:dyDescent="0.3">
      <c r="A145" s="27"/>
      <c r="B145" s="11" t="str">
        <f>CONCATENATE("          ", "6235", " - ", "COVID-19 EXPENSES")</f>
        <v xml:space="preserve">          6235 - COVID-19 EXPENSES</v>
      </c>
      <c r="C145" s="11"/>
      <c r="D145" s="7">
        <v>318.42</v>
      </c>
      <c r="E145" s="2"/>
      <c r="F145" s="6">
        <f t="shared" si="94"/>
        <v>2.0087947763159828E-4</v>
      </c>
      <c r="G145" s="2"/>
      <c r="H145" s="7">
        <v>375</v>
      </c>
      <c r="I145" s="2"/>
      <c r="J145" s="6">
        <f t="shared" si="95"/>
        <v>1.3162323743322752E-4</v>
      </c>
      <c r="K145" s="2"/>
      <c r="L145" s="7">
        <f t="shared" si="96"/>
        <v>-56.579999999999984</v>
      </c>
      <c r="M145" s="2"/>
      <c r="N145" s="6">
        <f t="shared" si="97"/>
        <v>-0.15087999999999996</v>
      </c>
      <c r="O145" s="11"/>
      <c r="P145" s="7">
        <v>3942.24</v>
      </c>
      <c r="Q145" s="2"/>
      <c r="R145" s="6">
        <f t="shared" si="98"/>
        <v>3.041682127866698E-4</v>
      </c>
      <c r="S145" s="2"/>
      <c r="T145" s="7">
        <v>2875</v>
      </c>
      <c r="U145" s="2"/>
      <c r="V145" s="6">
        <f t="shared" si="99"/>
        <v>1.979265967013932E-4</v>
      </c>
      <c r="W145" s="2"/>
      <c r="X145" s="7">
        <f t="shared" si="100"/>
        <v>1067.2399999999998</v>
      </c>
      <c r="Y145" s="2"/>
      <c r="Z145" s="6">
        <f t="shared" si="101"/>
        <v>0.37121391304347817</v>
      </c>
    </row>
    <row r="146" spans="1:26" s="24" customFormat="1" hidden="1" outlineLevel="2" x14ac:dyDescent="0.3">
      <c r="A146" s="27"/>
      <c r="B146" s="11" t="str">
        <f>CONCATENATE("          ", "6237", " - ", "JANITORIAL SUPPLIES")</f>
        <v xml:space="preserve">          6237 - JANITORIAL SUPPLIES</v>
      </c>
      <c r="C146" s="11"/>
      <c r="D146" s="7">
        <v>2955.06</v>
      </c>
      <c r="E146" s="2"/>
      <c r="F146" s="6">
        <f t="shared" si="94"/>
        <v>1.8642387700836341E-3</v>
      </c>
      <c r="G146" s="2"/>
      <c r="H146" s="7">
        <v>10035</v>
      </c>
      <c r="I146" s="2"/>
      <c r="J146" s="6">
        <f t="shared" si="95"/>
        <v>3.5222378337131689E-3</v>
      </c>
      <c r="K146" s="2"/>
      <c r="L146" s="7">
        <f t="shared" si="96"/>
        <v>-7079.9400000000005</v>
      </c>
      <c r="M146" s="2"/>
      <c r="N146" s="6">
        <f t="shared" si="97"/>
        <v>-0.70552466367713007</v>
      </c>
      <c r="O146" s="11"/>
      <c r="P146" s="7">
        <v>45070.15</v>
      </c>
      <c r="Q146" s="2"/>
      <c r="R146" s="6">
        <f t="shared" si="98"/>
        <v>3.4774409918034229E-3</v>
      </c>
      <c r="S146" s="2"/>
      <c r="T146" s="7">
        <v>74603</v>
      </c>
      <c r="U146" s="2"/>
      <c r="V146" s="6">
        <f t="shared" si="99"/>
        <v>5.1359714412918386E-3</v>
      </c>
      <c r="W146" s="2"/>
      <c r="X146" s="7">
        <f t="shared" si="100"/>
        <v>-29532.85</v>
      </c>
      <c r="Y146" s="2"/>
      <c r="Z146" s="6">
        <f t="shared" si="101"/>
        <v>-0.395866788198866</v>
      </c>
    </row>
    <row r="147" spans="1:26" s="24" customFormat="1" hidden="1" outlineLevel="2" x14ac:dyDescent="0.3">
      <c r="A147" s="27"/>
      <c r="B147" s="11" t="str">
        <f>CONCATENATE("          ", "6239", " - ", "KITCHEN SUPPLIES")</f>
        <v xml:space="preserve">          6239 - KITCHEN SUPPLIES</v>
      </c>
      <c r="C147" s="11"/>
      <c r="D147" s="7">
        <v>1944.52</v>
      </c>
      <c r="E147" s="2"/>
      <c r="F147" s="6">
        <f t="shared" si="94"/>
        <v>1.2267262164568666E-3</v>
      </c>
      <c r="G147" s="2"/>
      <c r="H147" s="7">
        <v>3850</v>
      </c>
      <c r="I147" s="2"/>
      <c r="J147" s="6">
        <f t="shared" si="95"/>
        <v>1.3513319043144693E-3</v>
      </c>
      <c r="K147" s="2"/>
      <c r="L147" s="7">
        <f t="shared" si="96"/>
        <v>-1905.48</v>
      </c>
      <c r="M147" s="2"/>
      <c r="N147" s="6">
        <f t="shared" si="97"/>
        <v>-0.49492987012987011</v>
      </c>
      <c r="O147" s="11"/>
      <c r="P147" s="7">
        <v>28960.23</v>
      </c>
      <c r="Q147" s="2"/>
      <c r="R147" s="6">
        <f t="shared" si="98"/>
        <v>2.2344609666055081E-3</v>
      </c>
      <c r="S147" s="2"/>
      <c r="T147" s="7">
        <v>37299</v>
      </c>
      <c r="U147" s="2"/>
      <c r="V147" s="6">
        <f t="shared" si="99"/>
        <v>2.5678136105618315E-3</v>
      </c>
      <c r="W147" s="2"/>
      <c r="X147" s="7">
        <f t="shared" si="100"/>
        <v>-8338.77</v>
      </c>
      <c r="Y147" s="2"/>
      <c r="Z147" s="6">
        <f t="shared" si="101"/>
        <v>-0.22356551113970885</v>
      </c>
    </row>
    <row r="148" spans="1:26" s="24" customFormat="1" hidden="1" outlineLevel="2" x14ac:dyDescent="0.3">
      <c r="A148" s="27"/>
      <c r="B148" s="11" t="str">
        <f>CONCATENATE("          ", "6241", " - ", "OFFICE EXPENSE")</f>
        <v xml:space="preserve">          6241 - OFFICE EXPENSE</v>
      </c>
      <c r="C148" s="11"/>
      <c r="D148" s="7">
        <v>3943.75</v>
      </c>
      <c r="E148" s="2"/>
      <c r="F148" s="6">
        <f t="shared" si="94"/>
        <v>2.4879669615904018E-3</v>
      </c>
      <c r="G148" s="2"/>
      <c r="H148" s="7">
        <v>2425</v>
      </c>
      <c r="I148" s="2"/>
      <c r="J148" s="6">
        <f t="shared" si="95"/>
        <v>8.5116360206820469E-4</v>
      </c>
      <c r="K148" s="2"/>
      <c r="L148" s="7">
        <f t="shared" si="96"/>
        <v>1518.75</v>
      </c>
      <c r="M148" s="2"/>
      <c r="N148" s="6">
        <f t="shared" si="97"/>
        <v>0.62628865979381443</v>
      </c>
      <c r="O148" s="11"/>
      <c r="P148" s="7">
        <v>48763.34</v>
      </c>
      <c r="Q148" s="2"/>
      <c r="R148" s="6">
        <f t="shared" si="98"/>
        <v>3.7623934558293575E-3</v>
      </c>
      <c r="S148" s="2"/>
      <c r="T148" s="7">
        <v>18302</v>
      </c>
      <c r="U148" s="2"/>
      <c r="V148" s="6">
        <f t="shared" si="99"/>
        <v>1.2599835035926603E-3</v>
      </c>
      <c r="W148" s="2"/>
      <c r="X148" s="7">
        <f t="shared" si="100"/>
        <v>30461.339999999997</v>
      </c>
      <c r="Y148" s="2"/>
      <c r="Z148" s="6">
        <f t="shared" si="101"/>
        <v>1.6643721997595888</v>
      </c>
    </row>
    <row r="149" spans="1:26" s="24" customFormat="1" hidden="1" outlineLevel="2" x14ac:dyDescent="0.3">
      <c r="A149" s="27"/>
      <c r="B149" s="11" t="str">
        <f>CONCATENATE("          ", "6243", " - ", "PAPER SUPPLIES")</f>
        <v xml:space="preserve">          6243 - PAPER SUPPLIES</v>
      </c>
      <c r="C149" s="11"/>
      <c r="D149" s="7">
        <v>5706.29</v>
      </c>
      <c r="E149" s="2"/>
      <c r="F149" s="6">
        <f t="shared" si="94"/>
        <v>3.5998886829169425E-3</v>
      </c>
      <c r="G149" s="2"/>
      <c r="H149" s="7">
        <v>21900</v>
      </c>
      <c r="I149" s="2"/>
      <c r="J149" s="6">
        <f t="shared" si="95"/>
        <v>7.6867970661004875E-3</v>
      </c>
      <c r="K149" s="2"/>
      <c r="L149" s="7">
        <f t="shared" si="96"/>
        <v>-16193.71</v>
      </c>
      <c r="M149" s="2"/>
      <c r="N149" s="6">
        <f t="shared" si="97"/>
        <v>-0.73943881278538803</v>
      </c>
      <c r="O149" s="11"/>
      <c r="P149" s="7">
        <v>143788.34</v>
      </c>
      <c r="Q149" s="2"/>
      <c r="R149" s="6">
        <f t="shared" si="98"/>
        <v>1.1094160273692628E-2</v>
      </c>
      <c r="S149" s="2"/>
      <c r="T149" s="7">
        <v>124333</v>
      </c>
      <c r="U149" s="2"/>
      <c r="V149" s="6">
        <f t="shared" si="99"/>
        <v>8.559585233973677E-3</v>
      </c>
      <c r="W149" s="2"/>
      <c r="X149" s="7">
        <f t="shared" si="100"/>
        <v>19455.339999999997</v>
      </c>
      <c r="Y149" s="2"/>
      <c r="Z149" s="6">
        <f t="shared" si="101"/>
        <v>0.15647768492676922</v>
      </c>
    </row>
    <row r="150" spans="1:26" s="24" customFormat="1" hidden="1" outlineLevel="2" x14ac:dyDescent="0.3">
      <c r="A150" s="27"/>
      <c r="B150" s="11" t="str">
        <f>CONCATENATE("          ", "6244", " - ", "SAFETY SUPPLY EXPENSE")</f>
        <v xml:space="preserve">          6244 - SAFETY SUPPLY EXPENSE</v>
      </c>
      <c r="C150" s="11"/>
      <c r="D150" s="7"/>
      <c r="E150" s="2"/>
      <c r="F150" s="6">
        <f t="shared" si="94"/>
        <v>0</v>
      </c>
      <c r="G150" s="2"/>
      <c r="H150" s="7">
        <v>525</v>
      </c>
      <c r="I150" s="2"/>
      <c r="J150" s="6">
        <f t="shared" si="95"/>
        <v>1.8427253240651856E-4</v>
      </c>
      <c r="K150" s="2"/>
      <c r="L150" s="7">
        <f t="shared" si="96"/>
        <v>-525</v>
      </c>
      <c r="M150" s="2"/>
      <c r="N150" s="6">
        <f t="shared" si="97"/>
        <v>-1</v>
      </c>
      <c r="O150" s="11"/>
      <c r="P150" s="7"/>
      <c r="Q150" s="2"/>
      <c r="R150" s="6">
        <f t="shared" si="98"/>
        <v>0</v>
      </c>
      <c r="S150" s="2"/>
      <c r="T150" s="7">
        <v>3775</v>
      </c>
      <c r="U150" s="2"/>
      <c r="V150" s="6">
        <f t="shared" si="99"/>
        <v>2.5988622697313367E-4</v>
      </c>
      <c r="W150" s="2"/>
      <c r="X150" s="7">
        <f t="shared" si="100"/>
        <v>-3775</v>
      </c>
      <c r="Y150" s="2"/>
      <c r="Z150" s="6">
        <f t="shared" si="101"/>
        <v>-1</v>
      </c>
    </row>
    <row r="151" spans="1:26" s="24" customFormat="1" hidden="1" outlineLevel="2" x14ac:dyDescent="0.3">
      <c r="A151" s="27"/>
      <c r="B151" s="11" t="str">
        <f>CONCATENATE("          ", "6245", " - ", "PRINTING")</f>
        <v xml:space="preserve">          6245 - PRINTING</v>
      </c>
      <c r="C151" s="11"/>
      <c r="D151" s="7">
        <v>689.76</v>
      </c>
      <c r="E151" s="2"/>
      <c r="F151" s="6">
        <f t="shared" si="94"/>
        <v>4.3514423871355825E-4</v>
      </c>
      <c r="G151" s="2"/>
      <c r="H151" s="7">
        <v>4150</v>
      </c>
      <c r="I151" s="2"/>
      <c r="J151" s="6">
        <f t="shared" si="95"/>
        <v>1.4566304942610513E-3</v>
      </c>
      <c r="K151" s="2"/>
      <c r="L151" s="7">
        <f t="shared" si="96"/>
        <v>-3460.24</v>
      </c>
      <c r="M151" s="2"/>
      <c r="N151" s="6">
        <f t="shared" si="97"/>
        <v>-0.83379277108433725</v>
      </c>
      <c r="O151" s="11"/>
      <c r="P151" s="7">
        <v>3872.74</v>
      </c>
      <c r="Q151" s="2"/>
      <c r="R151" s="6">
        <f t="shared" si="98"/>
        <v>2.9880585768178689E-4</v>
      </c>
      <c r="S151" s="2"/>
      <c r="T151" s="7">
        <v>7395</v>
      </c>
      <c r="U151" s="2"/>
      <c r="V151" s="6">
        <f t="shared" si="99"/>
        <v>5.0910162873280093E-4</v>
      </c>
      <c r="W151" s="2"/>
      <c r="X151" s="7">
        <f t="shared" si="100"/>
        <v>-3522.26</v>
      </c>
      <c r="Y151" s="2"/>
      <c r="Z151" s="6">
        <f t="shared" si="101"/>
        <v>-0.47630290736984454</v>
      </c>
    </row>
    <row r="152" spans="1:26" s="24" customFormat="1" hidden="1" outlineLevel="2" x14ac:dyDescent="0.3">
      <c r="A152" s="27"/>
      <c r="B152" s="11" t="str">
        <f>CONCATENATE("          ", "6247", " - ", "STORE SUPPLIES")</f>
        <v xml:space="preserve">          6247 - STORE SUPPLIES</v>
      </c>
      <c r="C152" s="11"/>
      <c r="D152" s="7">
        <v>2307.48</v>
      </c>
      <c r="E152" s="2"/>
      <c r="F152" s="6">
        <f t="shared" si="94"/>
        <v>1.4557043434625977E-3</v>
      </c>
      <c r="G152" s="2"/>
      <c r="H152" s="7">
        <v>7775</v>
      </c>
      <c r="I152" s="2"/>
      <c r="J152" s="6">
        <f t="shared" si="95"/>
        <v>2.728988456115584E-3</v>
      </c>
      <c r="K152" s="2"/>
      <c r="L152" s="7">
        <f t="shared" si="96"/>
        <v>-5467.52</v>
      </c>
      <c r="M152" s="2"/>
      <c r="N152" s="6">
        <f t="shared" si="97"/>
        <v>-0.70321800643086818</v>
      </c>
      <c r="O152" s="11"/>
      <c r="P152" s="7">
        <v>32883.93</v>
      </c>
      <c r="Q152" s="2"/>
      <c r="R152" s="6">
        <f t="shared" si="98"/>
        <v>2.5371987036562856E-3</v>
      </c>
      <c r="S152" s="2"/>
      <c r="T152" s="7">
        <v>52141</v>
      </c>
      <c r="U152" s="2"/>
      <c r="V152" s="6">
        <f t="shared" si="99"/>
        <v>3.589596757776467E-3</v>
      </c>
      <c r="W152" s="2"/>
      <c r="X152" s="7">
        <f t="shared" si="100"/>
        <v>-19257.07</v>
      </c>
      <c r="Y152" s="2"/>
      <c r="Z152" s="6">
        <f t="shared" si="101"/>
        <v>-0.36932682533898464</v>
      </c>
    </row>
    <row r="153" spans="1:26" s="24" customFormat="1" hidden="1" outlineLevel="2" x14ac:dyDescent="0.3">
      <c r="A153" s="27"/>
      <c r="B153" s="11" t="str">
        <f>CONCATENATE("          ", "6248", " - ", "UNIFORMS")</f>
        <v xml:space="preserve">          6248 - UNIFORMS</v>
      </c>
      <c r="C153" s="11"/>
      <c r="D153" s="7">
        <v>349.3</v>
      </c>
      <c r="E153" s="2"/>
      <c r="F153" s="6">
        <f t="shared" si="94"/>
        <v>2.2036053494352514E-4</v>
      </c>
      <c r="G153" s="2"/>
      <c r="H153" s="7">
        <v>1088</v>
      </c>
      <c r="I153" s="2"/>
      <c r="J153" s="6">
        <f t="shared" si="95"/>
        <v>3.818828862062708E-4</v>
      </c>
      <c r="K153" s="2"/>
      <c r="L153" s="7">
        <f t="shared" si="96"/>
        <v>-738.7</v>
      </c>
      <c r="M153" s="2"/>
      <c r="N153" s="6">
        <f t="shared" si="97"/>
        <v>-0.67895220588235294</v>
      </c>
      <c r="O153" s="11"/>
      <c r="P153" s="7">
        <v>6213.48</v>
      </c>
      <c r="Q153" s="2"/>
      <c r="R153" s="6">
        <f t="shared" si="98"/>
        <v>4.7940843449047167E-4</v>
      </c>
      <c r="S153" s="2"/>
      <c r="T153" s="7">
        <v>7466</v>
      </c>
      <c r="U153" s="2"/>
      <c r="V153" s="6">
        <f t="shared" si="99"/>
        <v>5.1398955512090493E-4</v>
      </c>
      <c r="W153" s="2"/>
      <c r="X153" s="7">
        <f t="shared" si="100"/>
        <v>-1252.5200000000004</v>
      </c>
      <c r="Y153" s="2"/>
      <c r="Z153" s="6">
        <f t="shared" si="101"/>
        <v>-0.16776319314224492</v>
      </c>
    </row>
    <row r="154" spans="1:26" s="28" customFormat="1" outlineLevel="1" collapsed="1" x14ac:dyDescent="0.3">
      <c r="A154" s="29"/>
      <c r="B154" s="14" t="str">
        <f>CONCATENATE("     ","Telephone/Data Lines                              ")</f>
        <v xml:space="preserve">     Telephone/Data Lines                              </v>
      </c>
      <c r="C154" s="14"/>
      <c r="D154" s="1">
        <f>SUM(OSRRefD22_23x_0)</f>
        <v>3891.13</v>
      </c>
      <c r="E154" s="1"/>
      <c r="F154" s="5">
        <f t="shared" ref="F154:F156" si="102">IF(D$12=0,0,D154/D$12)</f>
        <v>2.4547709371165161E-3</v>
      </c>
      <c r="G154" s="1"/>
      <c r="H154" s="1">
        <f>SUM(OSRRefH22_23x_0)</f>
        <v>3799</v>
      </c>
      <c r="I154" s="1"/>
      <c r="J154" s="5">
        <f t="shared" ref="J154:J156" si="103">IF(H$12=0,0,H154/H$12)</f>
        <v>1.3334311440235504E-3</v>
      </c>
      <c r="K154" s="1"/>
      <c r="L154" s="1">
        <f t="shared" ref="L154:L156" si="104">+D154-H154</f>
        <v>92.130000000000109</v>
      </c>
      <c r="M154" s="1"/>
      <c r="N154" s="5">
        <f t="shared" ref="N154:N156" si="105">IF(H154=0,0,L154/H154)</f>
        <v>2.4251118715451464E-2</v>
      </c>
      <c r="O154" s="14"/>
      <c r="P154" s="1">
        <f>SUM(OSRRefP22_23x_0)</f>
        <v>25002.63</v>
      </c>
      <c r="Q154" s="1"/>
      <c r="R154" s="5">
        <f t="shared" ref="R154:R156" si="106">IF(P$12=0,0,P154/P$12)</f>
        <v>1.929107634762565E-3</v>
      </c>
      <c r="S154" s="1"/>
      <c r="T154" s="1">
        <f>SUM(OSRRefT22_23x_0)</f>
        <v>25893</v>
      </c>
      <c r="U154" s="1"/>
      <c r="V154" s="5">
        <f t="shared" ref="V154:V156" si="107">IF(T$12=0,0,T154/T$12)</f>
        <v>1.7825785629179737E-3</v>
      </c>
      <c r="W154" s="1"/>
      <c r="X154" s="1">
        <f t="shared" ref="X154:X156" si="108">+P154-T154</f>
        <v>-890.36999999999898</v>
      </c>
      <c r="Y154" s="1"/>
      <c r="Z154" s="5">
        <f t="shared" ref="Z154:Z156" si="109">IF(T154=0,0,X154/T154)</f>
        <v>-3.4386513729579384E-2</v>
      </c>
    </row>
    <row r="155" spans="1:26" s="24" customFormat="1" hidden="1" outlineLevel="2" x14ac:dyDescent="0.3">
      <c r="A155" s="27"/>
      <c r="B155" s="11" t="str">
        <f>CONCATENATE("          ", "6303", " - ", "DATA PHONE LINES")</f>
        <v xml:space="preserve">          6303 - DATA PHONE LINES</v>
      </c>
      <c r="C155" s="11"/>
      <c r="D155" s="7"/>
      <c r="E155" s="2"/>
      <c r="F155" s="6">
        <f t="shared" si="102"/>
        <v>0</v>
      </c>
      <c r="G155" s="2"/>
      <c r="H155" s="7">
        <v>243</v>
      </c>
      <c r="I155" s="2"/>
      <c r="J155" s="6">
        <f t="shared" si="103"/>
        <v>8.5291857856731445E-5</v>
      </c>
      <c r="K155" s="2"/>
      <c r="L155" s="7">
        <f t="shared" si="104"/>
        <v>-243</v>
      </c>
      <c r="M155" s="2"/>
      <c r="N155" s="6">
        <f t="shared" si="105"/>
        <v>-1</v>
      </c>
      <c r="O155" s="11"/>
      <c r="P155" s="7">
        <v>295</v>
      </c>
      <c r="Q155" s="2"/>
      <c r="R155" s="6">
        <f t="shared" si="106"/>
        <v>2.2761075625042511E-5</v>
      </c>
      <c r="S155" s="2"/>
      <c r="T155" s="7">
        <v>1701</v>
      </c>
      <c r="U155" s="2"/>
      <c r="V155" s="6">
        <f t="shared" si="107"/>
        <v>1.1710370121358951E-4</v>
      </c>
      <c r="W155" s="2"/>
      <c r="X155" s="7">
        <f t="shared" si="108"/>
        <v>-1406</v>
      </c>
      <c r="Y155" s="2"/>
      <c r="Z155" s="6">
        <f t="shared" si="109"/>
        <v>-0.82657260435038216</v>
      </c>
    </row>
    <row r="156" spans="1:26" s="24" customFormat="1" hidden="1" outlineLevel="2" x14ac:dyDescent="0.3">
      <c r="A156" s="27"/>
      <c r="B156" s="11" t="str">
        <f>CONCATENATE("          ", "6309", " - ", "TELEPHONE")</f>
        <v xml:space="preserve">          6309 - TELEPHONE</v>
      </c>
      <c r="C156" s="11"/>
      <c r="D156" s="7">
        <v>3891.13</v>
      </c>
      <c r="E156" s="2"/>
      <c r="F156" s="6">
        <f t="shared" si="102"/>
        <v>2.4547709371165161E-3</v>
      </c>
      <c r="G156" s="2"/>
      <c r="H156" s="7">
        <v>3556</v>
      </c>
      <c r="I156" s="2"/>
      <c r="J156" s="6">
        <f t="shared" si="103"/>
        <v>1.2481392861668189E-3</v>
      </c>
      <c r="K156" s="2"/>
      <c r="L156" s="7">
        <f t="shared" si="104"/>
        <v>335.13000000000011</v>
      </c>
      <c r="M156" s="2"/>
      <c r="N156" s="6">
        <f t="shared" si="105"/>
        <v>9.4243532058492716E-2</v>
      </c>
      <c r="O156" s="11"/>
      <c r="P156" s="7">
        <v>24707.63</v>
      </c>
      <c r="Q156" s="2"/>
      <c r="R156" s="6">
        <f t="shared" si="106"/>
        <v>1.9063465591375225E-3</v>
      </c>
      <c r="S156" s="2"/>
      <c r="T156" s="7">
        <v>24192</v>
      </c>
      <c r="U156" s="2"/>
      <c r="V156" s="6">
        <f t="shared" si="107"/>
        <v>1.6654748617043842E-3</v>
      </c>
      <c r="W156" s="2"/>
      <c r="X156" s="7">
        <f t="shared" si="108"/>
        <v>515.63000000000102</v>
      </c>
      <c r="Y156" s="2"/>
      <c r="Z156" s="6">
        <f t="shared" si="109"/>
        <v>2.1314070767195808E-2</v>
      </c>
    </row>
    <row r="157" spans="1:26" s="28" customFormat="1" outlineLevel="1" collapsed="1" x14ac:dyDescent="0.3">
      <c r="A157" s="29"/>
      <c r="B157" s="14" t="str">
        <f>CONCATENATE("     ","Training                                          ")</f>
        <v xml:space="preserve">     Training                                          </v>
      </c>
      <c r="C157" s="14"/>
      <c r="D157" s="1">
        <f>SUM(OSRRefD22_24x_0)</f>
        <v>323.87</v>
      </c>
      <c r="E157" s="1"/>
      <c r="F157" s="5">
        <f t="shared" ref="F157:F162" si="110">IF(D$12=0,0,D157/D$12)</f>
        <v>2.0431768237091179E-4</v>
      </c>
      <c r="G157" s="1"/>
      <c r="H157" s="1">
        <f>SUM(OSRRefH22_24x_0)</f>
        <v>2795</v>
      </c>
      <c r="I157" s="1"/>
      <c r="J157" s="5">
        <f t="shared" ref="J157:J162" si="111">IF(H$12=0,0,H157/H$12)</f>
        <v>9.8103186300232243E-4</v>
      </c>
      <c r="K157" s="1"/>
      <c r="L157" s="1">
        <f t="shared" ref="L157:L162" si="112">+D157-H157</f>
        <v>-2471.13</v>
      </c>
      <c r="M157" s="1"/>
      <c r="N157" s="5">
        <f t="shared" ref="N157:N162" si="113">IF(H157=0,0,L157/H157)</f>
        <v>-0.8841252236135958</v>
      </c>
      <c r="O157" s="14"/>
      <c r="P157" s="1">
        <f>SUM(OSRRefP22_24x_0)</f>
        <v>3988.87</v>
      </c>
      <c r="Q157" s="1"/>
      <c r="R157" s="5">
        <f t="shared" ref="R157:R162" si="114">IF(P$12=0,0,P157/P$12)</f>
        <v>3.0776600585919768E-4</v>
      </c>
      <c r="S157" s="1"/>
      <c r="T157" s="1">
        <f>SUM(OSRRefT22_24x_0)</f>
        <v>7510</v>
      </c>
      <c r="U157" s="1"/>
      <c r="V157" s="5">
        <f t="shared" ref="V157:V162" si="115">IF(T$12=0,0,T157/T$12)</f>
        <v>5.1701869260085671E-4</v>
      </c>
      <c r="W157" s="1"/>
      <c r="X157" s="1">
        <f t="shared" ref="X157:X162" si="116">+P157-T157</f>
        <v>-3521.13</v>
      </c>
      <c r="Y157" s="1"/>
      <c r="Z157" s="5">
        <f t="shared" ref="Z157:Z162" si="117">IF(T157=0,0,X157/T157)</f>
        <v>-0.46885885486018641</v>
      </c>
    </row>
    <row r="158" spans="1:26" s="24" customFormat="1" hidden="1" outlineLevel="2" x14ac:dyDescent="0.3">
      <c r="A158" s="27"/>
      <c r="B158" s="11" t="str">
        <f>CONCATENATE("          ", "6376", " - ", "TRAINING")</f>
        <v xml:space="preserve">          6376 - TRAINING</v>
      </c>
      <c r="C158" s="11"/>
      <c r="D158" s="7">
        <v>323.87</v>
      </c>
      <c r="E158" s="2"/>
      <c r="F158" s="6">
        <f t="shared" si="110"/>
        <v>2.0431768237091179E-4</v>
      </c>
      <c r="G158" s="2"/>
      <c r="H158" s="7">
        <v>2795</v>
      </c>
      <c r="I158" s="2"/>
      <c r="J158" s="6">
        <f t="shared" si="111"/>
        <v>9.8103186300232243E-4</v>
      </c>
      <c r="K158" s="2"/>
      <c r="L158" s="7">
        <f t="shared" si="112"/>
        <v>-2471.13</v>
      </c>
      <c r="M158" s="2"/>
      <c r="N158" s="6">
        <f t="shared" si="113"/>
        <v>-0.8841252236135958</v>
      </c>
      <c r="O158" s="11"/>
      <c r="P158" s="7">
        <v>3988.87</v>
      </c>
      <c r="Q158" s="2"/>
      <c r="R158" s="6">
        <f t="shared" si="114"/>
        <v>3.0776600585919768E-4</v>
      </c>
      <c r="S158" s="2"/>
      <c r="T158" s="7">
        <v>7510</v>
      </c>
      <c r="U158" s="2"/>
      <c r="V158" s="6">
        <f t="shared" si="115"/>
        <v>5.1701869260085671E-4</v>
      </c>
      <c r="W158" s="2"/>
      <c r="X158" s="7">
        <f t="shared" si="116"/>
        <v>-3521.13</v>
      </c>
      <c r="Y158" s="2"/>
      <c r="Z158" s="6">
        <f t="shared" si="117"/>
        <v>-0.46885885486018641</v>
      </c>
    </row>
    <row r="159" spans="1:26" s="28" customFormat="1" outlineLevel="1" collapsed="1" x14ac:dyDescent="0.3">
      <c r="A159" s="29"/>
      <c r="B159" s="14" t="str">
        <f>CONCATENATE("     ","Travel                                            ")</f>
        <v xml:space="preserve">     Travel                                            </v>
      </c>
      <c r="C159" s="14"/>
      <c r="D159" s="1">
        <f>SUM(OSRRefD22_25x_0)</f>
        <v>0</v>
      </c>
      <c r="E159" s="1"/>
      <c r="F159" s="5">
        <f t="shared" si="110"/>
        <v>0</v>
      </c>
      <c r="G159" s="1"/>
      <c r="H159" s="1">
        <f>SUM(OSRRefH22_25x_0)</f>
        <v>175</v>
      </c>
      <c r="I159" s="1"/>
      <c r="J159" s="5">
        <f t="shared" si="111"/>
        <v>6.142417746883951E-5</v>
      </c>
      <c r="K159" s="1"/>
      <c r="L159" s="1">
        <f t="shared" si="112"/>
        <v>-175</v>
      </c>
      <c r="M159" s="1"/>
      <c r="N159" s="5">
        <f t="shared" si="113"/>
        <v>-1</v>
      </c>
      <c r="O159" s="14"/>
      <c r="P159" s="1">
        <f>SUM(OSRRefP22_25x_0)</f>
        <v>1599.62</v>
      </c>
      <c r="Q159" s="1"/>
      <c r="R159" s="5">
        <f t="shared" si="114"/>
        <v>1.2342058234349323E-4</v>
      </c>
      <c r="S159" s="1"/>
      <c r="T159" s="1">
        <f>SUM(OSRRefT22_25x_0)</f>
        <v>1475</v>
      </c>
      <c r="U159" s="1"/>
      <c r="V159" s="5">
        <f t="shared" si="115"/>
        <v>1.0154494961201912E-4</v>
      </c>
      <c r="W159" s="1"/>
      <c r="X159" s="1">
        <f t="shared" si="116"/>
        <v>124.61999999999989</v>
      </c>
      <c r="Y159" s="1"/>
      <c r="Z159" s="5">
        <f t="shared" si="117"/>
        <v>8.448813559322027E-2</v>
      </c>
    </row>
    <row r="160" spans="1:26" s="24" customFormat="1" hidden="1" outlineLevel="2" x14ac:dyDescent="0.3">
      <c r="A160" s="27"/>
      <c r="B160" s="11" t="str">
        <f>CONCATENATE("          ", "6292", " - ", "TRAVEL/CONFERENCE")</f>
        <v xml:space="preserve">          6292 - TRAVEL/CONFERENCE</v>
      </c>
      <c r="C160" s="11"/>
      <c r="D160" s="7"/>
      <c r="E160" s="2"/>
      <c r="F160" s="6">
        <f t="shared" si="110"/>
        <v>0</v>
      </c>
      <c r="G160" s="2"/>
      <c r="H160" s="7">
        <v>125</v>
      </c>
      <c r="I160" s="2"/>
      <c r="J160" s="6">
        <f t="shared" si="111"/>
        <v>4.3874412477742507E-5</v>
      </c>
      <c r="K160" s="2"/>
      <c r="L160" s="7">
        <f t="shared" si="112"/>
        <v>-125</v>
      </c>
      <c r="M160" s="2"/>
      <c r="N160" s="6">
        <f t="shared" si="113"/>
        <v>-1</v>
      </c>
      <c r="O160" s="11"/>
      <c r="P160" s="7">
        <v>1108.5899999999999</v>
      </c>
      <c r="Q160" s="2"/>
      <c r="R160" s="6">
        <f t="shared" si="114"/>
        <v>8.553457907513856E-5</v>
      </c>
      <c r="S160" s="2"/>
      <c r="T160" s="7">
        <v>875</v>
      </c>
      <c r="U160" s="2"/>
      <c r="V160" s="6">
        <f t="shared" si="115"/>
        <v>6.0238529430858801E-5</v>
      </c>
      <c r="W160" s="2"/>
      <c r="X160" s="7">
        <f t="shared" si="116"/>
        <v>233.58999999999992</v>
      </c>
      <c r="Y160" s="2"/>
      <c r="Z160" s="6">
        <f t="shared" si="117"/>
        <v>0.26695999999999992</v>
      </c>
    </row>
    <row r="161" spans="1:26" s="24" customFormat="1" hidden="1" outlineLevel="2" x14ac:dyDescent="0.3">
      <c r="A161" s="27"/>
      <c r="B161" s="11" t="str">
        <f>CONCATENATE("          ", "6294", " - ", "TRAVEL OPERATIONAL")</f>
        <v xml:space="preserve">          6294 - TRAVEL OPERATIONAL</v>
      </c>
      <c r="C161" s="11"/>
      <c r="D161" s="7"/>
      <c r="E161" s="2"/>
      <c r="F161" s="6">
        <f t="shared" si="110"/>
        <v>0</v>
      </c>
      <c r="G161" s="2"/>
      <c r="H161" s="7">
        <v>25</v>
      </c>
      <c r="I161" s="2"/>
      <c r="J161" s="6">
        <f t="shared" si="111"/>
        <v>8.7748824955485014E-6</v>
      </c>
      <c r="K161" s="2"/>
      <c r="L161" s="7">
        <f t="shared" si="112"/>
        <v>-25</v>
      </c>
      <c r="M161" s="2"/>
      <c r="N161" s="6">
        <f t="shared" si="113"/>
        <v>-1</v>
      </c>
      <c r="O161" s="11"/>
      <c r="P161" s="7">
        <v>239.93</v>
      </c>
      <c r="Q161" s="2"/>
      <c r="R161" s="6">
        <f t="shared" si="114"/>
        <v>1.8512084321072712E-5</v>
      </c>
      <c r="S161" s="2"/>
      <c r="T161" s="7">
        <v>175</v>
      </c>
      <c r="U161" s="2"/>
      <c r="V161" s="6">
        <f t="shared" si="115"/>
        <v>1.204770588617176E-5</v>
      </c>
      <c r="W161" s="2"/>
      <c r="X161" s="7">
        <f t="shared" si="116"/>
        <v>64.930000000000007</v>
      </c>
      <c r="Y161" s="2"/>
      <c r="Z161" s="6">
        <f t="shared" si="117"/>
        <v>0.37102857142857149</v>
      </c>
    </row>
    <row r="162" spans="1:26" s="24" customFormat="1" hidden="1" outlineLevel="2" x14ac:dyDescent="0.3">
      <c r="A162" s="27"/>
      <c r="B162" s="11" t="str">
        <f>CONCATENATE("          ", "6298", " - ", "VEHICLE MILEAGE")</f>
        <v xml:space="preserve">          6298 - VEHICLE MILEAGE</v>
      </c>
      <c r="C162" s="11"/>
      <c r="D162" s="7"/>
      <c r="E162" s="2"/>
      <c r="F162" s="6">
        <f t="shared" si="110"/>
        <v>0</v>
      </c>
      <c r="G162" s="2"/>
      <c r="H162" s="7">
        <v>25</v>
      </c>
      <c r="I162" s="2"/>
      <c r="J162" s="6">
        <f t="shared" si="111"/>
        <v>8.7748824955485014E-6</v>
      </c>
      <c r="K162" s="2"/>
      <c r="L162" s="7">
        <f t="shared" si="112"/>
        <v>-25</v>
      </c>
      <c r="M162" s="2"/>
      <c r="N162" s="6">
        <f t="shared" si="113"/>
        <v>-1</v>
      </c>
      <c r="O162" s="11"/>
      <c r="P162" s="7">
        <v>251.1</v>
      </c>
      <c r="Q162" s="2"/>
      <c r="R162" s="6">
        <f t="shared" si="114"/>
        <v>1.9373918947281946E-5</v>
      </c>
      <c r="S162" s="2"/>
      <c r="T162" s="7">
        <v>425</v>
      </c>
      <c r="U162" s="2"/>
      <c r="V162" s="6">
        <f t="shared" si="115"/>
        <v>2.9258714294988561E-5</v>
      </c>
      <c r="W162" s="2"/>
      <c r="X162" s="7">
        <f t="shared" si="116"/>
        <v>-173.9</v>
      </c>
      <c r="Y162" s="2"/>
      <c r="Z162" s="6">
        <f t="shared" si="117"/>
        <v>-0.40917647058823531</v>
      </c>
    </row>
    <row r="163" spans="1:26" s="28" customFormat="1" outlineLevel="1" collapsed="1" x14ac:dyDescent="0.3">
      <c r="A163" s="29"/>
      <c r="B163" s="14" t="str">
        <f>CONCATENATE("     ","Utilities                                         ")</f>
        <v xml:space="preserve">     Utilities                                         </v>
      </c>
      <c r="C163" s="14"/>
      <c r="D163" s="1">
        <f>SUM(OSRRefD22_26x_0)</f>
        <v>14542.91</v>
      </c>
      <c r="E163" s="1"/>
      <c r="F163" s="5">
        <f t="shared" ref="F163:F164" si="118">IF(D$12=0,0,D163/D$12)</f>
        <v>9.174587538607332E-3</v>
      </c>
      <c r="G163" s="1"/>
      <c r="H163" s="1">
        <f>SUM(OSRRefH22_26x_0)</f>
        <v>14787</v>
      </c>
      <c r="I163" s="1"/>
      <c r="J163" s="5">
        <f t="shared" ref="J163:J164" si="119">IF(H$12=0,0,H163/H$12)</f>
        <v>5.1901674984670279E-3</v>
      </c>
      <c r="K163" s="1"/>
      <c r="L163" s="1">
        <f t="shared" ref="L163:L164" si="120">+D163-H163</f>
        <v>-244.09000000000015</v>
      </c>
      <c r="M163" s="1"/>
      <c r="N163" s="5">
        <f t="shared" ref="N163:N164" si="121">IF(H163=0,0,L163/H163)</f>
        <v>-1.650706701832692E-2</v>
      </c>
      <c r="O163" s="14"/>
      <c r="P163" s="1">
        <f>SUM(OSRRefP22_26x_0)</f>
        <v>91889.42</v>
      </c>
      <c r="Q163" s="1"/>
      <c r="R163" s="5">
        <f t="shared" ref="R163:R164" si="122">IF(P$12=0,0,P163/P$12)</f>
        <v>7.0898374161399791E-3</v>
      </c>
      <c r="S163" s="1"/>
      <c r="T163" s="1">
        <f>SUM(OSRRefT22_26x_0)</f>
        <v>103509</v>
      </c>
      <c r="U163" s="1"/>
      <c r="V163" s="5">
        <f t="shared" ref="V163:V164" si="123">IF(T$12=0,0,T163/T$12)</f>
        <v>7.1259770775528725E-3</v>
      </c>
      <c r="W163" s="1"/>
      <c r="X163" s="1">
        <f t="shared" ref="X163:X164" si="124">+P163-T163</f>
        <v>-11619.580000000002</v>
      </c>
      <c r="Y163" s="1"/>
      <c r="Z163" s="5">
        <f t="shared" ref="Z163:Z164" si="125">IF(T163=0,0,X163/T163)</f>
        <v>-0.11225671197673634</v>
      </c>
    </row>
    <row r="164" spans="1:26" s="24" customFormat="1" hidden="1" outlineLevel="2" x14ac:dyDescent="0.3">
      <c r="A164" s="27"/>
      <c r="B164" s="11" t="str">
        <f>CONCATENATE("          ", "6274", " - ", "UTILITIES")</f>
        <v xml:space="preserve">          6274 - UTILITIES</v>
      </c>
      <c r="C164" s="11"/>
      <c r="D164" s="7">
        <v>14542.91</v>
      </c>
      <c r="E164" s="2"/>
      <c r="F164" s="6">
        <f t="shared" si="118"/>
        <v>9.174587538607332E-3</v>
      </c>
      <c r="G164" s="2"/>
      <c r="H164" s="7">
        <v>14787</v>
      </c>
      <c r="I164" s="2"/>
      <c r="J164" s="6">
        <f t="shared" si="119"/>
        <v>5.1901674984670279E-3</v>
      </c>
      <c r="K164" s="2"/>
      <c r="L164" s="7">
        <f t="shared" si="120"/>
        <v>-244.09000000000015</v>
      </c>
      <c r="M164" s="2"/>
      <c r="N164" s="6">
        <f t="shared" si="121"/>
        <v>-1.650706701832692E-2</v>
      </c>
      <c r="O164" s="11"/>
      <c r="P164" s="7">
        <v>91889.42</v>
      </c>
      <c r="Q164" s="2"/>
      <c r="R164" s="6">
        <f t="shared" si="122"/>
        <v>7.0898374161399791E-3</v>
      </c>
      <c r="S164" s="2"/>
      <c r="T164" s="7">
        <v>103509</v>
      </c>
      <c r="U164" s="2"/>
      <c r="V164" s="6">
        <f t="shared" si="123"/>
        <v>7.1259770775528725E-3</v>
      </c>
      <c r="W164" s="2"/>
      <c r="X164" s="7">
        <f t="shared" si="124"/>
        <v>-11619.580000000002</v>
      </c>
      <c r="Y164" s="2"/>
      <c r="Z164" s="6">
        <f t="shared" si="125"/>
        <v>-0.11225671197673634</v>
      </c>
    </row>
    <row r="165" spans="1:26" s="55" customFormat="1" x14ac:dyDescent="0.3">
      <c r="A165" s="36"/>
      <c r="B165" s="36"/>
      <c r="C165" s="36"/>
      <c r="D165" s="1"/>
      <c r="E165" s="1"/>
      <c r="F165" s="5"/>
      <c r="G165" s="1"/>
      <c r="H165" s="1"/>
      <c r="I165" s="1"/>
      <c r="J165" s="5"/>
      <c r="K165" s="1"/>
      <c r="L165" s="1"/>
      <c r="M165" s="1"/>
      <c r="N165" s="5"/>
      <c r="O165" s="36"/>
      <c r="P165" s="1"/>
      <c r="Q165" s="1"/>
      <c r="R165" s="5"/>
      <c r="S165" s="1"/>
      <c r="T165" s="1"/>
      <c r="U165" s="1"/>
      <c r="V165" s="5"/>
      <c r="W165" s="1"/>
      <c r="X165" s="1"/>
      <c r="Y165" s="1"/>
      <c r="Z165" s="5"/>
    </row>
    <row r="166" spans="1:26" s="23" customFormat="1" collapsed="1" x14ac:dyDescent="0.3">
      <c r="A166" s="10"/>
      <c r="B166" s="25" t="s">
        <v>293</v>
      </c>
      <c r="C166" s="10"/>
      <c r="D166" s="4">
        <f>SUM(OSRRefD25x_0)</f>
        <v>54263.9</v>
      </c>
      <c r="E166" s="4"/>
      <c r="F166" s="12">
        <f t="shared" ref="F166:F174" si="126">IF(D$12=0,0,D166/D$12)</f>
        <v>3.4233100578648597E-2</v>
      </c>
      <c r="G166" s="4"/>
      <c r="H166" s="4">
        <f>SUM(OSRRefH25x_0)</f>
        <v>77882.92</v>
      </c>
      <c r="I166" s="4"/>
      <c r="J166" s="12">
        <f t="shared" ref="J166:J174" si="127">IF(H$12=0,0,H166/H$12)</f>
        <v>2.7336538856408174E-2</v>
      </c>
      <c r="K166" s="4"/>
      <c r="L166" s="4">
        <f t="shared" ref="L166:L174" si="128">+D166-H166</f>
        <v>-23619.019999999997</v>
      </c>
      <c r="M166" s="4"/>
      <c r="N166" s="12">
        <f t="shared" ref="N166:N174" si="129">IF(H166=0,0,L166/H166)</f>
        <v>-0.30326315448881469</v>
      </c>
      <c r="O166" s="10"/>
      <c r="P166" s="4">
        <f>SUM(OSRRefP25x_0)</f>
        <v>667119.56000000006</v>
      </c>
      <c r="Q166" s="4"/>
      <c r="R166" s="12">
        <f t="shared" ref="R166:R174" si="130">IF(P$12=0,0,P166/P$12)</f>
        <v>5.1472402563068093E-2</v>
      </c>
      <c r="S166" s="4"/>
      <c r="T166" s="4">
        <f>SUM(OSRRefT25x_0)</f>
        <v>506870.42000000004</v>
      </c>
      <c r="U166" s="4"/>
      <c r="V166" s="12">
        <f t="shared" ref="V166:V174" si="131">IF(T$12=0,0,T166/T$12)</f>
        <v>3.4895004243202014E-2</v>
      </c>
      <c r="W166" s="4"/>
      <c r="X166" s="4">
        <f t="shared" ref="X166:X174" si="132">+P166-T166</f>
        <v>160249.14000000001</v>
      </c>
      <c r="Y166" s="4"/>
      <c r="Z166" s="12">
        <f t="shared" ref="Z166:Z174" si="133">IF(T166=0,0,X166/T166)</f>
        <v>0.31615405767809451</v>
      </c>
    </row>
    <row r="167" spans="1:26" s="24" customFormat="1" hidden="1" outlineLevel="1" x14ac:dyDescent="0.3">
      <c r="A167" s="44"/>
      <c r="B167" s="11" t="str">
        <f>CONCATENATE("          ", "4187", " - ", "NON-TAXABLE SALES-COMPUTER REP")</f>
        <v xml:space="preserve">          4187 - NON-TAXABLE SALES-COMPUTER REP</v>
      </c>
      <c r="C167" s="11"/>
      <c r="D167" s="2">
        <f>0</f>
        <v>0</v>
      </c>
      <c r="E167" s="2"/>
      <c r="F167" s="19">
        <f t="shared" si="126"/>
        <v>0</v>
      </c>
      <c r="G167" s="2"/>
      <c r="H167" s="2"/>
      <c r="I167" s="2"/>
      <c r="J167" s="19">
        <f t="shared" si="127"/>
        <v>0</v>
      </c>
      <c r="K167" s="2"/>
      <c r="L167" s="2">
        <f t="shared" si="128"/>
        <v>0</v>
      </c>
      <c r="M167" s="2"/>
      <c r="N167" s="19">
        <f t="shared" si="129"/>
        <v>0</v>
      </c>
      <c r="O167" s="11"/>
      <c r="P167" s="2">
        <f>0</f>
        <v>0</v>
      </c>
      <c r="Q167" s="2"/>
      <c r="R167" s="19">
        <f t="shared" si="130"/>
        <v>0</v>
      </c>
      <c r="S167" s="2"/>
      <c r="T167" s="2"/>
      <c r="U167" s="2"/>
      <c r="V167" s="19">
        <f t="shared" si="131"/>
        <v>0</v>
      </c>
      <c r="W167" s="2"/>
      <c r="X167" s="2">
        <f t="shared" si="132"/>
        <v>0</v>
      </c>
      <c r="Y167" s="2"/>
      <c r="Z167" s="19">
        <f t="shared" si="133"/>
        <v>0</v>
      </c>
    </row>
    <row r="168" spans="1:26" s="24" customFormat="1" hidden="1" outlineLevel="1" x14ac:dyDescent="0.3">
      <c r="A168" s="44"/>
      <c r="B168" s="11" t="str">
        <f>CONCATENATE("          ", "9087", " - ", "")</f>
        <v xml:space="preserve">          9087 - </v>
      </c>
      <c r="C168" s="11"/>
      <c r="D168" s="2">
        <f>--1293.31</f>
        <v>1293.31</v>
      </c>
      <c r="E168" s="2"/>
      <c r="F168" s="19">
        <f t="shared" si="126"/>
        <v>8.1590175622047096E-4</v>
      </c>
      <c r="G168" s="2"/>
      <c r="H168" s="2"/>
      <c r="I168" s="2"/>
      <c r="J168" s="19">
        <f t="shared" si="127"/>
        <v>0</v>
      </c>
      <c r="K168" s="2"/>
      <c r="L168" s="2">
        <f t="shared" si="128"/>
        <v>1293.31</v>
      </c>
      <c r="M168" s="2"/>
      <c r="N168" s="19">
        <f t="shared" si="129"/>
        <v>0</v>
      </c>
      <c r="O168" s="11"/>
      <c r="P168" s="2">
        <f>--1631.01</f>
        <v>1631.01</v>
      </c>
      <c r="Q168" s="2"/>
      <c r="R168" s="19">
        <f t="shared" si="130"/>
        <v>1.2584251510237488E-4</v>
      </c>
      <c r="S168" s="2"/>
      <c r="T168" s="2"/>
      <c r="U168" s="2"/>
      <c r="V168" s="19">
        <f t="shared" si="131"/>
        <v>0</v>
      </c>
      <c r="W168" s="2"/>
      <c r="X168" s="2">
        <f t="shared" si="132"/>
        <v>1631.01</v>
      </c>
      <c r="Y168" s="2"/>
      <c r="Z168" s="19">
        <f t="shared" si="133"/>
        <v>0</v>
      </c>
    </row>
    <row r="169" spans="1:26" s="24" customFormat="1" hidden="1" outlineLevel="1" x14ac:dyDescent="0.3">
      <c r="A169" s="44"/>
      <c r="B169" s="11" t="str">
        <f>CONCATENATE("          ", "9150", " - ", "MISC. INCOME")</f>
        <v xml:space="preserve">          9150 - MISC. INCOME</v>
      </c>
      <c r="C169" s="11"/>
      <c r="D169" s="2">
        <f>--42617.9</f>
        <v>42617.9</v>
      </c>
      <c r="E169" s="2"/>
      <c r="F169" s="19">
        <f t="shared" si="126"/>
        <v>2.6886067111851306E-2</v>
      </c>
      <c r="G169" s="2"/>
      <c r="H169" s="2">
        <v>29599</v>
      </c>
      <c r="I169" s="2"/>
      <c r="J169" s="19">
        <f t="shared" si="127"/>
        <v>1.0389109879429604E-2</v>
      </c>
      <c r="K169" s="2"/>
      <c r="L169" s="2">
        <f t="shared" si="128"/>
        <v>13018.900000000001</v>
      </c>
      <c r="M169" s="2"/>
      <c r="N169" s="19">
        <f t="shared" si="129"/>
        <v>0.43984256224872464</v>
      </c>
      <c r="O169" s="11"/>
      <c r="P169" s="2">
        <f>--410797.2</f>
        <v>410797.2</v>
      </c>
      <c r="Q169" s="2"/>
      <c r="R169" s="19">
        <f t="shared" si="130"/>
        <v>3.1695546222900724E-2</v>
      </c>
      <c r="S169" s="2"/>
      <c r="T169" s="2">
        <v>152273</v>
      </c>
      <c r="U169" s="2"/>
      <c r="V169" s="19">
        <f t="shared" si="131"/>
        <v>1.0483087533743043E-2</v>
      </c>
      <c r="W169" s="2"/>
      <c r="X169" s="2">
        <f t="shared" si="132"/>
        <v>258524.2</v>
      </c>
      <c r="Y169" s="2"/>
      <c r="Z169" s="19">
        <f t="shared" si="133"/>
        <v>1.697767824893448</v>
      </c>
    </row>
    <row r="170" spans="1:26" s="24" customFormat="1" hidden="1" outlineLevel="1" x14ac:dyDescent="0.3">
      <c r="A170" s="44"/>
      <c r="B170" s="11" t="str">
        <f>CONCATENATE("          ", "9151", " - ", "MISC. INCOME")</f>
        <v xml:space="preserve">          9151 - MISC. INCOME</v>
      </c>
      <c r="C170" s="11"/>
      <c r="D170" s="2">
        <f>--2958.75</f>
        <v>2958.75</v>
      </c>
      <c r="E170" s="2"/>
      <c r="F170" s="19">
        <f t="shared" si="126"/>
        <v>1.8665666554942887E-3</v>
      </c>
      <c r="G170" s="2"/>
      <c r="H170" s="2">
        <v>18317.330000000002</v>
      </c>
      <c r="I170" s="2"/>
      <c r="J170" s="19">
        <f t="shared" si="127"/>
        <v>6.4292967352874188E-3</v>
      </c>
      <c r="K170" s="2"/>
      <c r="L170" s="2">
        <f t="shared" si="128"/>
        <v>-15358.580000000002</v>
      </c>
      <c r="M170" s="2"/>
      <c r="N170" s="19">
        <f t="shared" si="129"/>
        <v>-0.83847263766061975</v>
      </c>
      <c r="O170" s="11"/>
      <c r="P170" s="2">
        <f>--171422.11</f>
        <v>171422.11</v>
      </c>
      <c r="Q170" s="2"/>
      <c r="R170" s="19">
        <f t="shared" si="130"/>
        <v>1.3226276642421545E-2</v>
      </c>
      <c r="S170" s="2"/>
      <c r="T170" s="2">
        <v>266297.83</v>
      </c>
      <c r="U170" s="2"/>
      <c r="V170" s="19">
        <f t="shared" si="131"/>
        <v>1.833301676551867E-2</v>
      </c>
      <c r="W170" s="2"/>
      <c r="X170" s="2">
        <f t="shared" si="132"/>
        <v>-94875.72000000003</v>
      </c>
      <c r="Y170" s="2"/>
      <c r="Z170" s="19">
        <f t="shared" si="133"/>
        <v>-0.35627672970523278</v>
      </c>
    </row>
    <row r="171" spans="1:26" s="24" customFormat="1" hidden="1" outlineLevel="1" x14ac:dyDescent="0.3">
      <c r="A171" s="44"/>
      <c r="B171" s="11" t="str">
        <f>CONCATENATE("          ", "9152", " - ", "MISC. INCOME")</f>
        <v xml:space="preserve">          9152 - MISC. INCOME</v>
      </c>
      <c r="C171" s="11"/>
      <c r="D171" s="2">
        <f>--366.44</f>
        <v>366.44</v>
      </c>
      <c r="E171" s="2"/>
      <c r="F171" s="19">
        <f t="shared" si="126"/>
        <v>2.3117353113285243E-4</v>
      </c>
      <c r="G171" s="2"/>
      <c r="H171" s="2"/>
      <c r="I171" s="2"/>
      <c r="J171" s="19">
        <f t="shared" si="127"/>
        <v>0</v>
      </c>
      <c r="K171" s="2"/>
      <c r="L171" s="2">
        <f t="shared" si="128"/>
        <v>366.44</v>
      </c>
      <c r="M171" s="2"/>
      <c r="N171" s="19">
        <f t="shared" si="129"/>
        <v>0</v>
      </c>
      <c r="O171" s="11"/>
      <c r="P171" s="2">
        <f>--3493.54</f>
        <v>3493.54</v>
      </c>
      <c r="Q171" s="2"/>
      <c r="R171" s="19">
        <f t="shared" si="130"/>
        <v>2.6954823098003733E-4</v>
      </c>
      <c r="S171" s="2"/>
      <c r="T171" s="2"/>
      <c r="U171" s="2"/>
      <c r="V171" s="19">
        <f t="shared" si="131"/>
        <v>0</v>
      </c>
      <c r="W171" s="2"/>
      <c r="X171" s="2">
        <f t="shared" si="132"/>
        <v>3493.54</v>
      </c>
      <c r="Y171" s="2"/>
      <c r="Z171" s="19">
        <f t="shared" si="133"/>
        <v>0</v>
      </c>
    </row>
    <row r="172" spans="1:26" s="24" customFormat="1" hidden="1" outlineLevel="1" x14ac:dyDescent="0.3">
      <c r="A172" s="44"/>
      <c r="B172" s="11" t="str">
        <f>CONCATENATE("          ", "9160", " - ", "MISC. INCOME")</f>
        <v xml:space="preserve">          9160 - MISC. INCOME</v>
      </c>
      <c r="C172" s="11"/>
      <c r="D172" s="2">
        <f>0</f>
        <v>0</v>
      </c>
      <c r="E172" s="2"/>
      <c r="F172" s="19">
        <f t="shared" si="126"/>
        <v>0</v>
      </c>
      <c r="G172" s="2"/>
      <c r="H172" s="2">
        <v>29966.59</v>
      </c>
      <c r="I172" s="2"/>
      <c r="J172" s="19">
        <f t="shared" si="127"/>
        <v>1.0518132241691151E-2</v>
      </c>
      <c r="K172" s="2"/>
      <c r="L172" s="2">
        <f t="shared" si="128"/>
        <v>-29966.59</v>
      </c>
      <c r="M172" s="2"/>
      <c r="N172" s="19">
        <f t="shared" si="129"/>
        <v>-1</v>
      </c>
      <c r="O172" s="11"/>
      <c r="P172" s="2">
        <f>0</f>
        <v>0</v>
      </c>
      <c r="Q172" s="2"/>
      <c r="R172" s="19">
        <f t="shared" si="130"/>
        <v>0</v>
      </c>
      <c r="S172" s="2"/>
      <c r="T172" s="2">
        <v>88299.59</v>
      </c>
      <c r="U172" s="2"/>
      <c r="V172" s="19">
        <f t="shared" si="131"/>
        <v>6.0788999439403031E-3</v>
      </c>
      <c r="W172" s="2"/>
      <c r="X172" s="2">
        <f t="shared" si="132"/>
        <v>-88299.59</v>
      </c>
      <c r="Y172" s="2"/>
      <c r="Z172" s="19">
        <f t="shared" si="133"/>
        <v>-1</v>
      </c>
    </row>
    <row r="173" spans="1:26" s="24" customFormat="1" hidden="1" outlineLevel="1" x14ac:dyDescent="0.3">
      <c r="A173" s="44"/>
      <c r="B173" s="11" t="str">
        <f>CONCATENATE("          ", "9163", " - ", "MISC. INCOME")</f>
        <v xml:space="preserve">          9163 - MISC. INCOME</v>
      </c>
      <c r="C173" s="11"/>
      <c r="D173" s="2">
        <f>--7027.5</f>
        <v>7027.5</v>
      </c>
      <c r="E173" s="2"/>
      <c r="F173" s="19">
        <f t="shared" si="126"/>
        <v>4.4333915239496789E-3</v>
      </c>
      <c r="G173" s="2"/>
      <c r="H173" s="2"/>
      <c r="I173" s="2"/>
      <c r="J173" s="19">
        <f t="shared" si="127"/>
        <v>0</v>
      </c>
      <c r="K173" s="2"/>
      <c r="L173" s="2">
        <f t="shared" si="128"/>
        <v>7027.5</v>
      </c>
      <c r="M173" s="2"/>
      <c r="N173" s="19">
        <f t="shared" si="129"/>
        <v>0</v>
      </c>
      <c r="O173" s="11"/>
      <c r="P173" s="2">
        <f>--79775.7</f>
        <v>79775.7</v>
      </c>
      <c r="Q173" s="2"/>
      <c r="R173" s="19">
        <f t="shared" si="130"/>
        <v>6.1551889516634024E-3</v>
      </c>
      <c r="S173" s="2"/>
      <c r="T173" s="2"/>
      <c r="U173" s="2"/>
      <c r="V173" s="19">
        <f t="shared" si="131"/>
        <v>0</v>
      </c>
      <c r="W173" s="2"/>
      <c r="X173" s="2">
        <f t="shared" si="132"/>
        <v>79775.7</v>
      </c>
      <c r="Y173" s="2"/>
      <c r="Z173" s="19">
        <f t="shared" si="133"/>
        <v>0</v>
      </c>
    </row>
    <row r="174" spans="1:26" s="24" customFormat="1" hidden="1" outlineLevel="1" x14ac:dyDescent="0.3">
      <c r="A174" s="44"/>
      <c r="B174" s="11" t="str">
        <f>CONCATENATE("          ", "9165", " - ", "OTHER INCOME")</f>
        <v xml:space="preserve">          9165 - OTHER INCOME</v>
      </c>
      <c r="C174" s="11"/>
      <c r="D174" s="2">
        <f>0</f>
        <v>0</v>
      </c>
      <c r="E174" s="2"/>
      <c r="F174" s="19">
        <f t="shared" si="126"/>
        <v>0</v>
      </c>
      <c r="G174" s="2"/>
      <c r="H174" s="2"/>
      <c r="I174" s="2"/>
      <c r="J174" s="19">
        <f t="shared" si="127"/>
        <v>0</v>
      </c>
      <c r="K174" s="2"/>
      <c r="L174" s="2">
        <f t="shared" si="128"/>
        <v>0</v>
      </c>
      <c r="M174" s="2"/>
      <c r="N174" s="19">
        <f t="shared" si="129"/>
        <v>0</v>
      </c>
      <c r="O174" s="11"/>
      <c r="P174" s="2">
        <f>0</f>
        <v>0</v>
      </c>
      <c r="Q174" s="2"/>
      <c r="R174" s="19">
        <f t="shared" si="130"/>
        <v>0</v>
      </c>
      <c r="S174" s="2"/>
      <c r="T174" s="2"/>
      <c r="U174" s="2"/>
      <c r="V174" s="19">
        <f t="shared" si="131"/>
        <v>0</v>
      </c>
      <c r="W174" s="2"/>
      <c r="X174" s="2">
        <f t="shared" si="132"/>
        <v>0</v>
      </c>
      <c r="Y174" s="2"/>
      <c r="Z174" s="19">
        <f t="shared" si="133"/>
        <v>0</v>
      </c>
    </row>
    <row r="175" spans="1:26" x14ac:dyDescent="0.3">
      <c r="A175" s="9"/>
      <c r="B175" s="10"/>
      <c r="C175" s="10"/>
      <c r="D175" s="3"/>
      <c r="E175" s="3"/>
      <c r="F175" s="8"/>
      <c r="G175" s="3"/>
      <c r="H175" s="3"/>
      <c r="I175" s="3"/>
      <c r="J175" s="8"/>
      <c r="K175" s="3"/>
      <c r="L175" s="3"/>
      <c r="M175" s="3"/>
      <c r="N175" s="8"/>
      <c r="O175" s="10"/>
      <c r="P175" s="3"/>
      <c r="Q175" s="3"/>
      <c r="R175" s="8"/>
      <c r="S175" s="3"/>
      <c r="T175" s="3"/>
      <c r="U175" s="3"/>
      <c r="V175" s="8"/>
      <c r="W175" s="3"/>
      <c r="X175" s="3"/>
      <c r="Y175" s="3"/>
      <c r="Z175" s="8"/>
    </row>
    <row r="176" spans="1:26" s="23" customFormat="1" x14ac:dyDescent="0.3">
      <c r="A176" s="10"/>
      <c r="B176" s="26" t="s">
        <v>277</v>
      </c>
      <c r="C176" s="26"/>
      <c r="D176" s="21">
        <f>+D62-D64+D166</f>
        <v>-7582.5500000000684</v>
      </c>
      <c r="E176" s="13"/>
      <c r="F176" s="22">
        <f>IF(D$12=0,0,D176/D$12)</f>
        <v>-4.7835521735930192E-3</v>
      </c>
      <c r="G176" s="13"/>
      <c r="H176" s="21">
        <f>+H62-H64+H166</f>
        <v>10438.19125880122</v>
      </c>
      <c r="I176" s="13"/>
      <c r="J176" s="22">
        <f>IF(H$12=0,0,H176/H$12)</f>
        <v>3.6637560704816884E-3</v>
      </c>
      <c r="K176" s="15"/>
      <c r="L176" s="21">
        <f>+D176-H176</f>
        <v>-18020.741258801288</v>
      </c>
      <c r="M176" s="15"/>
      <c r="N176" s="22">
        <f>IF(H176=0,0,L176/H176)</f>
        <v>-1.7264237464135994</v>
      </c>
      <c r="O176" s="25"/>
      <c r="P176" s="21">
        <f>+P62-P64+P166</f>
        <v>1059806.850000002</v>
      </c>
      <c r="Q176" s="13"/>
      <c r="R176" s="22">
        <f>IF(P$12=0,0,P176/P$12)</f>
        <v>8.1770657155214005E-2</v>
      </c>
      <c r="S176" s="13"/>
      <c r="T176" s="21">
        <f>+T62-T64+T166</f>
        <v>-259535.48602215375</v>
      </c>
      <c r="U176" s="13"/>
      <c r="V176" s="22">
        <f>IF(T$12=0,0,T176/T$12)</f>
        <v>-1.7867469729254574E-2</v>
      </c>
      <c r="W176" s="15"/>
      <c r="X176" s="21">
        <f>+P176-T176</f>
        <v>1319342.3360221558</v>
      </c>
      <c r="Y176" s="15"/>
      <c r="Z176" s="22">
        <f>IF(T176=0,0,X176/T176)</f>
        <v>-5.0834756982308686</v>
      </c>
    </row>
    <row r="177" spans="1:26" x14ac:dyDescent="0.3">
      <c r="A177" s="9"/>
      <c r="B177" s="10"/>
      <c r="C177" s="9"/>
      <c r="D177" s="3"/>
      <c r="E177" s="3"/>
      <c r="F177" s="8"/>
      <c r="G177" s="3"/>
      <c r="H177" s="3"/>
      <c r="I177" s="3"/>
      <c r="J177" s="8"/>
      <c r="K177" s="3"/>
      <c r="L177" s="3"/>
      <c r="M177" s="3"/>
      <c r="N177" s="8"/>
      <c r="P177" s="3"/>
      <c r="Q177" s="3"/>
      <c r="R177" s="8"/>
      <c r="S177" s="3"/>
      <c r="T177" s="3"/>
      <c r="U177" s="3"/>
      <c r="V177" s="8"/>
      <c r="W177" s="3"/>
      <c r="X177" s="3"/>
      <c r="Y177" s="3"/>
      <c r="Z177" s="8"/>
    </row>
    <row r="178" spans="1:26" s="23" customFormat="1" x14ac:dyDescent="0.3">
      <c r="A178" s="52"/>
      <c r="B178" s="10" t="s">
        <v>128</v>
      </c>
      <c r="C178" s="10"/>
      <c r="D178" s="4">
        <v>346287.75</v>
      </c>
      <c r="E178" s="4"/>
      <c r="F178" s="12">
        <f>IF(D$12=0,0,D178/D$12)</f>
        <v>0.21846021710389263</v>
      </c>
      <c r="G178" s="4"/>
      <c r="H178" s="4">
        <v>308229</v>
      </c>
      <c r="I178" s="4"/>
      <c r="J178" s="12">
        <f>IF(H$12=0,0,H178/H$12)</f>
        <v>0.10818693026881677</v>
      </c>
      <c r="K178" s="4"/>
      <c r="L178" s="4">
        <f>+D178-H178</f>
        <v>38058.75</v>
      </c>
      <c r="M178" s="4"/>
      <c r="N178" s="12">
        <f>IF(H178=0,0,L178/H178)</f>
        <v>0.12347556524532084</v>
      </c>
      <c r="O178" s="10"/>
      <c r="P178" s="4">
        <v>1715577.05</v>
      </c>
      <c r="Q178" s="4"/>
      <c r="R178" s="12">
        <f>IF(P$12=0,0,P178/P$12)</f>
        <v>0.13236738635809267</v>
      </c>
      <c r="S178" s="4"/>
      <c r="T178" s="4">
        <v>1820005</v>
      </c>
      <c r="U178" s="4"/>
      <c r="V178" s="12">
        <f>IF(T$12=0,0,T178/T$12)</f>
        <v>0.12529648543635449</v>
      </c>
      <c r="W178" s="4"/>
      <c r="X178" s="4">
        <f>+P178-T178</f>
        <v>-104427.94999999995</v>
      </c>
      <c r="Y178" s="4"/>
      <c r="Z178" s="12">
        <f>IF(T178=0,0,X178/T178)</f>
        <v>-5.7377836874074495E-2</v>
      </c>
    </row>
    <row r="179" spans="1:26" x14ac:dyDescent="0.3">
      <c r="A179" s="9"/>
      <c r="B179" s="10"/>
      <c r="C179" s="10"/>
      <c r="D179" s="3"/>
      <c r="E179" s="3"/>
      <c r="F179" s="8"/>
      <c r="G179" s="3"/>
      <c r="H179" s="3"/>
      <c r="I179" s="3"/>
      <c r="J179" s="8"/>
      <c r="K179" s="3"/>
      <c r="L179" s="3"/>
      <c r="M179" s="3"/>
      <c r="N179" s="8"/>
      <c r="O179" s="10"/>
      <c r="P179" s="3"/>
      <c r="Q179" s="3"/>
      <c r="R179" s="8"/>
      <c r="S179" s="3"/>
      <c r="T179" s="3"/>
      <c r="U179" s="3"/>
      <c r="V179" s="8"/>
      <c r="W179" s="3"/>
      <c r="X179" s="3"/>
      <c r="Y179" s="3"/>
      <c r="Z179" s="8"/>
    </row>
    <row r="180" spans="1:26" s="23" customFormat="1" ht="15" thickBot="1" x14ac:dyDescent="0.35">
      <c r="A180" s="10"/>
      <c r="B180" s="26" t="s">
        <v>126</v>
      </c>
      <c r="C180" s="26"/>
      <c r="D180" s="32">
        <f>+D176-D178</f>
        <v>-353870.30000000005</v>
      </c>
      <c r="E180" s="13"/>
      <c r="F180" s="31">
        <f>IF(D$12=0,0,D180/D$12)</f>
        <v>-0.22324376927748565</v>
      </c>
      <c r="G180" s="13"/>
      <c r="H180" s="32">
        <f>+H176-H178</f>
        <v>-297790.80874119879</v>
      </c>
      <c r="I180" s="13"/>
      <c r="J180" s="31">
        <f>IF(H$12=0,0,H180/H$12)</f>
        <v>-0.10452317419833508</v>
      </c>
      <c r="K180" s="15"/>
      <c r="L180" s="32">
        <f>D180-H180</f>
        <v>-56079.491258801252</v>
      </c>
      <c r="M180" s="15"/>
      <c r="N180" s="31">
        <f>IF(H180=0,0,L180/H180)</f>
        <v>0.18831840880467968</v>
      </c>
      <c r="O180" s="25"/>
      <c r="P180" s="32">
        <f>+P176-P178</f>
        <v>-655770.19999999809</v>
      </c>
      <c r="Q180" s="13"/>
      <c r="R180" s="31">
        <f>IF(P$12=0,0,P180/P$12)</f>
        <v>-5.0596729202878672E-2</v>
      </c>
      <c r="S180" s="13"/>
      <c r="T180" s="32">
        <f>+T176-T178</f>
        <v>-2079540.4860221539</v>
      </c>
      <c r="U180" s="13"/>
      <c r="V180" s="31">
        <f>IF(T$12=0,0,T180/T$12)</f>
        <v>-0.14316395516560906</v>
      </c>
      <c r="W180" s="15"/>
      <c r="X180" s="32">
        <f>P180-T180</f>
        <v>1423770.2860221558</v>
      </c>
      <c r="Y180" s="15"/>
      <c r="Z180" s="31">
        <f>IF(T180=0,0,X180/T180)</f>
        <v>-0.68465619957494206</v>
      </c>
    </row>
    <row r="181" spans="1:26" ht="15" thickTop="1" x14ac:dyDescent="0.3">
      <c r="A181" s="9"/>
      <c r="B181" s="9"/>
      <c r="C181" s="9"/>
      <c r="D181" s="3"/>
      <c r="E181" s="3"/>
      <c r="F181" s="8"/>
      <c r="G181" s="3"/>
      <c r="H181" s="3"/>
      <c r="I181" s="3"/>
      <c r="J181" s="8"/>
      <c r="K181" s="3"/>
      <c r="L181" s="3"/>
      <c r="M181" s="3"/>
      <c r="N181" s="8"/>
      <c r="P181" s="3"/>
      <c r="Q181" s="3"/>
      <c r="R181" s="8"/>
      <c r="S181" s="3"/>
      <c r="T181" s="3"/>
      <c r="U181" s="3"/>
      <c r="V181" s="8"/>
      <c r="W181" s="3"/>
      <c r="X181" s="3"/>
      <c r="Y181" s="3"/>
      <c r="Z181" s="8"/>
    </row>
    <row r="182" spans="1:26" s="23" customFormat="1" x14ac:dyDescent="0.3">
      <c r="A182" s="52"/>
      <c r="B182" s="10" t="s">
        <v>184</v>
      </c>
      <c r="C182" s="10"/>
      <c r="D182" s="4">
        <f>-529057.18</f>
        <v>-529057.18000000005</v>
      </c>
      <c r="E182" s="4"/>
      <c r="F182" s="12">
        <f t="shared" ref="F182:F183" si="134">IF(D$12=0,0,D182/D$12)</f>
        <v>-0.33376273461354961</v>
      </c>
      <c r="G182" s="4"/>
      <c r="H182" s="4">
        <f t="shared" ref="H182:H183" si="135">--15000</f>
        <v>15000</v>
      </c>
      <c r="I182" s="4"/>
      <c r="J182" s="12">
        <f t="shared" ref="J182:J183" si="136">IF(H$12=0,0,H182/H$12)</f>
        <v>5.2649294973291013E-3</v>
      </c>
      <c r="K182" s="4"/>
      <c r="L182" s="4">
        <f t="shared" ref="L182:L183" si="137">+D182-H182</f>
        <v>-544057.18000000005</v>
      </c>
      <c r="M182" s="4"/>
      <c r="N182" s="12">
        <f t="shared" ref="N182:N183" si="138">IF(H182=0,0,L182/H182)</f>
        <v>-36.270478666666669</v>
      </c>
      <c r="O182" s="10"/>
      <c r="P182" s="4">
        <f>-614193.88</f>
        <v>-614193.88</v>
      </c>
      <c r="Q182" s="4"/>
      <c r="R182" s="12">
        <f t="shared" ref="R182:R183" si="139">IF(P$12=0,0,P182/P$12)</f>
        <v>-4.7388858817350117E-2</v>
      </c>
      <c r="S182" s="4"/>
      <c r="T182" s="4">
        <f>--105000</f>
        <v>105000</v>
      </c>
      <c r="U182" s="4"/>
      <c r="V182" s="12">
        <f t="shared" ref="V182:V183" si="140">IF(T$12=0,0,T182/T$12)</f>
        <v>7.2286235317030557E-3</v>
      </c>
      <c r="W182" s="4"/>
      <c r="X182" s="4">
        <f t="shared" ref="X182:X183" si="141">+P182-T182</f>
        <v>-719193.88</v>
      </c>
      <c r="Y182" s="4"/>
      <c r="Z182" s="12">
        <f t="shared" ref="Z182:Z183" si="142">IF(T182=0,0,X182/T182)</f>
        <v>-6.8494655238095241</v>
      </c>
    </row>
    <row r="183" spans="1:26" s="23" customFormat="1" x14ac:dyDescent="0.3">
      <c r="A183" s="52"/>
      <c r="B183" s="10" t="s">
        <v>82</v>
      </c>
      <c r="C183" s="10"/>
      <c r="D183" s="4">
        <f>--2124202.74</f>
        <v>2124202.7400000002</v>
      </c>
      <c r="E183" s="4"/>
      <c r="F183" s="12">
        <f t="shared" si="134"/>
        <v>1.340081454666195</v>
      </c>
      <c r="G183" s="4"/>
      <c r="H183" s="4">
        <f t="shared" si="135"/>
        <v>15000</v>
      </c>
      <c r="I183" s="4"/>
      <c r="J183" s="12">
        <f t="shared" si="136"/>
        <v>5.2649294973291013E-3</v>
      </c>
      <c r="K183" s="4"/>
      <c r="L183" s="4">
        <f t="shared" si="137"/>
        <v>2109202.7400000002</v>
      </c>
      <c r="M183" s="4"/>
      <c r="N183" s="12">
        <f t="shared" si="138"/>
        <v>140.613516</v>
      </c>
      <c r="O183" s="10"/>
      <c r="P183" s="4">
        <f>--2309610.44</f>
        <v>2309610.44</v>
      </c>
      <c r="Q183" s="4"/>
      <c r="R183" s="12">
        <f t="shared" si="139"/>
        <v>0.17820073860755156</v>
      </c>
      <c r="S183" s="4"/>
      <c r="T183" s="4">
        <f>--115000</f>
        <v>115000</v>
      </c>
      <c r="U183" s="4"/>
      <c r="V183" s="12">
        <f t="shared" si="140"/>
        <v>7.9170638680557282E-3</v>
      </c>
      <c r="W183" s="4"/>
      <c r="X183" s="4">
        <f t="shared" si="141"/>
        <v>2194610.44</v>
      </c>
      <c r="Y183" s="4"/>
      <c r="Z183" s="12">
        <f t="shared" si="142"/>
        <v>19.08356904347826</v>
      </c>
    </row>
    <row r="184" spans="1:26" x14ac:dyDescent="0.3">
      <c r="A184" s="9"/>
      <c r="B184" s="9"/>
      <c r="C184" s="9"/>
      <c r="D184" s="3"/>
      <c r="E184" s="3"/>
      <c r="F184" s="8"/>
      <c r="G184" s="3"/>
      <c r="H184" s="3"/>
      <c r="I184" s="3"/>
      <c r="J184" s="8"/>
      <c r="K184" s="3"/>
      <c r="L184" s="3"/>
      <c r="M184" s="3"/>
      <c r="N184" s="8"/>
      <c r="P184" s="3"/>
      <c r="Q184" s="3"/>
      <c r="R184" s="8"/>
      <c r="S184" s="3"/>
      <c r="T184" s="3"/>
      <c r="U184" s="3"/>
      <c r="V184" s="8"/>
      <c r="W184" s="3"/>
      <c r="X184" s="3"/>
      <c r="Y184" s="3"/>
      <c r="Z184" s="8"/>
    </row>
    <row r="185" spans="1:26" s="23" customFormat="1" ht="15" thickBot="1" x14ac:dyDescent="0.35">
      <c r="A185" s="10"/>
      <c r="B185" s="26" t="s">
        <v>294</v>
      </c>
      <c r="C185" s="26"/>
      <c r="D185" s="34">
        <f>SUM(D180:D184)</f>
        <v>1241275.2600000002</v>
      </c>
      <c r="E185" s="13"/>
      <c r="F185" s="35">
        <f>IF(D$12=0,0,D185/D$12)</f>
        <v>0.78307495077515976</v>
      </c>
      <c r="G185" s="13"/>
      <c r="H185" s="34">
        <f>SUM(H180:H184)</f>
        <v>-267790.80874119879</v>
      </c>
      <c r="I185" s="13"/>
      <c r="J185" s="35">
        <f>IF(H$12=0,0,H185/H$12)</f>
        <v>-9.3993315203676889E-2</v>
      </c>
      <c r="K185" s="15"/>
      <c r="L185" s="34">
        <f>+D185-H185</f>
        <v>1509066.0687411991</v>
      </c>
      <c r="M185" s="15"/>
      <c r="N185" s="35">
        <f>IF(H185=0,0,L185/H185)</f>
        <v>-5.635242209524848</v>
      </c>
      <c r="O185" s="25"/>
      <c r="P185" s="34">
        <f>SUM(P180:P184)</f>
        <v>1039646.3600000017</v>
      </c>
      <c r="Q185" s="13"/>
      <c r="R185" s="35">
        <f>IF(P$12=0,0,P185/P$12)</f>
        <v>8.0215150587322745E-2</v>
      </c>
      <c r="S185" s="13"/>
      <c r="T185" s="34">
        <f>SUM(T180:T184)</f>
        <v>-1859540.4860221539</v>
      </c>
      <c r="U185" s="13"/>
      <c r="V185" s="35">
        <f>IF(T$12=0,0,T185/T$12)</f>
        <v>-0.12801826776585029</v>
      </c>
      <c r="W185" s="15"/>
      <c r="X185" s="34">
        <f>+P185-T185</f>
        <v>2899186.8460221556</v>
      </c>
      <c r="Y185" s="15"/>
      <c r="Z185" s="35">
        <f>IF(T185=0,0,X185/T185)</f>
        <v>-1.5590877788436686</v>
      </c>
    </row>
    <row r="186" spans="1:26" ht="15" thickTop="1" x14ac:dyDescent="0.3">
      <c r="A186" s="9"/>
      <c r="C186" s="9"/>
      <c r="D186" s="17"/>
      <c r="E186" s="17"/>
      <c r="G186" s="17"/>
      <c r="H186" s="17"/>
      <c r="I186" s="17"/>
      <c r="J186" s="43"/>
      <c r="K186" s="17"/>
      <c r="L186" s="17"/>
      <c r="M186" s="17"/>
      <c r="P186" s="17"/>
      <c r="Q186" s="17"/>
      <c r="R186" s="43"/>
      <c r="S186" s="17"/>
      <c r="T186" s="17"/>
      <c r="U186" s="17"/>
      <c r="V186" s="43"/>
      <c r="W186" s="17"/>
      <c r="X186" s="17"/>
    </row>
    <row r="187" spans="1:26" x14ac:dyDescent="0.3">
      <c r="A187" s="9"/>
      <c r="B187" s="53">
        <v>44604.019952349539</v>
      </c>
      <c r="D187" s="17"/>
      <c r="E187" s="17"/>
      <c r="G187" s="17"/>
      <c r="H187" s="17"/>
      <c r="I187" s="17"/>
      <c r="J187" s="43"/>
      <c r="K187" s="17"/>
      <c r="L187" s="17"/>
      <c r="M187" s="17"/>
      <c r="P187" s="17"/>
      <c r="Q187" s="17"/>
      <c r="R187" s="43"/>
      <c r="S187" s="17"/>
      <c r="T187" s="17"/>
      <c r="U187" s="17"/>
      <c r="V187" s="43"/>
      <c r="W187" s="17"/>
      <c r="X187" s="17"/>
    </row>
    <row r="188" spans="1:26" x14ac:dyDescent="0.3">
      <c r="A188" s="9"/>
      <c r="B188" s="63" t="s">
        <v>56</v>
      </c>
      <c r="D188" s="17"/>
      <c r="E188" s="17"/>
      <c r="G188" s="17"/>
      <c r="H188" s="17"/>
      <c r="I188" s="17"/>
      <c r="J188" s="43"/>
      <c r="K188" s="17"/>
      <c r="L188" s="17"/>
      <c r="M188" s="17"/>
      <c r="P188" s="17"/>
      <c r="Q188" s="17"/>
      <c r="R188" s="43"/>
      <c r="S188" s="17"/>
      <c r="T188" s="17"/>
      <c r="U188" s="17"/>
      <c r="V188" s="43"/>
      <c r="W188" s="17"/>
      <c r="X188" s="17"/>
    </row>
    <row r="189" spans="1:26" x14ac:dyDescent="0.3">
      <c r="A189" s="9"/>
      <c r="B189" s="58"/>
      <c r="D189" s="17"/>
      <c r="E189" s="17"/>
      <c r="G189" s="17"/>
      <c r="H189" s="17"/>
      <c r="I189" s="17"/>
      <c r="J189" s="43"/>
      <c r="K189" s="17"/>
      <c r="L189" s="17"/>
      <c r="M189" s="17"/>
      <c r="P189" s="17"/>
      <c r="Q189" s="17"/>
      <c r="R189" s="43"/>
      <c r="S189" s="17"/>
      <c r="T189" s="17"/>
      <c r="U189" s="17"/>
      <c r="V189" s="43"/>
      <c r="W189" s="17"/>
      <c r="X189" s="17"/>
    </row>
    <row r="190" spans="1:26" x14ac:dyDescent="0.3">
      <c r="D190" s="17"/>
      <c r="E190" s="17"/>
      <c r="G190" s="17"/>
      <c r="H190" s="17"/>
      <c r="I190" s="17"/>
      <c r="J190" s="43"/>
      <c r="K190" s="17"/>
      <c r="L190" s="17"/>
      <c r="M190" s="17"/>
      <c r="P190" s="17"/>
      <c r="Q190" s="17"/>
      <c r="R190" s="43"/>
      <c r="S190" s="17"/>
      <c r="T190" s="17"/>
      <c r="U190" s="17"/>
      <c r="V190" s="43"/>
      <c r="W190" s="17"/>
      <c r="X190" s="17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55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106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106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183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183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105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105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219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219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","100", " - ", "Corporate")</f>
        <v>Department 100 - Corporate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SUM(0)</f>
        <v>0</v>
      </c>
      <c r="E18" s="20"/>
      <c r="F18" s="33">
        <f>IF(D$12=0,0,D18/D$12)</f>
        <v>0</v>
      </c>
      <c r="G18" s="20"/>
      <c r="H18" s="20">
        <f>SUM(0)</f>
        <v>0</v>
      </c>
      <c r="I18" s="20"/>
      <c r="J18" s="33">
        <f>IF(H$12=0,0,H18/H$12)</f>
        <v>0</v>
      </c>
      <c r="K18" s="4"/>
      <c r="L18" s="20">
        <f>+D18-H18</f>
        <v>0</v>
      </c>
      <c r="M18" s="4"/>
      <c r="N18" s="33">
        <f>IF(H18=0,0,L18/H18)</f>
        <v>0</v>
      </c>
      <c r="O18" s="10"/>
      <c r="P18" s="20">
        <f>SUM(0)</f>
        <v>0</v>
      </c>
      <c r="Q18" s="20"/>
      <c r="R18" s="33">
        <f>IF(P$12=0,0,P18/P$12)</f>
        <v>0</v>
      </c>
      <c r="S18" s="20"/>
      <c r="T18" s="20">
        <f>SUM(0)</f>
        <v>0</v>
      </c>
      <c r="U18" s="20"/>
      <c r="V18" s="33">
        <f>IF(T$12=0,0,T18/T$12)</f>
        <v>0</v>
      </c>
      <c r="W18" s="4"/>
      <c r="X18" s="20">
        <f>+P18-T18</f>
        <v>0</v>
      </c>
      <c r="Y18" s="4"/>
      <c r="Z18" s="33">
        <f>IF(T18=0,0,X18/T18)</f>
        <v>0</v>
      </c>
    </row>
    <row r="19" spans="1:26" s="55" customFormat="1" x14ac:dyDescent="0.3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293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3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3">
      <c r="A22" s="10"/>
      <c r="B22" s="26" t="s">
        <v>277</v>
      </c>
      <c r="C22" s="26"/>
      <c r="D22" s="21">
        <f>+D16-D18+D20</f>
        <v>0</v>
      </c>
      <c r="E22" s="13"/>
      <c r="F22" s="22">
        <f>IF(D$12=0,0,D22/D$12)</f>
        <v>0</v>
      </c>
      <c r="G22" s="13"/>
      <c r="H22" s="21">
        <f>+H16-H18+H20</f>
        <v>0</v>
      </c>
      <c r="I22" s="13"/>
      <c r="J22" s="22">
        <f>IF(H$12=0,0,H22/H$12)</f>
        <v>0</v>
      </c>
      <c r="K22" s="15"/>
      <c r="L22" s="21">
        <f>+D22-H22</f>
        <v>0</v>
      </c>
      <c r="M22" s="15"/>
      <c r="N22" s="22">
        <f>IF(H22=0,0,L22/H22)</f>
        <v>0</v>
      </c>
      <c r="O22" s="25"/>
      <c r="P22" s="21">
        <f>+P16-P18+P20</f>
        <v>0</v>
      </c>
      <c r="Q22" s="13"/>
      <c r="R22" s="22">
        <f>IF(P$12=0,0,P22/P$12)</f>
        <v>0</v>
      </c>
      <c r="S22" s="13"/>
      <c r="T22" s="21">
        <f>+T16-T18+T20</f>
        <v>0</v>
      </c>
      <c r="U22" s="13"/>
      <c r="V22" s="22">
        <f>IF(T$12=0,0,T22/T$12)</f>
        <v>0</v>
      </c>
      <c r="W22" s="15"/>
      <c r="X22" s="21">
        <f>+P22-T22</f>
        <v>0</v>
      </c>
      <c r="Y22" s="15"/>
      <c r="Z22" s="22">
        <f>IF(T22=0,0,X22/T22)</f>
        <v>0</v>
      </c>
    </row>
    <row r="23" spans="1:26" x14ac:dyDescent="0.3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">
      <c r="A24" s="52"/>
      <c r="B24" s="10" t="s">
        <v>128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3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" thickBot="1" x14ac:dyDescent="0.35">
      <c r="A26" s="10"/>
      <c r="B26" s="26" t="s">
        <v>126</v>
      </c>
      <c r="C26" s="26"/>
      <c r="D26" s="32">
        <f>+D22-D24</f>
        <v>0</v>
      </c>
      <c r="E26" s="13"/>
      <c r="F26" s="31">
        <f>IF(D$12=0,0,D26/D$12)</f>
        <v>0</v>
      </c>
      <c r="G26" s="13"/>
      <c r="H26" s="32">
        <f>+H22-H24</f>
        <v>0</v>
      </c>
      <c r="I26" s="13"/>
      <c r="J26" s="31">
        <f>IF(H$12=0,0,H26/H$12)</f>
        <v>0</v>
      </c>
      <c r="K26" s="15"/>
      <c r="L26" s="32">
        <f>D26-H26</f>
        <v>0</v>
      </c>
      <c r="M26" s="15"/>
      <c r="N26" s="31">
        <f>IF(H26=0,0,L26/H26)</f>
        <v>0</v>
      </c>
      <c r="O26" s="25"/>
      <c r="P26" s="32">
        <f>+P22-P24</f>
        <v>0</v>
      </c>
      <c r="Q26" s="13"/>
      <c r="R26" s="31">
        <f>IF(P$12=0,0,P26/P$12)</f>
        <v>0</v>
      </c>
      <c r="S26" s="13"/>
      <c r="T26" s="32">
        <f>+T22-T24</f>
        <v>0</v>
      </c>
      <c r="U26" s="13"/>
      <c r="V26" s="31">
        <f>IF(T$12=0,0,T26/T$12)</f>
        <v>0</v>
      </c>
      <c r="W26" s="15"/>
      <c r="X26" s="32">
        <f>P26-T26</f>
        <v>0</v>
      </c>
      <c r="Y26" s="15"/>
      <c r="Z26" s="31">
        <f>IF(T26=0,0,X26/T26)</f>
        <v>0</v>
      </c>
    </row>
    <row r="27" spans="1:26" ht="15" thickTop="1" x14ac:dyDescent="0.3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52"/>
      <c r="B28" s="10" t="s">
        <v>184</v>
      </c>
      <c r="C28" s="10"/>
      <c r="D28" s="4">
        <f>-529057.18</f>
        <v>-529057.18000000005</v>
      </c>
      <c r="E28" s="4"/>
      <c r="F28" s="12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-544057.18000000005</v>
      </c>
      <c r="M28" s="4"/>
      <c r="N28" s="12">
        <f t="shared" ref="N28:N29" si="4">IF(H28=0,0,L28/H28)</f>
        <v>-36.270478666666669</v>
      </c>
      <c r="O28" s="10"/>
      <c r="P28" s="4">
        <f>-614193.88</f>
        <v>-614193.88</v>
      </c>
      <c r="Q28" s="4"/>
      <c r="R28" s="12">
        <f t="shared" ref="R28:R29" si="5">IF(P$12=0,0,P28/P$12)</f>
        <v>0</v>
      </c>
      <c r="S28" s="4"/>
      <c r="T28" s="4">
        <f>--105000</f>
        <v>105000</v>
      </c>
      <c r="U28" s="4"/>
      <c r="V28" s="12">
        <f t="shared" ref="V28:V29" si="6">IF(T$12=0,0,T28/T$12)</f>
        <v>0</v>
      </c>
      <c r="W28" s="4"/>
      <c r="X28" s="4">
        <f t="shared" ref="X28:X29" si="7">+P28-T28</f>
        <v>-719193.88</v>
      </c>
      <c r="Y28" s="4"/>
      <c r="Z28" s="12">
        <f t="shared" ref="Z28:Z29" si="8">IF(T28=0,0,X28/T28)</f>
        <v>-6.8494655238095241</v>
      </c>
    </row>
    <row r="29" spans="1:26" s="23" customFormat="1" x14ac:dyDescent="0.3">
      <c r="A29" s="52"/>
      <c r="B29" s="10" t="s">
        <v>82</v>
      </c>
      <c r="C29" s="10"/>
      <c r="D29" s="4">
        <f>--2124202.74</f>
        <v>2124202.7400000002</v>
      </c>
      <c r="E29" s="4"/>
      <c r="F29" s="12">
        <f t="shared" si="0"/>
        <v>0</v>
      </c>
      <c r="G29" s="4"/>
      <c r="H29" s="4">
        <f t="shared" si="1"/>
        <v>15000</v>
      </c>
      <c r="I29" s="4"/>
      <c r="J29" s="12">
        <f t="shared" si="2"/>
        <v>0</v>
      </c>
      <c r="K29" s="4"/>
      <c r="L29" s="4">
        <f t="shared" si="3"/>
        <v>2109202.7400000002</v>
      </c>
      <c r="M29" s="4"/>
      <c r="N29" s="12">
        <f t="shared" si="4"/>
        <v>140.613516</v>
      </c>
      <c r="O29" s="10"/>
      <c r="P29" s="4">
        <f>--2309610.44</f>
        <v>2309610.44</v>
      </c>
      <c r="Q29" s="4"/>
      <c r="R29" s="12">
        <f t="shared" si="5"/>
        <v>0</v>
      </c>
      <c r="S29" s="4"/>
      <c r="T29" s="4">
        <f>--115000</f>
        <v>115000</v>
      </c>
      <c r="U29" s="4"/>
      <c r="V29" s="12">
        <f t="shared" si="6"/>
        <v>0</v>
      </c>
      <c r="W29" s="4"/>
      <c r="X29" s="4">
        <f t="shared" si="7"/>
        <v>2194610.44</v>
      </c>
      <c r="Y29" s="4"/>
      <c r="Z29" s="12">
        <f t="shared" si="8"/>
        <v>19.08356904347826</v>
      </c>
    </row>
    <row r="30" spans="1:26" x14ac:dyDescent="0.3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294</v>
      </c>
      <c r="C31" s="26"/>
      <c r="D31" s="34">
        <f>SUM(D26:D30)</f>
        <v>1595145.56</v>
      </c>
      <c r="E31" s="13"/>
      <c r="F31" s="35">
        <f>IF(D$12=0,0,D31/D$12)</f>
        <v>0</v>
      </c>
      <c r="G31" s="13"/>
      <c r="H31" s="34">
        <f>SUM(H26:H30)</f>
        <v>30000</v>
      </c>
      <c r="I31" s="13"/>
      <c r="J31" s="35">
        <f>IF(H$12=0,0,H31/H$12)</f>
        <v>0</v>
      </c>
      <c r="K31" s="15"/>
      <c r="L31" s="34">
        <f>+D31-H31</f>
        <v>1565145.56</v>
      </c>
      <c r="M31" s="15"/>
      <c r="N31" s="35">
        <f>IF(H31=0,0,L31/H31)</f>
        <v>52.171518666666671</v>
      </c>
      <c r="O31" s="25"/>
      <c r="P31" s="34">
        <f>SUM(P26:P30)</f>
        <v>1695416.56</v>
      </c>
      <c r="Q31" s="13"/>
      <c r="R31" s="35">
        <f>IF(P$12=0,0,P31/P$12)</f>
        <v>0</v>
      </c>
      <c r="S31" s="13"/>
      <c r="T31" s="34">
        <f>SUM(T26:T30)</f>
        <v>220000</v>
      </c>
      <c r="U31" s="13"/>
      <c r="V31" s="35">
        <f>IF(T$12=0,0,T31/T$12)</f>
        <v>0</v>
      </c>
      <c r="W31" s="15"/>
      <c r="X31" s="34">
        <f>+P31-T31</f>
        <v>1475416.56</v>
      </c>
      <c r="Y31" s="15"/>
      <c r="Z31" s="35">
        <f>IF(T31=0,0,X31/T31)</f>
        <v>6.7064389090909096</v>
      </c>
    </row>
    <row r="32" spans="1:26" ht="15" thickTop="1" x14ac:dyDescent="0.3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3">
      <c r="A33" s="9"/>
      <c r="B33" s="53">
        <v>44604.019995405091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3">
      <c r="A34" s="9"/>
      <c r="B34" s="63" t="s">
        <v>56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3">
      <c r="A35" s="9"/>
      <c r="B35" s="58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3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313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outlinePr summaryBelow="0" summaryRight="0"/>
  </sheetPr>
  <dimension ref="A2:Z10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139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346287.75</v>
      </c>
      <c r="E18" s="20"/>
      <c r="F18" s="33">
        <f t="shared" ref="F18:F30" si="0">IF(D$12=0,0,D18/D$12)</f>
        <v>0</v>
      </c>
      <c r="G18" s="20"/>
      <c r="H18" s="20">
        <f>SUM(OSRRefH22x_0)</f>
        <v>308227.51587287697</v>
      </c>
      <c r="I18" s="20"/>
      <c r="J18" s="33">
        <f t="shared" ref="J18:J30" si="1">IF(H$12=0,0,H18/H$12)</f>
        <v>0</v>
      </c>
      <c r="K18" s="4"/>
      <c r="L18" s="20">
        <f t="shared" ref="L18:L30" si="2">+D18-H18</f>
        <v>38060.234127123025</v>
      </c>
      <c r="M18" s="4"/>
      <c r="N18" s="33">
        <f t="shared" ref="N18:N30" si="3">IF(H18=0,0,L18/H18)</f>
        <v>0.12348097482257327</v>
      </c>
      <c r="O18" s="10"/>
      <c r="P18" s="20">
        <f>SUM(OSRRefP22x_0)</f>
        <v>1715577.0499999998</v>
      </c>
      <c r="Q18" s="20"/>
      <c r="R18" s="33">
        <f t="shared" ref="R18:R30" si="4">IF(P$12=0,0,P18/P$12)</f>
        <v>0</v>
      </c>
      <c r="S18" s="20"/>
      <c r="T18" s="20">
        <f>SUM(OSRRefT22x_0)</f>
        <v>1855004.8847487594</v>
      </c>
      <c r="U18" s="20"/>
      <c r="V18" s="33">
        <f t="shared" ref="V18:V30" si="5">IF(T$12=0,0,T18/T$12)</f>
        <v>0</v>
      </c>
      <c r="W18" s="4"/>
      <c r="X18" s="20">
        <f t="shared" ref="X18:X30" si="6">+P18-T18</f>
        <v>-139427.83474875963</v>
      </c>
      <c r="Y18" s="4"/>
      <c r="Z18" s="33">
        <f t="shared" ref="Z18:Z30" si="7">IF(T18=0,0,X18/T18)</f>
        <v>-7.5163055307880575E-2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125390.64</v>
      </c>
      <c r="E19" s="1"/>
      <c r="F19" s="5">
        <f t="shared" si="0"/>
        <v>0</v>
      </c>
      <c r="G19" s="1"/>
      <c r="H19" s="1">
        <f>SUM(OSRRefH22_0x_0)</f>
        <v>92307.104826723109</v>
      </c>
      <c r="I19" s="1"/>
      <c r="J19" s="5">
        <f t="shared" si="1"/>
        <v>0</v>
      </c>
      <c r="K19" s="1"/>
      <c r="L19" s="1">
        <f t="shared" si="2"/>
        <v>33083.53517327689</v>
      </c>
      <c r="M19" s="1"/>
      <c r="N19" s="5">
        <f t="shared" si="3"/>
        <v>0.35840724541605529</v>
      </c>
      <c r="O19" s="14"/>
      <c r="P19" s="1">
        <f>SUM(OSRRefP22_0x_0)</f>
        <v>617651.80000000005</v>
      </c>
      <c r="Q19" s="1"/>
      <c r="R19" s="5">
        <f t="shared" si="4"/>
        <v>0</v>
      </c>
      <c r="S19" s="1"/>
      <c r="T19" s="1">
        <f>SUM(OSRRefT22_0x_0)</f>
        <v>606306.78241645242</v>
      </c>
      <c r="U19" s="1"/>
      <c r="V19" s="5">
        <f t="shared" si="5"/>
        <v>0</v>
      </c>
      <c r="W19" s="1"/>
      <c r="X19" s="1">
        <f t="shared" si="6"/>
        <v>11345.017583547626</v>
      </c>
      <c r="Y19" s="1"/>
      <c r="Z19" s="5">
        <f t="shared" si="7"/>
        <v>1.8711678497693437E-2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7">
        <v>11286.93</v>
      </c>
      <c r="E20" s="2"/>
      <c r="F20" s="6">
        <f t="shared" si="0"/>
        <v>0</v>
      </c>
      <c r="G20" s="2"/>
      <c r="H20" s="7">
        <v>9631.6441785692405</v>
      </c>
      <c r="I20" s="2"/>
      <c r="J20" s="6">
        <f t="shared" si="1"/>
        <v>0</v>
      </c>
      <c r="K20" s="2"/>
      <c r="L20" s="7">
        <f t="shared" si="2"/>
        <v>1655.2858214307598</v>
      </c>
      <c r="M20" s="2"/>
      <c r="N20" s="6">
        <f t="shared" si="3"/>
        <v>0.17185911260237699</v>
      </c>
      <c r="O20" s="11"/>
      <c r="P20" s="7">
        <v>57133.08</v>
      </c>
      <c r="Q20" s="2"/>
      <c r="R20" s="6">
        <f t="shared" si="4"/>
        <v>0</v>
      </c>
      <c r="S20" s="2"/>
      <c r="T20" s="7">
        <v>58008.456391744599</v>
      </c>
      <c r="U20" s="2"/>
      <c r="V20" s="6">
        <f t="shared" si="5"/>
        <v>0</v>
      </c>
      <c r="W20" s="2"/>
      <c r="X20" s="7">
        <f t="shared" si="6"/>
        <v>-875.37639174459764</v>
      </c>
      <c r="Y20" s="2"/>
      <c r="Z20" s="6">
        <f t="shared" si="7"/>
        <v>-1.5090496217189046E-2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2089.08</v>
      </c>
      <c r="E21" s="2"/>
      <c r="F21" s="6">
        <f t="shared" si="0"/>
        <v>0</v>
      </c>
      <c r="G21" s="2"/>
      <c r="H21" s="7">
        <v>784.63477138461599</v>
      </c>
      <c r="I21" s="2"/>
      <c r="J21" s="6">
        <f t="shared" si="1"/>
        <v>0</v>
      </c>
      <c r="K21" s="2"/>
      <c r="L21" s="7">
        <f t="shared" si="2"/>
        <v>1304.4452286153839</v>
      </c>
      <c r="M21" s="2"/>
      <c r="N21" s="6">
        <f t="shared" si="3"/>
        <v>1.662487154773268</v>
      </c>
      <c r="O21" s="11"/>
      <c r="P21" s="7">
        <v>11533.38</v>
      </c>
      <c r="Q21" s="2"/>
      <c r="R21" s="6">
        <f t="shared" si="4"/>
        <v>0</v>
      </c>
      <c r="S21" s="2"/>
      <c r="T21" s="7">
        <v>4750.9847548923099</v>
      </c>
      <c r="U21" s="2"/>
      <c r="V21" s="6">
        <f t="shared" si="5"/>
        <v>0</v>
      </c>
      <c r="W21" s="2"/>
      <c r="X21" s="7">
        <f t="shared" si="6"/>
        <v>6782.3952451076893</v>
      </c>
      <c r="Y21" s="2"/>
      <c r="Z21" s="6">
        <f t="shared" si="7"/>
        <v>1.4275767225149569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7">
        <v>20065.64</v>
      </c>
      <c r="E22" s="2"/>
      <c r="F22" s="6">
        <f t="shared" si="0"/>
        <v>0</v>
      </c>
      <c r="G22" s="2"/>
      <c r="H22" s="7">
        <v>25172.9230769231</v>
      </c>
      <c r="I22" s="2"/>
      <c r="J22" s="6">
        <f t="shared" si="1"/>
        <v>0</v>
      </c>
      <c r="K22" s="2"/>
      <c r="L22" s="7">
        <f t="shared" si="2"/>
        <v>-5107.2830769231005</v>
      </c>
      <c r="M22" s="2"/>
      <c r="N22" s="6">
        <f t="shared" si="3"/>
        <v>-0.20288796264606734</v>
      </c>
      <c r="O22" s="11"/>
      <c r="P22" s="7">
        <v>154862.38</v>
      </c>
      <c r="Q22" s="2"/>
      <c r="R22" s="6">
        <f t="shared" si="4"/>
        <v>0</v>
      </c>
      <c r="S22" s="2"/>
      <c r="T22" s="7">
        <v>167296.92307692301</v>
      </c>
      <c r="U22" s="2"/>
      <c r="V22" s="6">
        <f t="shared" si="5"/>
        <v>0</v>
      </c>
      <c r="W22" s="2"/>
      <c r="X22" s="7">
        <f t="shared" si="6"/>
        <v>-12434.543076923001</v>
      </c>
      <c r="Y22" s="2"/>
      <c r="Z22" s="6">
        <f t="shared" si="7"/>
        <v>-7.432619111115156E-2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382.98</v>
      </c>
      <c r="E23" s="2"/>
      <c r="F23" s="6">
        <f t="shared" si="0"/>
        <v>0</v>
      </c>
      <c r="G23" s="2"/>
      <c r="H23" s="7">
        <v>293.056030615385</v>
      </c>
      <c r="I23" s="2"/>
      <c r="J23" s="6">
        <f t="shared" si="1"/>
        <v>0</v>
      </c>
      <c r="K23" s="2"/>
      <c r="L23" s="7">
        <f t="shared" si="2"/>
        <v>89.92396938461502</v>
      </c>
      <c r="M23" s="2"/>
      <c r="N23" s="6">
        <f t="shared" si="3"/>
        <v>0.30684906635698539</v>
      </c>
      <c r="O23" s="11"/>
      <c r="P23" s="7">
        <v>2047.53</v>
      </c>
      <c r="Q23" s="2"/>
      <c r="R23" s="6">
        <f t="shared" si="4"/>
        <v>0</v>
      </c>
      <c r="S23" s="2"/>
      <c r="T23" s="7">
        <v>1739.8903775076899</v>
      </c>
      <c r="U23" s="2"/>
      <c r="V23" s="6">
        <f t="shared" si="5"/>
        <v>0</v>
      </c>
      <c r="W23" s="2"/>
      <c r="X23" s="7">
        <f t="shared" si="6"/>
        <v>307.63962249231008</v>
      </c>
      <c r="Y23" s="2"/>
      <c r="Z23" s="6">
        <f t="shared" si="7"/>
        <v>0.17681552037375434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7">
        <v>8103.29</v>
      </c>
      <c r="E24" s="2"/>
      <c r="F24" s="6">
        <f t="shared" si="0"/>
        <v>0</v>
      </c>
      <c r="G24" s="2"/>
      <c r="H24" s="7">
        <v>8157.9368461538497</v>
      </c>
      <c r="I24" s="2"/>
      <c r="J24" s="6">
        <f t="shared" si="1"/>
        <v>0</v>
      </c>
      <c r="K24" s="2"/>
      <c r="L24" s="7">
        <f t="shared" si="2"/>
        <v>-54.646846153849765</v>
      </c>
      <c r="M24" s="2"/>
      <c r="N24" s="6">
        <f t="shared" si="3"/>
        <v>-6.6986110807677589E-3</v>
      </c>
      <c r="O24" s="11"/>
      <c r="P24" s="7">
        <v>57320.65</v>
      </c>
      <c r="Q24" s="2"/>
      <c r="R24" s="6">
        <f t="shared" si="4"/>
        <v>0</v>
      </c>
      <c r="S24" s="2"/>
      <c r="T24" s="7">
        <v>47944.631523076998</v>
      </c>
      <c r="U24" s="2"/>
      <c r="V24" s="6">
        <f t="shared" si="5"/>
        <v>0</v>
      </c>
      <c r="W24" s="2"/>
      <c r="X24" s="7">
        <f t="shared" si="6"/>
        <v>9376.0184769230036</v>
      </c>
      <c r="Y24" s="2"/>
      <c r="Z24" s="6">
        <f t="shared" si="7"/>
        <v>0.19555929786237031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417</v>
      </c>
      <c r="I25" s="2"/>
      <c r="J25" s="6">
        <f t="shared" si="1"/>
        <v>0</v>
      </c>
      <c r="K25" s="2"/>
      <c r="L25" s="7">
        <f t="shared" si="2"/>
        <v>-417</v>
      </c>
      <c r="M25" s="2"/>
      <c r="N25" s="6">
        <f t="shared" si="3"/>
        <v>-1</v>
      </c>
      <c r="O25" s="11"/>
      <c r="P25" s="7">
        <v>2636</v>
      </c>
      <c r="Q25" s="2"/>
      <c r="R25" s="6">
        <f t="shared" si="4"/>
        <v>0</v>
      </c>
      <c r="S25" s="2"/>
      <c r="T25" s="7">
        <v>2919</v>
      </c>
      <c r="U25" s="2"/>
      <c r="V25" s="6">
        <f t="shared" si="5"/>
        <v>0</v>
      </c>
      <c r="W25" s="2"/>
      <c r="X25" s="7">
        <f t="shared" si="6"/>
        <v>-283</v>
      </c>
      <c r="Y25" s="2"/>
      <c r="Z25" s="6">
        <f t="shared" si="7"/>
        <v>-9.695101062007537E-2</v>
      </c>
    </row>
    <row r="26" spans="1:26" s="24" customFormat="1" hidden="1" outlineLevel="2" x14ac:dyDescent="0.3">
      <c r="A26" s="27"/>
      <c r="B26" s="11" t="str">
        <f>CONCATENATE("          ", "6117", " - ", "RETIREMENT STAFF HOURLY")</f>
        <v xml:space="preserve">          6117 - RETIREMENT STAFF HOURLY</v>
      </c>
      <c r="C26" s="11"/>
      <c r="D26" s="7">
        <v>4180.92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4180.92</v>
      </c>
      <c r="M26" s="2"/>
      <c r="N26" s="6">
        <f t="shared" si="3"/>
        <v>0</v>
      </c>
      <c r="O26" s="11"/>
      <c r="P26" s="7">
        <v>7962.28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7962.28</v>
      </c>
      <c r="Y26" s="2"/>
      <c r="Z26" s="6">
        <f t="shared" si="7"/>
        <v>0</v>
      </c>
    </row>
    <row r="27" spans="1:26" s="24" customFormat="1" hidden="1" outlineLevel="2" x14ac:dyDescent="0.3">
      <c r="A27" s="27"/>
      <c r="B27" s="11" t="str">
        <f>CONCATENATE("          ", "6118", " - ", "VACATION")</f>
        <v xml:space="preserve">          6118 - VACATION</v>
      </c>
      <c r="C27" s="11"/>
      <c r="D27" s="7">
        <v>19764.060000000001</v>
      </c>
      <c r="E27" s="2"/>
      <c r="F27" s="6">
        <f t="shared" si="0"/>
        <v>0</v>
      </c>
      <c r="G27" s="2"/>
      <c r="H27" s="7">
        <v>5631.7643384615403</v>
      </c>
      <c r="I27" s="2"/>
      <c r="J27" s="6">
        <f t="shared" si="1"/>
        <v>0</v>
      </c>
      <c r="K27" s="2"/>
      <c r="L27" s="7">
        <f t="shared" si="2"/>
        <v>14132.295661538461</v>
      </c>
      <c r="M27" s="2"/>
      <c r="N27" s="6">
        <f t="shared" si="3"/>
        <v>2.5093904524774659</v>
      </c>
      <c r="O27" s="11"/>
      <c r="P27" s="7">
        <v>62107.06</v>
      </c>
      <c r="Q27" s="2"/>
      <c r="R27" s="6">
        <f t="shared" si="4"/>
        <v>0</v>
      </c>
      <c r="S27" s="2"/>
      <c r="T27" s="7">
        <v>33385.208129230799</v>
      </c>
      <c r="U27" s="2"/>
      <c r="V27" s="6">
        <f t="shared" si="5"/>
        <v>0</v>
      </c>
      <c r="W27" s="2"/>
      <c r="X27" s="7">
        <f t="shared" si="6"/>
        <v>28721.851870769198</v>
      </c>
      <c r="Y27" s="2"/>
      <c r="Z27" s="6">
        <f t="shared" si="7"/>
        <v>0.86031669353654416</v>
      </c>
    </row>
    <row r="28" spans="1:26" s="24" customFormat="1" hidden="1" outlineLevel="2" x14ac:dyDescent="0.3">
      <c r="A28" s="27"/>
      <c r="B28" s="11" t="str">
        <f>CONCATENATE("          ", "6119", " - ", "SICK LEAVE")</f>
        <v xml:space="preserve">          6119 - SICK LEAVE</v>
      </c>
      <c r="C28" s="11"/>
      <c r="D28" s="7">
        <v>31760.07</v>
      </c>
      <c r="E28" s="2"/>
      <c r="F28" s="6">
        <f t="shared" si="0"/>
        <v>0</v>
      </c>
      <c r="G28" s="2"/>
      <c r="H28" s="7">
        <v>4768.1455846153904</v>
      </c>
      <c r="I28" s="2"/>
      <c r="J28" s="6">
        <f t="shared" si="1"/>
        <v>0</v>
      </c>
      <c r="K28" s="2"/>
      <c r="L28" s="7">
        <f t="shared" si="2"/>
        <v>26991.924415384608</v>
      </c>
      <c r="M28" s="2"/>
      <c r="N28" s="6">
        <f t="shared" si="3"/>
        <v>5.6608851253357528</v>
      </c>
      <c r="O28" s="11"/>
      <c r="P28" s="7">
        <v>59839.41</v>
      </c>
      <c r="Q28" s="2"/>
      <c r="R28" s="6">
        <f t="shared" si="4"/>
        <v>0</v>
      </c>
      <c r="S28" s="2"/>
      <c r="T28" s="7">
        <v>28461.688163077</v>
      </c>
      <c r="U28" s="2"/>
      <c r="V28" s="6">
        <f t="shared" si="5"/>
        <v>0</v>
      </c>
      <c r="W28" s="2"/>
      <c r="X28" s="7">
        <f t="shared" si="6"/>
        <v>31377.721836923003</v>
      </c>
      <c r="Y28" s="2"/>
      <c r="Z28" s="6">
        <f t="shared" si="7"/>
        <v>1.1024546982996228</v>
      </c>
    </row>
    <row r="29" spans="1:26" s="24" customFormat="1" hidden="1" outlineLevel="2" x14ac:dyDescent="0.3">
      <c r="A29" s="27"/>
      <c r="B29" s="11" t="str">
        <f>CONCATENATE("          ", "6120", " - ", "RETIREES HEALTH INSURANCE")</f>
        <v xml:space="preserve">          6120 - RETIREES HEALTH INSURANCE</v>
      </c>
      <c r="C29" s="11"/>
      <c r="D29" s="7">
        <v>26491.86</v>
      </c>
      <c r="E29" s="2"/>
      <c r="F29" s="6">
        <f t="shared" si="0"/>
        <v>0</v>
      </c>
      <c r="G29" s="2"/>
      <c r="H29" s="7">
        <v>35000</v>
      </c>
      <c r="I29" s="2"/>
      <c r="J29" s="6">
        <f t="shared" si="1"/>
        <v>0</v>
      </c>
      <c r="K29" s="2"/>
      <c r="L29" s="7">
        <f t="shared" si="2"/>
        <v>-8508.14</v>
      </c>
      <c r="M29" s="2"/>
      <c r="N29" s="6">
        <f t="shared" si="3"/>
        <v>-0.24308971428571427</v>
      </c>
      <c r="O29" s="11"/>
      <c r="P29" s="7">
        <v>192208.22</v>
      </c>
      <c r="Q29" s="2"/>
      <c r="R29" s="6">
        <f t="shared" si="4"/>
        <v>0</v>
      </c>
      <c r="S29" s="2"/>
      <c r="T29" s="7">
        <v>245000</v>
      </c>
      <c r="U29" s="2"/>
      <c r="V29" s="6">
        <f t="shared" si="5"/>
        <v>0</v>
      </c>
      <c r="W29" s="2"/>
      <c r="X29" s="7">
        <f t="shared" si="6"/>
        <v>-52791.78</v>
      </c>
      <c r="Y29" s="2"/>
      <c r="Z29" s="6">
        <f t="shared" si="7"/>
        <v>-0.21547665306122449</v>
      </c>
    </row>
    <row r="30" spans="1:26" s="24" customFormat="1" hidden="1" outlineLevel="2" x14ac:dyDescent="0.3">
      <c r="A30" s="27"/>
      <c r="B30" s="11" t="str">
        <f>CONCATENATE("          ", "6156", " - ", "EMPLOYEE MEALS")</f>
        <v xml:space="preserve">          6156 - EMPLOYEE MEALS</v>
      </c>
      <c r="C30" s="11"/>
      <c r="D30" s="7">
        <v>1265.81</v>
      </c>
      <c r="E30" s="2"/>
      <c r="F30" s="6">
        <f t="shared" si="0"/>
        <v>0</v>
      </c>
      <c r="G30" s="2"/>
      <c r="H30" s="7">
        <v>2450</v>
      </c>
      <c r="I30" s="2"/>
      <c r="J30" s="6">
        <f t="shared" si="1"/>
        <v>0</v>
      </c>
      <c r="K30" s="2"/>
      <c r="L30" s="7">
        <f t="shared" si="2"/>
        <v>-1184.19</v>
      </c>
      <c r="M30" s="2"/>
      <c r="N30" s="6">
        <f t="shared" si="3"/>
        <v>-0.48334285714285719</v>
      </c>
      <c r="O30" s="11"/>
      <c r="P30" s="7">
        <v>10001.81</v>
      </c>
      <c r="Q30" s="2"/>
      <c r="R30" s="6">
        <f t="shared" si="4"/>
        <v>0</v>
      </c>
      <c r="S30" s="2"/>
      <c r="T30" s="7">
        <v>16800</v>
      </c>
      <c r="U30" s="2"/>
      <c r="V30" s="6">
        <f t="shared" si="5"/>
        <v>0</v>
      </c>
      <c r="W30" s="2"/>
      <c r="X30" s="7">
        <f t="shared" si="6"/>
        <v>-6798.1900000000005</v>
      </c>
      <c r="Y30" s="2"/>
      <c r="Z30" s="6">
        <f t="shared" si="7"/>
        <v>-0.4046541666666667</v>
      </c>
    </row>
    <row r="31" spans="1:26" s="28" customFormat="1" outlineLevel="1" collapsed="1" x14ac:dyDescent="0.3">
      <c r="A31" s="29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164770.16999999998</v>
      </c>
      <c r="E31" s="1"/>
      <c r="F31" s="5">
        <f t="shared" ref="F31:F41" si="8">IF(D$12=0,0,D31/D$12)</f>
        <v>0</v>
      </c>
      <c r="G31" s="1"/>
      <c r="H31" s="1">
        <f>SUM(OSRRefH22_1x_0)</f>
        <v>127753.41104615379</v>
      </c>
      <c r="I31" s="1"/>
      <c r="J31" s="5">
        <f t="shared" ref="J31:J41" si="9">IF(H$12=0,0,H31/H$12)</f>
        <v>0</v>
      </c>
      <c r="K31" s="1"/>
      <c r="L31" s="1">
        <f t="shared" ref="L31:L41" si="10">+D31-H31</f>
        <v>37016.758953846191</v>
      </c>
      <c r="M31" s="1"/>
      <c r="N31" s="5">
        <f t="shared" ref="N31:N41" si="11">IF(H31=0,0,L31/H31)</f>
        <v>0.28975162894455364</v>
      </c>
      <c r="O31" s="14"/>
      <c r="P31" s="1">
        <f>SUM(OSRRefP22_1x_0)</f>
        <v>729293.04</v>
      </c>
      <c r="Q31" s="1"/>
      <c r="R31" s="5">
        <f t="shared" ref="R31:R41" si="12">IF(P$12=0,0,P31/P$12)</f>
        <v>0</v>
      </c>
      <c r="S31" s="1"/>
      <c r="T31" s="1">
        <f>SUM(OSRRefT22_1x_0)</f>
        <v>757828.10233230703</v>
      </c>
      <c r="U31" s="1"/>
      <c r="V31" s="5">
        <f t="shared" ref="V31:V41" si="13">IF(T$12=0,0,T31/T$12)</f>
        <v>0</v>
      </c>
      <c r="W31" s="1"/>
      <c r="X31" s="1">
        <f t="shared" ref="X31:X41" si="14">+P31-T31</f>
        <v>-28535.062332306989</v>
      </c>
      <c r="Y31" s="1"/>
      <c r="Z31" s="5">
        <f t="shared" ref="Z31:Z41" si="15">IF(T31=0,0,X31/T31)</f>
        <v>-3.7653740003157583E-2</v>
      </c>
    </row>
    <row r="32" spans="1:26" s="24" customFormat="1" hidden="1" outlineLevel="2" x14ac:dyDescent="0.3">
      <c r="A32" s="27"/>
      <c r="B32" s="11" t="str">
        <f>CONCATENATE("          ", "6001", " - ", "ADMINISTRATIVE SALARIES")</f>
        <v xml:space="preserve">          6001 - ADMINISTRATIVE SALARIES</v>
      </c>
      <c r="C32" s="11"/>
      <c r="D32" s="7">
        <v>79300.429999999993</v>
      </c>
      <c r="E32" s="2"/>
      <c r="F32" s="6">
        <f t="shared" si="8"/>
        <v>0</v>
      </c>
      <c r="G32" s="2"/>
      <c r="H32" s="7">
        <v>42695.246153846201</v>
      </c>
      <c r="I32" s="2"/>
      <c r="J32" s="6">
        <f t="shared" si="9"/>
        <v>0</v>
      </c>
      <c r="K32" s="2"/>
      <c r="L32" s="7">
        <f t="shared" si="10"/>
        <v>36605.183846153792</v>
      </c>
      <c r="M32" s="2"/>
      <c r="N32" s="6">
        <f t="shared" si="11"/>
        <v>0.85735970965601782</v>
      </c>
      <c r="O32" s="11"/>
      <c r="P32" s="7">
        <v>195900.5</v>
      </c>
      <c r="Q32" s="2"/>
      <c r="R32" s="6">
        <f t="shared" si="12"/>
        <v>0</v>
      </c>
      <c r="S32" s="2"/>
      <c r="T32" s="7">
        <v>236526.68</v>
      </c>
      <c r="U32" s="2"/>
      <c r="V32" s="6">
        <f t="shared" si="13"/>
        <v>0</v>
      </c>
      <c r="W32" s="2"/>
      <c r="X32" s="7">
        <f t="shared" si="14"/>
        <v>-40626.179999999993</v>
      </c>
      <c r="Y32" s="2"/>
      <c r="Z32" s="6">
        <f t="shared" si="15"/>
        <v>-0.17176151121725461</v>
      </c>
    </row>
    <row r="33" spans="1:26" s="24" customFormat="1" hidden="1" outlineLevel="2" x14ac:dyDescent="0.3">
      <c r="A33" s="27"/>
      <c r="B33" s="11" t="str">
        <f>CONCATENATE("          ", "6002", " - ", "STAFF SALARIES")</f>
        <v xml:space="preserve">          6002 - STAFF SALARIES</v>
      </c>
      <c r="C33" s="11"/>
      <c r="D33" s="7">
        <v>57751.360000000001</v>
      </c>
      <c r="E33" s="2"/>
      <c r="F33" s="6">
        <f t="shared" si="8"/>
        <v>0</v>
      </c>
      <c r="G33" s="2"/>
      <c r="H33" s="7">
        <v>43959.607692307603</v>
      </c>
      <c r="I33" s="2"/>
      <c r="J33" s="6">
        <f t="shared" si="9"/>
        <v>0</v>
      </c>
      <c r="K33" s="2"/>
      <c r="L33" s="7">
        <f t="shared" si="10"/>
        <v>13791.752307692397</v>
      </c>
      <c r="M33" s="2"/>
      <c r="N33" s="6">
        <f t="shared" si="11"/>
        <v>0.31373692877850196</v>
      </c>
      <c r="O33" s="11"/>
      <c r="P33" s="7">
        <v>357941.12</v>
      </c>
      <c r="Q33" s="2"/>
      <c r="R33" s="6">
        <f t="shared" si="12"/>
        <v>0</v>
      </c>
      <c r="S33" s="2"/>
      <c r="T33" s="7">
        <v>272549.567692307</v>
      </c>
      <c r="U33" s="2"/>
      <c r="V33" s="6">
        <f t="shared" si="13"/>
        <v>0</v>
      </c>
      <c r="W33" s="2"/>
      <c r="X33" s="7">
        <f t="shared" si="14"/>
        <v>85391.552307692997</v>
      </c>
      <c r="Y33" s="2"/>
      <c r="Z33" s="6">
        <f t="shared" si="15"/>
        <v>0.31330650432032686</v>
      </c>
    </row>
    <row r="34" spans="1:26" s="24" customFormat="1" hidden="1" outlineLevel="2" x14ac:dyDescent="0.3">
      <c r="A34" s="27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3">
      <c r="A35" s="27"/>
      <c r="B35" s="11" t="str">
        <f>CONCATENATE("          ", "6004", " - ", "STAFF HOURLY")</f>
        <v xml:space="preserve">          6004 - STAFF HOURLY</v>
      </c>
      <c r="C35" s="11"/>
      <c r="D35" s="7">
        <v>20420.13</v>
      </c>
      <c r="E35" s="2"/>
      <c r="F35" s="6">
        <f t="shared" si="8"/>
        <v>0</v>
      </c>
      <c r="G35" s="2"/>
      <c r="H35" s="7">
        <v>30052.557199999999</v>
      </c>
      <c r="I35" s="2"/>
      <c r="J35" s="6">
        <f t="shared" si="9"/>
        <v>0</v>
      </c>
      <c r="K35" s="2"/>
      <c r="L35" s="7">
        <f t="shared" si="10"/>
        <v>-9632.4271999999983</v>
      </c>
      <c r="M35" s="2"/>
      <c r="N35" s="6">
        <f t="shared" si="11"/>
        <v>-0.32051938661645735</v>
      </c>
      <c r="O35" s="11"/>
      <c r="P35" s="7">
        <v>141390.19</v>
      </c>
      <c r="Q35" s="2"/>
      <c r="R35" s="6">
        <f t="shared" si="12"/>
        <v>0</v>
      </c>
      <c r="S35" s="2"/>
      <c r="T35" s="7">
        <v>186325.85464000001</v>
      </c>
      <c r="U35" s="2"/>
      <c r="V35" s="6">
        <f t="shared" si="13"/>
        <v>0</v>
      </c>
      <c r="W35" s="2"/>
      <c r="X35" s="7">
        <f t="shared" si="14"/>
        <v>-44935.664640000003</v>
      </c>
      <c r="Y35" s="2"/>
      <c r="Z35" s="6">
        <f t="shared" si="15"/>
        <v>-0.24116709260140068</v>
      </c>
    </row>
    <row r="36" spans="1:26" s="24" customFormat="1" hidden="1" outlineLevel="2" x14ac:dyDescent="0.3">
      <c r="A36" s="27"/>
      <c r="B36" s="11" t="str">
        <f>CONCATENATE("          ", "6005", " - ", "TEMPORARY WAGES-HOURLY")</f>
        <v xml:space="preserve">          6005 - TEMPORARY WAGES-HOURLY</v>
      </c>
      <c r="C36" s="11"/>
      <c r="D36" s="7">
        <v>2005.25</v>
      </c>
      <c r="E36" s="2"/>
      <c r="F36" s="6">
        <f t="shared" si="8"/>
        <v>0</v>
      </c>
      <c r="G36" s="2"/>
      <c r="H36" s="7">
        <v>4850</v>
      </c>
      <c r="I36" s="2"/>
      <c r="J36" s="6">
        <f t="shared" si="9"/>
        <v>0</v>
      </c>
      <c r="K36" s="2"/>
      <c r="L36" s="7">
        <f t="shared" si="10"/>
        <v>-2844.75</v>
      </c>
      <c r="M36" s="2"/>
      <c r="N36" s="6">
        <f t="shared" si="11"/>
        <v>-0.58654639175257728</v>
      </c>
      <c r="O36" s="11"/>
      <c r="P36" s="7">
        <v>14227.41</v>
      </c>
      <c r="Q36" s="2"/>
      <c r="R36" s="6">
        <f t="shared" si="12"/>
        <v>0</v>
      </c>
      <c r="S36" s="2"/>
      <c r="T36" s="7">
        <v>30070</v>
      </c>
      <c r="U36" s="2"/>
      <c r="V36" s="6">
        <f t="shared" si="13"/>
        <v>0</v>
      </c>
      <c r="W36" s="2"/>
      <c r="X36" s="7">
        <f t="shared" si="14"/>
        <v>-15842.59</v>
      </c>
      <c r="Y36" s="2"/>
      <c r="Z36" s="6">
        <f t="shared" si="15"/>
        <v>-0.52685700033255733</v>
      </c>
    </row>
    <row r="37" spans="1:26" s="24" customFormat="1" hidden="1" outlineLevel="2" x14ac:dyDescent="0.3">
      <c r="A37" s="27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3">
      <c r="A38" s="27"/>
      <c r="B38" s="11" t="str">
        <f>CONCATENATE("          ", "6007", " - ", "STUDENT HOURLY")</f>
        <v xml:space="preserve">          6007 - STUDENT HOURLY</v>
      </c>
      <c r="C38" s="11"/>
      <c r="D38" s="7">
        <v>5293</v>
      </c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5293</v>
      </c>
      <c r="M38" s="2"/>
      <c r="N38" s="6">
        <f t="shared" si="11"/>
        <v>0</v>
      </c>
      <c r="O38" s="11"/>
      <c r="P38" s="7">
        <v>8358.6200000000008</v>
      </c>
      <c r="Q38" s="2"/>
      <c r="R38" s="6">
        <f t="shared" si="12"/>
        <v>0</v>
      </c>
      <c r="S38" s="2"/>
      <c r="T38" s="7">
        <v>8320</v>
      </c>
      <c r="U38" s="2"/>
      <c r="V38" s="6">
        <f t="shared" si="13"/>
        <v>0</v>
      </c>
      <c r="W38" s="2"/>
      <c r="X38" s="7">
        <f t="shared" si="14"/>
        <v>38.6200000000008</v>
      </c>
      <c r="Y38" s="2"/>
      <c r="Z38" s="6">
        <f t="shared" si="15"/>
        <v>4.6418269230770193E-3</v>
      </c>
    </row>
    <row r="39" spans="1:26" s="24" customFormat="1" hidden="1" outlineLevel="2" x14ac:dyDescent="0.3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7"/>
      <c r="E39" s="2"/>
      <c r="F39" s="6">
        <f t="shared" si="8"/>
        <v>0</v>
      </c>
      <c r="G39" s="2"/>
      <c r="H39" s="7">
        <v>6196</v>
      </c>
      <c r="I39" s="2"/>
      <c r="J39" s="6">
        <f t="shared" si="9"/>
        <v>0</v>
      </c>
      <c r="K39" s="2"/>
      <c r="L39" s="7">
        <f t="shared" si="10"/>
        <v>-6196</v>
      </c>
      <c r="M39" s="2"/>
      <c r="N39" s="6">
        <f t="shared" si="11"/>
        <v>-1</v>
      </c>
      <c r="O39" s="11"/>
      <c r="P39" s="7">
        <v>11475.2</v>
      </c>
      <c r="Q39" s="2"/>
      <c r="R39" s="6">
        <f t="shared" si="12"/>
        <v>0</v>
      </c>
      <c r="S39" s="2"/>
      <c r="T39" s="7">
        <v>24036</v>
      </c>
      <c r="U39" s="2"/>
      <c r="V39" s="6">
        <f t="shared" si="13"/>
        <v>0</v>
      </c>
      <c r="W39" s="2"/>
      <c r="X39" s="7">
        <f t="shared" si="14"/>
        <v>-12560.8</v>
      </c>
      <c r="Y39" s="2"/>
      <c r="Z39" s="6">
        <f t="shared" si="15"/>
        <v>-0.5225827924779497</v>
      </c>
    </row>
    <row r="40" spans="1:26" s="24" customFormat="1" hidden="1" outlineLevel="2" x14ac:dyDescent="0.3">
      <c r="A40" s="27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4" customFormat="1" hidden="1" outlineLevel="2" x14ac:dyDescent="0.3">
      <c r="A41" s="27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8"/>
        <v>0</v>
      </c>
      <c r="G41" s="2"/>
      <c r="H41" s="7">
        <v>0</v>
      </c>
      <c r="I41" s="2"/>
      <c r="J41" s="6">
        <f t="shared" si="9"/>
        <v>0</v>
      </c>
      <c r="K41" s="2"/>
      <c r="L41" s="7">
        <f t="shared" si="10"/>
        <v>0</v>
      </c>
      <c r="M41" s="2"/>
      <c r="N41" s="6">
        <f t="shared" si="11"/>
        <v>0</v>
      </c>
      <c r="O41" s="11"/>
      <c r="P41" s="7"/>
      <c r="Q41" s="2"/>
      <c r="R41" s="6">
        <f t="shared" si="12"/>
        <v>0</v>
      </c>
      <c r="S41" s="2"/>
      <c r="T41" s="7">
        <v>0</v>
      </c>
      <c r="U41" s="2"/>
      <c r="V41" s="6">
        <f t="shared" si="13"/>
        <v>0</v>
      </c>
      <c r="W41" s="2"/>
      <c r="X41" s="7">
        <f t="shared" si="14"/>
        <v>0</v>
      </c>
      <c r="Y41" s="2"/>
      <c r="Z41" s="6">
        <f t="shared" si="15"/>
        <v>0</v>
      </c>
    </row>
    <row r="42" spans="1:26" s="28" customFormat="1" outlineLevel="1" collapsed="1" x14ac:dyDescent="0.3">
      <c r="A42" s="29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173.21</v>
      </c>
      <c r="E42" s="1"/>
      <c r="F42" s="5">
        <f t="shared" ref="F42:F50" si="16">IF(D$12=0,0,D42/D$12)</f>
        <v>0</v>
      </c>
      <c r="G42" s="1"/>
      <c r="H42" s="1">
        <f>SUM(OSRRefH22_2x_0)</f>
        <v>817</v>
      </c>
      <c r="I42" s="1"/>
      <c r="J42" s="5">
        <f t="shared" ref="J42:J50" si="17">IF(H$12=0,0,H42/H$12)</f>
        <v>0</v>
      </c>
      <c r="K42" s="1"/>
      <c r="L42" s="1">
        <f t="shared" ref="L42:L50" si="18">+D42-H42</f>
        <v>-643.79</v>
      </c>
      <c r="M42" s="1"/>
      <c r="N42" s="5">
        <f t="shared" ref="N42:N50" si="19">IF(H42=0,0,L42/H42)</f>
        <v>-0.78799265605875146</v>
      </c>
      <c r="O42" s="14"/>
      <c r="P42" s="1">
        <f>SUM(OSRRefP22_2x_0)</f>
        <v>3576.74</v>
      </c>
      <c r="Q42" s="1"/>
      <c r="R42" s="5">
        <f t="shared" ref="R42:R50" si="20">IF(P$12=0,0,P42/P$12)</f>
        <v>0</v>
      </c>
      <c r="S42" s="1"/>
      <c r="T42" s="1">
        <f>SUM(OSRRefT22_2x_0)</f>
        <v>5319</v>
      </c>
      <c r="U42" s="1"/>
      <c r="V42" s="5">
        <f t="shared" ref="V42:V50" si="21">IF(T$12=0,0,T42/T$12)</f>
        <v>0</v>
      </c>
      <c r="W42" s="1"/>
      <c r="X42" s="1">
        <f t="shared" ref="X42:X50" si="22">+P42-T42</f>
        <v>-1742.2600000000002</v>
      </c>
      <c r="Y42" s="1"/>
      <c r="Z42" s="5">
        <f t="shared" ref="Z42:Z50" si="23">IF(T42=0,0,X42/T42)</f>
        <v>-0.32755405151344241</v>
      </c>
    </row>
    <row r="43" spans="1:26" s="24" customFormat="1" hidden="1" outlineLevel="2" x14ac:dyDescent="0.3">
      <c r="A43" s="27"/>
      <c r="B43" s="11" t="str">
        <f>CONCATENATE("          ", "6362", " - ", "ADVERTISING EXPENSE")</f>
        <v xml:space="preserve">          6362 - ADVERTISING EXPENSE</v>
      </c>
      <c r="C43" s="11"/>
      <c r="D43" s="7">
        <v>173.21</v>
      </c>
      <c r="E43" s="2"/>
      <c r="F43" s="6">
        <f t="shared" si="16"/>
        <v>0</v>
      </c>
      <c r="G43" s="2"/>
      <c r="H43" s="7">
        <v>817</v>
      </c>
      <c r="I43" s="2"/>
      <c r="J43" s="6">
        <f t="shared" si="17"/>
        <v>0</v>
      </c>
      <c r="K43" s="2"/>
      <c r="L43" s="7">
        <f t="shared" si="18"/>
        <v>-643.79</v>
      </c>
      <c r="M43" s="2"/>
      <c r="N43" s="6">
        <f t="shared" si="19"/>
        <v>-0.78799265605875146</v>
      </c>
      <c r="O43" s="11"/>
      <c r="P43" s="7">
        <v>3576.74</v>
      </c>
      <c r="Q43" s="2"/>
      <c r="R43" s="6">
        <f t="shared" si="20"/>
        <v>0</v>
      </c>
      <c r="S43" s="2"/>
      <c r="T43" s="7">
        <v>5319</v>
      </c>
      <c r="U43" s="2"/>
      <c r="V43" s="6">
        <f t="shared" si="21"/>
        <v>0</v>
      </c>
      <c r="W43" s="2"/>
      <c r="X43" s="7">
        <f t="shared" si="22"/>
        <v>-1742.2600000000002</v>
      </c>
      <c r="Y43" s="2"/>
      <c r="Z43" s="6">
        <f t="shared" si="23"/>
        <v>-0.32755405151344241</v>
      </c>
    </row>
    <row r="44" spans="1:26" s="28" customFormat="1" outlineLevel="1" collapsed="1" x14ac:dyDescent="0.3">
      <c r="A44" s="29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3680.15</v>
      </c>
      <c r="E44" s="1"/>
      <c r="F44" s="5">
        <f t="shared" si="16"/>
        <v>0</v>
      </c>
      <c r="G44" s="1"/>
      <c r="H44" s="1">
        <f>SUM(OSRRefH22_3x_0)</f>
        <v>10000</v>
      </c>
      <c r="I44" s="1"/>
      <c r="J44" s="5">
        <f t="shared" si="17"/>
        <v>0</v>
      </c>
      <c r="K44" s="1"/>
      <c r="L44" s="1">
        <f t="shared" si="18"/>
        <v>-6319.85</v>
      </c>
      <c r="M44" s="1"/>
      <c r="N44" s="5">
        <f t="shared" si="19"/>
        <v>-0.63198500000000002</v>
      </c>
      <c r="O44" s="14"/>
      <c r="P44" s="1">
        <f>SUM(OSRRefP22_3x_0)</f>
        <v>9279.08</v>
      </c>
      <c r="Q44" s="1"/>
      <c r="R44" s="5">
        <f t="shared" si="20"/>
        <v>0</v>
      </c>
      <c r="S44" s="1"/>
      <c r="T44" s="1">
        <f>SUM(OSRRefT22_3x_0)</f>
        <v>28000</v>
      </c>
      <c r="U44" s="1"/>
      <c r="V44" s="5">
        <f t="shared" si="21"/>
        <v>0</v>
      </c>
      <c r="W44" s="1"/>
      <c r="X44" s="1">
        <f t="shared" si="22"/>
        <v>-18720.919999999998</v>
      </c>
      <c r="Y44" s="1"/>
      <c r="Z44" s="5">
        <f t="shared" si="23"/>
        <v>-0.66860428571428565</v>
      </c>
    </row>
    <row r="45" spans="1:26" s="24" customFormat="1" hidden="1" outlineLevel="2" x14ac:dyDescent="0.3">
      <c r="A45" s="27"/>
      <c r="B45" s="11" t="str">
        <f>CONCATENATE("          ", "6381", " - ", "BANK/CREDIT CARD FEES")</f>
        <v xml:space="preserve">          6381 - BANK/CREDIT CARD FEES</v>
      </c>
      <c r="C45" s="11"/>
      <c r="D45" s="7">
        <v>3680.15</v>
      </c>
      <c r="E45" s="2"/>
      <c r="F45" s="6">
        <f t="shared" si="16"/>
        <v>0</v>
      </c>
      <c r="G45" s="2"/>
      <c r="H45" s="7">
        <v>10000</v>
      </c>
      <c r="I45" s="2"/>
      <c r="J45" s="6">
        <f t="shared" si="17"/>
        <v>0</v>
      </c>
      <c r="K45" s="2"/>
      <c r="L45" s="7">
        <f t="shared" si="18"/>
        <v>-6319.85</v>
      </c>
      <c r="M45" s="2"/>
      <c r="N45" s="6">
        <f t="shared" si="19"/>
        <v>-0.63198500000000002</v>
      </c>
      <c r="O45" s="11"/>
      <c r="P45" s="7">
        <v>9279.08</v>
      </c>
      <c r="Q45" s="2"/>
      <c r="R45" s="6">
        <f t="shared" si="20"/>
        <v>0</v>
      </c>
      <c r="S45" s="2"/>
      <c r="T45" s="7">
        <v>28000</v>
      </c>
      <c r="U45" s="2"/>
      <c r="V45" s="6">
        <f t="shared" si="21"/>
        <v>0</v>
      </c>
      <c r="W45" s="2"/>
      <c r="X45" s="7">
        <f t="shared" si="22"/>
        <v>-18720.919999999998</v>
      </c>
      <c r="Y45" s="2"/>
      <c r="Z45" s="6">
        <f t="shared" si="23"/>
        <v>-0.66860428571428565</v>
      </c>
    </row>
    <row r="46" spans="1:26" s="28" customFormat="1" outlineLevel="1" collapsed="1" x14ac:dyDescent="0.3">
      <c r="A46" s="29"/>
      <c r="B46" s="14" t="str">
        <f>CONCATENATE("     ","Board                                             ")</f>
        <v xml:space="preserve">     Board                                             </v>
      </c>
      <c r="C46" s="14"/>
      <c r="D46" s="1">
        <f>SUM(OSRRefD22_4x_0)</f>
        <v>991.03</v>
      </c>
      <c r="E46" s="1"/>
      <c r="F46" s="5">
        <f t="shared" si="16"/>
        <v>0</v>
      </c>
      <c r="G46" s="1"/>
      <c r="H46" s="1">
        <f>SUM(OSRRefH22_4x_0)</f>
        <v>2508</v>
      </c>
      <c r="I46" s="1"/>
      <c r="J46" s="5">
        <f t="shared" si="17"/>
        <v>0</v>
      </c>
      <c r="K46" s="1"/>
      <c r="L46" s="1">
        <f t="shared" si="18"/>
        <v>-1516.97</v>
      </c>
      <c r="M46" s="1"/>
      <c r="N46" s="5">
        <f t="shared" si="19"/>
        <v>-0.60485247208931425</v>
      </c>
      <c r="O46" s="14"/>
      <c r="P46" s="1">
        <f>SUM(OSRRefP22_4x_0)</f>
        <v>8647.5400000000009</v>
      </c>
      <c r="Q46" s="1"/>
      <c r="R46" s="5">
        <f t="shared" si="20"/>
        <v>0</v>
      </c>
      <c r="S46" s="1"/>
      <c r="T46" s="1">
        <f>SUM(OSRRefT22_4x_0)</f>
        <v>12056</v>
      </c>
      <c r="U46" s="1"/>
      <c r="V46" s="5">
        <f t="shared" si="21"/>
        <v>0</v>
      </c>
      <c r="W46" s="1"/>
      <c r="X46" s="1">
        <f t="shared" si="22"/>
        <v>-3408.4599999999991</v>
      </c>
      <c r="Y46" s="1"/>
      <c r="Z46" s="5">
        <f t="shared" si="23"/>
        <v>-0.28271897810218971</v>
      </c>
    </row>
    <row r="47" spans="1:26" s="24" customFormat="1" hidden="1" outlineLevel="2" x14ac:dyDescent="0.3">
      <c r="A47" s="27"/>
      <c r="B47" s="11" t="str">
        <f>CONCATENATE("          ", "6397", " - ", "BOARD EXPENSES")</f>
        <v xml:space="preserve">          6397 - BOARD EXPENSES</v>
      </c>
      <c r="C47" s="11"/>
      <c r="D47" s="7">
        <v>991.03</v>
      </c>
      <c r="E47" s="2"/>
      <c r="F47" s="6">
        <f t="shared" si="16"/>
        <v>0</v>
      </c>
      <c r="G47" s="2"/>
      <c r="H47" s="7">
        <v>2508</v>
      </c>
      <c r="I47" s="2"/>
      <c r="J47" s="6">
        <f t="shared" si="17"/>
        <v>0</v>
      </c>
      <c r="K47" s="2"/>
      <c r="L47" s="7">
        <f t="shared" si="18"/>
        <v>-1516.97</v>
      </c>
      <c r="M47" s="2"/>
      <c r="N47" s="6">
        <f t="shared" si="19"/>
        <v>-0.60485247208931425</v>
      </c>
      <c r="O47" s="11"/>
      <c r="P47" s="7">
        <v>8647.5400000000009</v>
      </c>
      <c r="Q47" s="2"/>
      <c r="R47" s="6">
        <f t="shared" si="20"/>
        <v>0</v>
      </c>
      <c r="S47" s="2"/>
      <c r="T47" s="7">
        <v>12056</v>
      </c>
      <c r="U47" s="2"/>
      <c r="V47" s="6">
        <f t="shared" si="21"/>
        <v>0</v>
      </c>
      <c r="W47" s="2"/>
      <c r="X47" s="7">
        <f t="shared" si="22"/>
        <v>-3408.4599999999991</v>
      </c>
      <c r="Y47" s="2"/>
      <c r="Z47" s="6">
        <f t="shared" si="23"/>
        <v>-0.28271897810218971</v>
      </c>
    </row>
    <row r="48" spans="1:26" s="28" customFormat="1" outlineLevel="1" collapsed="1" x14ac:dyDescent="0.3">
      <c r="A48" s="29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SUM(OSRRefD22_5x_0)</f>
        <v>4014.64</v>
      </c>
      <c r="E48" s="1"/>
      <c r="F48" s="5">
        <f t="shared" si="16"/>
        <v>0</v>
      </c>
      <c r="G48" s="1"/>
      <c r="H48" s="1">
        <f>SUM(OSRRefH22_5x_0)</f>
        <v>3973</v>
      </c>
      <c r="I48" s="1"/>
      <c r="J48" s="5">
        <f t="shared" si="17"/>
        <v>0</v>
      </c>
      <c r="K48" s="1"/>
      <c r="L48" s="1">
        <f t="shared" si="18"/>
        <v>41.639999999999873</v>
      </c>
      <c r="M48" s="1"/>
      <c r="N48" s="5">
        <f t="shared" si="19"/>
        <v>1.0480745028945349E-2</v>
      </c>
      <c r="O48" s="14"/>
      <c r="P48" s="1">
        <f>SUM(OSRRefP22_5x_0)</f>
        <v>36974.92</v>
      </c>
      <c r="Q48" s="1"/>
      <c r="R48" s="5">
        <f t="shared" si="20"/>
        <v>0</v>
      </c>
      <c r="S48" s="1"/>
      <c r="T48" s="1">
        <f>SUM(OSRRefT22_5x_0)</f>
        <v>36682</v>
      </c>
      <c r="U48" s="1"/>
      <c r="V48" s="5">
        <f t="shared" si="21"/>
        <v>0</v>
      </c>
      <c r="W48" s="1"/>
      <c r="X48" s="1">
        <f t="shared" si="22"/>
        <v>292.91999999999825</v>
      </c>
      <c r="Y48" s="1"/>
      <c r="Z48" s="5">
        <f t="shared" si="23"/>
        <v>7.9853879286843205E-3</v>
      </c>
    </row>
    <row r="49" spans="1:26" s="24" customFormat="1" hidden="1" outlineLevel="2" x14ac:dyDescent="0.3">
      <c r="A49" s="27"/>
      <c r="B49" s="11" t="str">
        <f>CONCATENATE("          ", "6322", " - ", "EQUIPMENT DEPRECIATION EXPENSE")</f>
        <v xml:space="preserve">          6322 - EQUIPMENT DEPRECIATION EXPENSE</v>
      </c>
      <c r="C49" s="11"/>
      <c r="D49" s="7">
        <v>4014.64</v>
      </c>
      <c r="E49" s="2"/>
      <c r="F49" s="6">
        <f t="shared" si="16"/>
        <v>0</v>
      </c>
      <c r="G49" s="2"/>
      <c r="H49" s="7">
        <v>3473</v>
      </c>
      <c r="I49" s="2"/>
      <c r="J49" s="6">
        <f t="shared" si="17"/>
        <v>0</v>
      </c>
      <c r="K49" s="2"/>
      <c r="L49" s="7">
        <f t="shared" si="18"/>
        <v>541.63999999999987</v>
      </c>
      <c r="M49" s="2"/>
      <c r="N49" s="6">
        <f t="shared" si="19"/>
        <v>0.15595738554563773</v>
      </c>
      <c r="O49" s="11"/>
      <c r="P49" s="7">
        <v>36974.92</v>
      </c>
      <c r="Q49" s="2"/>
      <c r="R49" s="6">
        <f t="shared" si="20"/>
        <v>0</v>
      </c>
      <c r="S49" s="2"/>
      <c r="T49" s="7">
        <v>33182</v>
      </c>
      <c r="U49" s="2"/>
      <c r="V49" s="6">
        <f t="shared" si="21"/>
        <v>0</v>
      </c>
      <c r="W49" s="2"/>
      <c r="X49" s="7">
        <f t="shared" si="22"/>
        <v>3792.9199999999983</v>
      </c>
      <c r="Y49" s="2"/>
      <c r="Z49" s="6">
        <f t="shared" si="23"/>
        <v>0.11430655174492189</v>
      </c>
    </row>
    <row r="50" spans="1:26" s="24" customFormat="1" hidden="1" outlineLevel="2" x14ac:dyDescent="0.3">
      <c r="A50" s="27"/>
      <c r="B50" s="11" t="str">
        <f>CONCATENATE("          ", "6324", " - ", "FURNITURE + FIXT DEPRECIATION")</f>
        <v xml:space="preserve">          6324 - FURNITURE + FIXT DEPRECIATION</v>
      </c>
      <c r="C50" s="11"/>
      <c r="D50" s="7"/>
      <c r="E50" s="2"/>
      <c r="F50" s="6">
        <f t="shared" si="16"/>
        <v>0</v>
      </c>
      <c r="G50" s="2"/>
      <c r="H50" s="7">
        <v>500</v>
      </c>
      <c r="I50" s="2"/>
      <c r="J50" s="6">
        <f t="shared" si="17"/>
        <v>0</v>
      </c>
      <c r="K50" s="2"/>
      <c r="L50" s="7">
        <f t="shared" si="18"/>
        <v>-500</v>
      </c>
      <c r="M50" s="2"/>
      <c r="N50" s="6">
        <f t="shared" si="19"/>
        <v>-1</v>
      </c>
      <c r="O50" s="11"/>
      <c r="P50" s="7"/>
      <c r="Q50" s="2"/>
      <c r="R50" s="6">
        <f t="shared" si="20"/>
        <v>0</v>
      </c>
      <c r="S50" s="2"/>
      <c r="T50" s="7">
        <v>3500</v>
      </c>
      <c r="U50" s="2"/>
      <c r="V50" s="6">
        <f t="shared" si="21"/>
        <v>0</v>
      </c>
      <c r="W50" s="2"/>
      <c r="X50" s="7">
        <f t="shared" si="22"/>
        <v>-3500</v>
      </c>
      <c r="Y50" s="2"/>
      <c r="Z50" s="6">
        <f t="shared" si="23"/>
        <v>-1</v>
      </c>
    </row>
    <row r="51" spans="1:26" s="28" customFormat="1" outlineLevel="1" collapsed="1" x14ac:dyDescent="0.3">
      <c r="A51" s="29"/>
      <c r="B51" s="14" t="str">
        <f>CONCATENATE("     ","Donations                                         ")</f>
        <v xml:space="preserve">     Donations                                         </v>
      </c>
      <c r="C51" s="14"/>
      <c r="D51" s="1">
        <f>SUM(OSRRefD22_6x_0)</f>
        <v>0</v>
      </c>
      <c r="E51" s="1"/>
      <c r="F51" s="5">
        <f t="shared" ref="F51:F67" si="24">IF(D$12=0,0,D51/D$12)</f>
        <v>0</v>
      </c>
      <c r="G51" s="1"/>
      <c r="H51" s="1">
        <f>SUM(OSRRefH22_6x_0)</f>
        <v>10000</v>
      </c>
      <c r="I51" s="1"/>
      <c r="J51" s="5">
        <f t="shared" ref="J51:J67" si="25">IF(H$12=0,0,H51/H$12)</f>
        <v>0</v>
      </c>
      <c r="K51" s="1"/>
      <c r="L51" s="1">
        <f t="shared" ref="L51:L67" si="26">+D51-H51</f>
        <v>-10000</v>
      </c>
      <c r="M51" s="1"/>
      <c r="N51" s="5">
        <f t="shared" ref="N51:N67" si="27">IF(H51=0,0,L51/H51)</f>
        <v>-1</v>
      </c>
      <c r="O51" s="14"/>
      <c r="P51" s="1">
        <f>SUM(OSRRefP22_6x_0)</f>
        <v>25300</v>
      </c>
      <c r="Q51" s="1"/>
      <c r="R51" s="5">
        <f t="shared" ref="R51:R67" si="28">IF(P$12=0,0,P51/P$12)</f>
        <v>0</v>
      </c>
      <c r="S51" s="1"/>
      <c r="T51" s="1">
        <f>SUM(OSRRefT22_6x_0)</f>
        <v>52450</v>
      </c>
      <c r="U51" s="1"/>
      <c r="V51" s="5">
        <f t="shared" ref="V51:V67" si="29">IF(T$12=0,0,T51/T$12)</f>
        <v>0</v>
      </c>
      <c r="W51" s="1"/>
      <c r="X51" s="1">
        <f t="shared" ref="X51:X67" si="30">+P51-T51</f>
        <v>-27150</v>
      </c>
      <c r="Y51" s="1"/>
      <c r="Z51" s="5">
        <f t="shared" ref="Z51:Z67" si="31">IF(T51=0,0,X51/T51)</f>
        <v>-0.5176358436606292</v>
      </c>
    </row>
    <row r="52" spans="1:26" s="24" customFormat="1" hidden="1" outlineLevel="2" x14ac:dyDescent="0.3">
      <c r="A52" s="27"/>
      <c r="B52" s="11" t="str">
        <f>CONCATENATE("          ", "6399", " - ", "DONATION-ON CAMPUS")</f>
        <v xml:space="preserve">          6399 - DONATION-ON CAMPUS</v>
      </c>
      <c r="C52" s="11"/>
      <c r="D52" s="7"/>
      <c r="E52" s="2"/>
      <c r="F52" s="6">
        <f t="shared" si="24"/>
        <v>0</v>
      </c>
      <c r="G52" s="2"/>
      <c r="H52" s="7">
        <v>10000</v>
      </c>
      <c r="I52" s="2"/>
      <c r="J52" s="6">
        <f t="shared" si="25"/>
        <v>0</v>
      </c>
      <c r="K52" s="2"/>
      <c r="L52" s="7">
        <f t="shared" si="26"/>
        <v>-10000</v>
      </c>
      <c r="M52" s="2"/>
      <c r="N52" s="6">
        <f t="shared" si="27"/>
        <v>-1</v>
      </c>
      <c r="O52" s="11"/>
      <c r="P52" s="7">
        <v>25300</v>
      </c>
      <c r="Q52" s="2"/>
      <c r="R52" s="6">
        <f t="shared" si="28"/>
        <v>0</v>
      </c>
      <c r="S52" s="2"/>
      <c r="T52" s="7">
        <v>52450</v>
      </c>
      <c r="U52" s="2"/>
      <c r="V52" s="6">
        <f t="shared" si="29"/>
        <v>0</v>
      </c>
      <c r="W52" s="2"/>
      <c r="X52" s="7">
        <f t="shared" si="30"/>
        <v>-27150</v>
      </c>
      <c r="Y52" s="2"/>
      <c r="Z52" s="6">
        <f t="shared" si="31"/>
        <v>-0.5176358436606292</v>
      </c>
    </row>
    <row r="53" spans="1:26" s="28" customFormat="1" outlineLevel="1" collapsed="1" x14ac:dyDescent="0.3">
      <c r="A53" s="29"/>
      <c r="B53" s="14" t="str">
        <f>CONCATENATE("     ","Employees' Appreciation                           ")</f>
        <v xml:space="preserve">     Employees' Appreciation                           </v>
      </c>
      <c r="C53" s="14"/>
      <c r="D53" s="1">
        <f>SUM(OSRRefD22_7x_0)</f>
        <v>635.58000000000004</v>
      </c>
      <c r="E53" s="1"/>
      <c r="F53" s="5">
        <f t="shared" si="24"/>
        <v>0</v>
      </c>
      <c r="G53" s="1"/>
      <c r="H53" s="1">
        <f>SUM(OSRRefH22_7x_0)</f>
        <v>250</v>
      </c>
      <c r="I53" s="1"/>
      <c r="J53" s="5">
        <f t="shared" si="25"/>
        <v>0</v>
      </c>
      <c r="K53" s="1"/>
      <c r="L53" s="1">
        <f t="shared" si="26"/>
        <v>385.58000000000004</v>
      </c>
      <c r="M53" s="1"/>
      <c r="N53" s="5">
        <f t="shared" si="27"/>
        <v>1.5423200000000001</v>
      </c>
      <c r="O53" s="14"/>
      <c r="P53" s="1">
        <f>SUM(OSRRefP22_7x_0)</f>
        <v>643.6</v>
      </c>
      <c r="Q53" s="1"/>
      <c r="R53" s="5">
        <f t="shared" si="28"/>
        <v>0</v>
      </c>
      <c r="S53" s="1"/>
      <c r="T53" s="1">
        <f>SUM(OSRRefT22_7x_0)</f>
        <v>5250</v>
      </c>
      <c r="U53" s="1"/>
      <c r="V53" s="5">
        <f t="shared" si="29"/>
        <v>0</v>
      </c>
      <c r="W53" s="1"/>
      <c r="X53" s="1">
        <f t="shared" si="30"/>
        <v>-4606.3999999999996</v>
      </c>
      <c r="Y53" s="1"/>
      <c r="Z53" s="5">
        <f t="shared" si="31"/>
        <v>-0.87740952380952375</v>
      </c>
    </row>
    <row r="54" spans="1:26" s="24" customFormat="1" hidden="1" outlineLevel="2" x14ac:dyDescent="0.3">
      <c r="A54" s="27"/>
      <c r="B54" s="11" t="str">
        <f>CONCATENATE("          ", "6277", " - ", "EMPLOYEE APPRECIATION")</f>
        <v xml:space="preserve">          6277 - EMPLOYEE APPRECIATION</v>
      </c>
      <c r="C54" s="11"/>
      <c r="D54" s="7">
        <v>635.58000000000004</v>
      </c>
      <c r="E54" s="2"/>
      <c r="F54" s="6">
        <f t="shared" si="24"/>
        <v>0</v>
      </c>
      <c r="G54" s="2"/>
      <c r="H54" s="7">
        <v>250</v>
      </c>
      <c r="I54" s="2"/>
      <c r="J54" s="6">
        <f t="shared" si="25"/>
        <v>0</v>
      </c>
      <c r="K54" s="2"/>
      <c r="L54" s="7">
        <f t="shared" si="26"/>
        <v>385.58000000000004</v>
      </c>
      <c r="M54" s="2"/>
      <c r="N54" s="6">
        <f t="shared" si="27"/>
        <v>1.5423200000000001</v>
      </c>
      <c r="O54" s="11"/>
      <c r="P54" s="7">
        <v>643.6</v>
      </c>
      <c r="Q54" s="2"/>
      <c r="R54" s="6">
        <f t="shared" si="28"/>
        <v>0</v>
      </c>
      <c r="S54" s="2"/>
      <c r="T54" s="7">
        <v>5250</v>
      </c>
      <c r="U54" s="2"/>
      <c r="V54" s="6">
        <f t="shared" si="29"/>
        <v>0</v>
      </c>
      <c r="W54" s="2"/>
      <c r="X54" s="7">
        <f t="shared" si="30"/>
        <v>-4606.3999999999996</v>
      </c>
      <c r="Y54" s="2"/>
      <c r="Z54" s="6">
        <f t="shared" si="31"/>
        <v>-0.87740952380952375</v>
      </c>
    </row>
    <row r="55" spans="1:26" s="28" customFormat="1" outlineLevel="1" collapsed="1" x14ac:dyDescent="0.3">
      <c r="A55" s="29"/>
      <c r="B55" s="14" t="str">
        <f>CONCATENATE("     ","Equipment Rental                                  ")</f>
        <v xml:space="preserve">     Equipment Rental                                  </v>
      </c>
      <c r="C55" s="14"/>
      <c r="D55" s="1">
        <f>SUM(OSRRefD22_8x_0)</f>
        <v>208.97</v>
      </c>
      <c r="E55" s="1"/>
      <c r="F55" s="5">
        <f t="shared" si="24"/>
        <v>0</v>
      </c>
      <c r="G55" s="1"/>
      <c r="H55" s="1">
        <f>SUM(OSRRefH22_8x_0)</f>
        <v>284</v>
      </c>
      <c r="I55" s="1"/>
      <c r="J55" s="5">
        <f t="shared" si="25"/>
        <v>0</v>
      </c>
      <c r="K55" s="1"/>
      <c r="L55" s="1">
        <f t="shared" si="26"/>
        <v>-75.03</v>
      </c>
      <c r="M55" s="1"/>
      <c r="N55" s="5">
        <f t="shared" si="27"/>
        <v>-0.26419014084507042</v>
      </c>
      <c r="O55" s="14"/>
      <c r="P55" s="1">
        <f>SUM(OSRRefP22_8x_0)</f>
        <v>1462.79</v>
      </c>
      <c r="Q55" s="1"/>
      <c r="R55" s="5">
        <f t="shared" si="28"/>
        <v>0</v>
      </c>
      <c r="S55" s="1"/>
      <c r="T55" s="1">
        <f>SUM(OSRRefT22_8x_0)</f>
        <v>1988</v>
      </c>
      <c r="U55" s="1"/>
      <c r="V55" s="5">
        <f t="shared" si="29"/>
        <v>0</v>
      </c>
      <c r="W55" s="1"/>
      <c r="X55" s="1">
        <f t="shared" si="30"/>
        <v>-525.21</v>
      </c>
      <c r="Y55" s="1"/>
      <c r="Z55" s="5">
        <f t="shared" si="31"/>
        <v>-0.26419014084507042</v>
      </c>
    </row>
    <row r="56" spans="1:26" s="24" customFormat="1" hidden="1" outlineLevel="2" x14ac:dyDescent="0.3">
      <c r="A56" s="27"/>
      <c r="B56" s="11" t="str">
        <f>CONCATENATE("          ", "6351", " - ", "EQUIPMENT RENTAL")</f>
        <v xml:space="preserve">          6351 - EQUIPMENT RENTAL</v>
      </c>
      <c r="C56" s="11"/>
      <c r="D56" s="7">
        <v>208.97</v>
      </c>
      <c r="E56" s="2"/>
      <c r="F56" s="6">
        <f t="shared" si="24"/>
        <v>0</v>
      </c>
      <c r="G56" s="2"/>
      <c r="H56" s="7">
        <v>284</v>
      </c>
      <c r="I56" s="2"/>
      <c r="J56" s="6">
        <f t="shared" si="25"/>
        <v>0</v>
      </c>
      <c r="K56" s="2"/>
      <c r="L56" s="7">
        <f t="shared" si="26"/>
        <v>-75.03</v>
      </c>
      <c r="M56" s="2"/>
      <c r="N56" s="6">
        <f t="shared" si="27"/>
        <v>-0.26419014084507042</v>
      </c>
      <c r="O56" s="11"/>
      <c r="P56" s="7">
        <v>1462.79</v>
      </c>
      <c r="Q56" s="2"/>
      <c r="R56" s="6">
        <f t="shared" si="28"/>
        <v>0</v>
      </c>
      <c r="S56" s="2"/>
      <c r="T56" s="7">
        <v>1988</v>
      </c>
      <c r="U56" s="2"/>
      <c r="V56" s="6">
        <f t="shared" si="29"/>
        <v>0</v>
      </c>
      <c r="W56" s="2"/>
      <c r="X56" s="7">
        <f t="shared" si="30"/>
        <v>-525.21</v>
      </c>
      <c r="Y56" s="2"/>
      <c r="Z56" s="6">
        <f t="shared" si="31"/>
        <v>-0.26419014084507042</v>
      </c>
    </row>
    <row r="57" spans="1:26" s="28" customFormat="1" outlineLevel="1" collapsed="1" x14ac:dyDescent="0.3">
      <c r="A57" s="29"/>
      <c r="B57" s="14" t="str">
        <f>CONCATENATE("     ","Freight out/Postage                               ")</f>
        <v xml:space="preserve">     Freight out/Postage                               </v>
      </c>
      <c r="C57" s="14"/>
      <c r="D57" s="1">
        <f>SUM(OSRRefD22_9x_0)</f>
        <v>125.8</v>
      </c>
      <c r="E57" s="1"/>
      <c r="F57" s="5">
        <f t="shared" si="24"/>
        <v>0</v>
      </c>
      <c r="G57" s="1"/>
      <c r="H57" s="1">
        <f>SUM(OSRRefH22_9x_0)</f>
        <v>210</v>
      </c>
      <c r="I57" s="1"/>
      <c r="J57" s="5">
        <f t="shared" si="25"/>
        <v>0</v>
      </c>
      <c r="K57" s="1"/>
      <c r="L57" s="1">
        <f t="shared" si="26"/>
        <v>-84.2</v>
      </c>
      <c r="M57" s="1"/>
      <c r="N57" s="5">
        <f t="shared" si="27"/>
        <v>-0.40095238095238095</v>
      </c>
      <c r="O57" s="14"/>
      <c r="P57" s="1">
        <f>SUM(OSRRefP22_9x_0)</f>
        <v>1143.81</v>
      </c>
      <c r="Q57" s="1"/>
      <c r="R57" s="5">
        <f t="shared" si="28"/>
        <v>0</v>
      </c>
      <c r="S57" s="1"/>
      <c r="T57" s="1">
        <f>SUM(OSRRefT22_9x_0)</f>
        <v>1505</v>
      </c>
      <c r="U57" s="1"/>
      <c r="V57" s="5">
        <f t="shared" si="29"/>
        <v>0</v>
      </c>
      <c r="W57" s="1"/>
      <c r="X57" s="1">
        <f t="shared" si="30"/>
        <v>-361.19000000000005</v>
      </c>
      <c r="Y57" s="1"/>
      <c r="Z57" s="5">
        <f t="shared" si="31"/>
        <v>-0.23999335548172762</v>
      </c>
    </row>
    <row r="58" spans="1:26" s="24" customFormat="1" hidden="1" outlineLevel="2" x14ac:dyDescent="0.3">
      <c r="A58" s="27"/>
      <c r="B58" s="11" t="str">
        <f>CONCATENATE("          ", "6307", " - ", "POSTAGE")</f>
        <v xml:space="preserve">          6307 - POSTAGE</v>
      </c>
      <c r="C58" s="11"/>
      <c r="D58" s="7">
        <v>125.8</v>
      </c>
      <c r="E58" s="2"/>
      <c r="F58" s="6">
        <f t="shared" si="24"/>
        <v>0</v>
      </c>
      <c r="G58" s="2"/>
      <c r="H58" s="7">
        <v>210</v>
      </c>
      <c r="I58" s="2"/>
      <c r="J58" s="6">
        <f t="shared" si="25"/>
        <v>0</v>
      </c>
      <c r="K58" s="2"/>
      <c r="L58" s="7">
        <f t="shared" si="26"/>
        <v>-84.2</v>
      </c>
      <c r="M58" s="2"/>
      <c r="N58" s="6">
        <f t="shared" si="27"/>
        <v>-0.40095238095238095</v>
      </c>
      <c r="O58" s="11"/>
      <c r="P58" s="7">
        <v>1143.81</v>
      </c>
      <c r="Q58" s="2"/>
      <c r="R58" s="6">
        <f t="shared" si="28"/>
        <v>0</v>
      </c>
      <c r="S58" s="2"/>
      <c r="T58" s="7">
        <v>1505</v>
      </c>
      <c r="U58" s="2"/>
      <c r="V58" s="6">
        <f t="shared" si="29"/>
        <v>0</v>
      </c>
      <c r="W58" s="2"/>
      <c r="X58" s="7">
        <f t="shared" si="30"/>
        <v>-361.19000000000005</v>
      </c>
      <c r="Y58" s="2"/>
      <c r="Z58" s="6">
        <f t="shared" si="31"/>
        <v>-0.23999335548172762</v>
      </c>
    </row>
    <row r="59" spans="1:26" s="28" customFormat="1" outlineLevel="1" collapsed="1" x14ac:dyDescent="0.3">
      <c r="A59" s="29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SUM(OSRRefD22_10x_0)</f>
        <v>53.5</v>
      </c>
      <c r="E59" s="1"/>
      <c r="F59" s="5">
        <f t="shared" si="24"/>
        <v>0</v>
      </c>
      <c r="G59" s="1"/>
      <c r="H59" s="1">
        <f>SUM(OSRRefH22_10x_0)</f>
        <v>0</v>
      </c>
      <c r="I59" s="1"/>
      <c r="J59" s="5">
        <f t="shared" si="25"/>
        <v>0</v>
      </c>
      <c r="K59" s="1"/>
      <c r="L59" s="1">
        <f t="shared" si="26"/>
        <v>53.5</v>
      </c>
      <c r="M59" s="1"/>
      <c r="N59" s="5">
        <f t="shared" si="27"/>
        <v>0</v>
      </c>
      <c r="O59" s="14"/>
      <c r="P59" s="1">
        <f>SUM(OSRRefP22_10x_0)</f>
        <v>1827.18</v>
      </c>
      <c r="Q59" s="1"/>
      <c r="R59" s="5">
        <f t="shared" si="28"/>
        <v>0</v>
      </c>
      <c r="S59" s="1"/>
      <c r="T59" s="1">
        <f>SUM(OSRRefT22_10x_0)</f>
        <v>-600</v>
      </c>
      <c r="U59" s="1"/>
      <c r="V59" s="5">
        <f t="shared" si="29"/>
        <v>0</v>
      </c>
      <c r="W59" s="1"/>
      <c r="X59" s="1">
        <f t="shared" si="30"/>
        <v>2427.1800000000003</v>
      </c>
      <c r="Y59" s="1"/>
      <c r="Z59" s="5">
        <f t="shared" si="31"/>
        <v>-4.0453000000000001</v>
      </c>
    </row>
    <row r="60" spans="1:26" s="24" customFormat="1" hidden="1" outlineLevel="2" x14ac:dyDescent="0.3">
      <c r="A60" s="27"/>
      <c r="B60" s="11" t="str">
        <f>CONCATENATE("          ", "6279", " - ", "GENERAL EXPENSE")</f>
        <v xml:space="preserve">          6279 - GENERAL EXPENSE</v>
      </c>
      <c r="C60" s="11"/>
      <c r="D60" s="7">
        <v>53.5</v>
      </c>
      <c r="E60" s="2"/>
      <c r="F60" s="6">
        <f t="shared" si="24"/>
        <v>0</v>
      </c>
      <c r="G60" s="2"/>
      <c r="H60" s="7">
        <v>0</v>
      </c>
      <c r="I60" s="2"/>
      <c r="J60" s="6">
        <f t="shared" si="25"/>
        <v>0</v>
      </c>
      <c r="K60" s="2"/>
      <c r="L60" s="7">
        <f t="shared" si="26"/>
        <v>53.5</v>
      </c>
      <c r="M60" s="2"/>
      <c r="N60" s="6">
        <f t="shared" si="27"/>
        <v>0</v>
      </c>
      <c r="O60" s="11"/>
      <c r="P60" s="7">
        <v>1827.18</v>
      </c>
      <c r="Q60" s="2"/>
      <c r="R60" s="6">
        <f t="shared" si="28"/>
        <v>0</v>
      </c>
      <c r="S60" s="2"/>
      <c r="T60" s="7">
        <v>-600</v>
      </c>
      <c r="U60" s="2"/>
      <c r="V60" s="6">
        <f t="shared" si="29"/>
        <v>0</v>
      </c>
      <c r="W60" s="2"/>
      <c r="X60" s="7">
        <f t="shared" si="30"/>
        <v>2427.1800000000003</v>
      </c>
      <c r="Y60" s="2"/>
      <c r="Z60" s="6">
        <f t="shared" si="31"/>
        <v>-4.0453000000000001</v>
      </c>
    </row>
    <row r="61" spans="1:26" s="28" customFormat="1" outlineLevel="1" collapsed="1" x14ac:dyDescent="0.3">
      <c r="A61" s="29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SUM(OSRRefD22_11x_0)</f>
        <v>535.05999999999995</v>
      </c>
      <c r="E61" s="1"/>
      <c r="F61" s="5">
        <f t="shared" si="24"/>
        <v>0</v>
      </c>
      <c r="G61" s="1"/>
      <c r="H61" s="1">
        <f>SUM(OSRRefH22_11x_0)</f>
        <v>530</v>
      </c>
      <c r="I61" s="1"/>
      <c r="J61" s="5">
        <f t="shared" si="25"/>
        <v>0</v>
      </c>
      <c r="K61" s="1"/>
      <c r="L61" s="1">
        <f t="shared" si="26"/>
        <v>5.0599999999999454</v>
      </c>
      <c r="M61" s="1"/>
      <c r="N61" s="5">
        <f t="shared" si="27"/>
        <v>9.5471698113206525E-3</v>
      </c>
      <c r="O61" s="14"/>
      <c r="P61" s="1">
        <f>SUM(OSRRefP22_11x_0)</f>
        <v>3745.42</v>
      </c>
      <c r="Q61" s="1"/>
      <c r="R61" s="5">
        <f t="shared" si="28"/>
        <v>0</v>
      </c>
      <c r="S61" s="1"/>
      <c r="T61" s="1">
        <f>SUM(OSRRefT22_11x_0)</f>
        <v>3710</v>
      </c>
      <c r="U61" s="1"/>
      <c r="V61" s="5">
        <f t="shared" si="29"/>
        <v>0</v>
      </c>
      <c r="W61" s="1"/>
      <c r="X61" s="1">
        <f t="shared" si="30"/>
        <v>35.420000000000073</v>
      </c>
      <c r="Y61" s="1"/>
      <c r="Z61" s="5">
        <f t="shared" si="31"/>
        <v>9.5471698113207739E-3</v>
      </c>
    </row>
    <row r="62" spans="1:26" s="24" customFormat="1" hidden="1" outlineLevel="2" x14ac:dyDescent="0.3">
      <c r="A62" s="27"/>
      <c r="B62" s="11" t="str">
        <f>CONCATENATE("          ", "6314", " - ", "LIABILITY INSURANCE")</f>
        <v xml:space="preserve">          6314 - LIABILITY INSURANCE</v>
      </c>
      <c r="C62" s="11"/>
      <c r="D62" s="7">
        <v>535.05999999999995</v>
      </c>
      <c r="E62" s="2"/>
      <c r="F62" s="6">
        <f t="shared" si="24"/>
        <v>0</v>
      </c>
      <c r="G62" s="2"/>
      <c r="H62" s="7">
        <v>530</v>
      </c>
      <c r="I62" s="2"/>
      <c r="J62" s="6">
        <f t="shared" si="25"/>
        <v>0</v>
      </c>
      <c r="K62" s="2"/>
      <c r="L62" s="7">
        <f t="shared" si="26"/>
        <v>5.0599999999999454</v>
      </c>
      <c r="M62" s="2"/>
      <c r="N62" s="6">
        <f t="shared" si="27"/>
        <v>9.5471698113206525E-3</v>
      </c>
      <c r="O62" s="11"/>
      <c r="P62" s="7">
        <v>3745.42</v>
      </c>
      <c r="Q62" s="2"/>
      <c r="R62" s="6">
        <f t="shared" si="28"/>
        <v>0</v>
      </c>
      <c r="S62" s="2"/>
      <c r="T62" s="7">
        <v>3710</v>
      </c>
      <c r="U62" s="2"/>
      <c r="V62" s="6">
        <f t="shared" si="29"/>
        <v>0</v>
      </c>
      <c r="W62" s="2"/>
      <c r="X62" s="7">
        <f t="shared" si="30"/>
        <v>35.420000000000073</v>
      </c>
      <c r="Y62" s="2"/>
      <c r="Z62" s="6">
        <f t="shared" si="31"/>
        <v>9.5471698113207739E-3</v>
      </c>
    </row>
    <row r="63" spans="1:26" s="28" customFormat="1" outlineLevel="1" collapsed="1" x14ac:dyDescent="0.3">
      <c r="A63" s="29"/>
      <c r="B63" s="14" t="str">
        <f>CONCATENATE("     ","Professional Services                             ")</f>
        <v xml:space="preserve">     Professional Services                             </v>
      </c>
      <c r="C63" s="14"/>
      <c r="D63" s="1">
        <f>SUM(OSRRefD22_12x_0)</f>
        <v>10588.85</v>
      </c>
      <c r="E63" s="1"/>
      <c r="F63" s="5">
        <f t="shared" si="24"/>
        <v>0</v>
      </c>
      <c r="G63" s="1"/>
      <c r="H63" s="1">
        <f>SUM(OSRRefH22_12x_0)</f>
        <v>19666</v>
      </c>
      <c r="I63" s="1"/>
      <c r="J63" s="5">
        <f t="shared" si="25"/>
        <v>0</v>
      </c>
      <c r="K63" s="1"/>
      <c r="L63" s="1">
        <f t="shared" si="26"/>
        <v>-9077.15</v>
      </c>
      <c r="M63" s="1"/>
      <c r="N63" s="5">
        <f t="shared" si="27"/>
        <v>-0.46156564629309466</v>
      </c>
      <c r="O63" s="14"/>
      <c r="P63" s="1">
        <f>SUM(OSRRefP22_12x_0)</f>
        <v>93596.93</v>
      </c>
      <c r="Q63" s="1"/>
      <c r="R63" s="5">
        <f t="shared" si="28"/>
        <v>0</v>
      </c>
      <c r="S63" s="1"/>
      <c r="T63" s="1">
        <f>SUM(OSRRefT22_12x_0)</f>
        <v>120162</v>
      </c>
      <c r="U63" s="1"/>
      <c r="V63" s="5">
        <f t="shared" si="29"/>
        <v>0</v>
      </c>
      <c r="W63" s="1"/>
      <c r="X63" s="1">
        <f t="shared" si="30"/>
        <v>-26565.070000000007</v>
      </c>
      <c r="Y63" s="1"/>
      <c r="Z63" s="5">
        <f t="shared" si="31"/>
        <v>-0.22107712920890138</v>
      </c>
    </row>
    <row r="64" spans="1:26" s="24" customFormat="1" hidden="1" outlineLevel="2" x14ac:dyDescent="0.3">
      <c r="A64" s="27"/>
      <c r="B64" s="11" t="str">
        <f>CONCATENATE("          ", "6331", " - ", "INDIRECT COSTS-AUXILIARY ORGAN")</f>
        <v xml:space="preserve">          6331 - INDIRECT COSTS-AUXILIARY ORGAN</v>
      </c>
      <c r="C64" s="11"/>
      <c r="D64" s="7">
        <v>10337.75</v>
      </c>
      <c r="E64" s="2"/>
      <c r="F64" s="6">
        <f t="shared" si="24"/>
        <v>0</v>
      </c>
      <c r="G64" s="2"/>
      <c r="H64" s="7">
        <v>15000</v>
      </c>
      <c r="I64" s="2"/>
      <c r="J64" s="6">
        <f t="shared" si="25"/>
        <v>0</v>
      </c>
      <c r="K64" s="2"/>
      <c r="L64" s="7">
        <f t="shared" si="26"/>
        <v>-4662.25</v>
      </c>
      <c r="M64" s="2"/>
      <c r="N64" s="6">
        <f t="shared" si="27"/>
        <v>-0.31081666666666669</v>
      </c>
      <c r="O64" s="11"/>
      <c r="P64" s="7">
        <v>79513.25</v>
      </c>
      <c r="Q64" s="2"/>
      <c r="R64" s="6">
        <f t="shared" si="28"/>
        <v>0</v>
      </c>
      <c r="S64" s="2"/>
      <c r="T64" s="7">
        <v>90000</v>
      </c>
      <c r="U64" s="2"/>
      <c r="V64" s="6">
        <f t="shared" si="29"/>
        <v>0</v>
      </c>
      <c r="W64" s="2"/>
      <c r="X64" s="7">
        <f t="shared" si="30"/>
        <v>-10486.75</v>
      </c>
      <c r="Y64" s="2"/>
      <c r="Z64" s="6">
        <f t="shared" si="31"/>
        <v>-0.11651944444444444</v>
      </c>
    </row>
    <row r="65" spans="1:26" s="24" customFormat="1" hidden="1" outlineLevel="2" x14ac:dyDescent="0.3">
      <c r="A65" s="27"/>
      <c r="B65" s="11" t="str">
        <f>CONCATENATE("          ", "6332", " - ", "CONSULTANT FEES")</f>
        <v xml:space="preserve">          6332 - CONSULTANT FEES</v>
      </c>
      <c r="C65" s="11"/>
      <c r="D65" s="7"/>
      <c r="E65" s="2"/>
      <c r="F65" s="6">
        <f t="shared" si="24"/>
        <v>0</v>
      </c>
      <c r="G65" s="2"/>
      <c r="H65" s="7">
        <v>3000</v>
      </c>
      <c r="I65" s="2"/>
      <c r="J65" s="6">
        <f t="shared" si="25"/>
        <v>0</v>
      </c>
      <c r="K65" s="2"/>
      <c r="L65" s="7">
        <f t="shared" si="26"/>
        <v>-3000</v>
      </c>
      <c r="M65" s="2"/>
      <c r="N65" s="6">
        <f t="shared" si="27"/>
        <v>-1</v>
      </c>
      <c r="O65" s="11"/>
      <c r="P65" s="7"/>
      <c r="Q65" s="2"/>
      <c r="R65" s="6">
        <f t="shared" si="28"/>
        <v>0</v>
      </c>
      <c r="S65" s="2"/>
      <c r="T65" s="7">
        <v>11000</v>
      </c>
      <c r="U65" s="2"/>
      <c r="V65" s="6">
        <f t="shared" si="29"/>
        <v>0</v>
      </c>
      <c r="W65" s="2"/>
      <c r="X65" s="7">
        <f t="shared" si="30"/>
        <v>-11000</v>
      </c>
      <c r="Y65" s="2"/>
      <c r="Z65" s="6">
        <f t="shared" si="31"/>
        <v>-1</v>
      </c>
    </row>
    <row r="66" spans="1:26" s="24" customFormat="1" hidden="1" outlineLevel="2" x14ac:dyDescent="0.3">
      <c r="A66" s="27"/>
      <c r="B66" s="11" t="str">
        <f>CONCATENATE("          ", "6334", " - ", "LEGAL COUNCIL EXPENSE")</f>
        <v xml:space="preserve">          6334 - LEGAL COUNCIL EXPENSE</v>
      </c>
      <c r="C66" s="11"/>
      <c r="D66" s="7"/>
      <c r="E66" s="2"/>
      <c r="F66" s="6">
        <f t="shared" si="24"/>
        <v>0</v>
      </c>
      <c r="G66" s="2"/>
      <c r="H66" s="7">
        <v>833</v>
      </c>
      <c r="I66" s="2"/>
      <c r="J66" s="6">
        <f t="shared" si="25"/>
        <v>0</v>
      </c>
      <c r="K66" s="2"/>
      <c r="L66" s="7">
        <f t="shared" si="26"/>
        <v>-833</v>
      </c>
      <c r="M66" s="2"/>
      <c r="N66" s="6">
        <f t="shared" si="27"/>
        <v>-1</v>
      </c>
      <c r="O66" s="11"/>
      <c r="P66" s="7">
        <v>3455</v>
      </c>
      <c r="Q66" s="2"/>
      <c r="R66" s="6">
        <f t="shared" si="28"/>
        <v>0</v>
      </c>
      <c r="S66" s="2"/>
      <c r="T66" s="7">
        <v>8331</v>
      </c>
      <c r="U66" s="2"/>
      <c r="V66" s="6">
        <f t="shared" si="29"/>
        <v>0</v>
      </c>
      <c r="W66" s="2"/>
      <c r="X66" s="7">
        <f t="shared" si="30"/>
        <v>-4876</v>
      </c>
      <c r="Y66" s="2"/>
      <c r="Z66" s="6">
        <f t="shared" si="31"/>
        <v>-0.58528387948625615</v>
      </c>
    </row>
    <row r="67" spans="1:26" s="24" customFormat="1" hidden="1" outlineLevel="2" x14ac:dyDescent="0.3">
      <c r="A67" s="27"/>
      <c r="B67" s="11" t="str">
        <f>CONCATENATE("          ", "6336", " - ", "PROFESSIONAL SERVICES")</f>
        <v xml:space="preserve">          6336 - PROFESSIONAL SERVICES</v>
      </c>
      <c r="C67" s="11"/>
      <c r="D67" s="7">
        <v>251.1</v>
      </c>
      <c r="E67" s="2"/>
      <c r="F67" s="6">
        <f t="shared" si="24"/>
        <v>0</v>
      </c>
      <c r="G67" s="2"/>
      <c r="H67" s="7">
        <v>833</v>
      </c>
      <c r="I67" s="2"/>
      <c r="J67" s="6">
        <f t="shared" si="25"/>
        <v>0</v>
      </c>
      <c r="K67" s="2"/>
      <c r="L67" s="7">
        <f t="shared" si="26"/>
        <v>-581.9</v>
      </c>
      <c r="M67" s="2"/>
      <c r="N67" s="6">
        <f t="shared" si="27"/>
        <v>-0.69855942376950775</v>
      </c>
      <c r="O67" s="11"/>
      <c r="P67" s="7">
        <v>10628.68</v>
      </c>
      <c r="Q67" s="2"/>
      <c r="R67" s="6">
        <f t="shared" si="28"/>
        <v>0</v>
      </c>
      <c r="S67" s="2"/>
      <c r="T67" s="7">
        <v>10831</v>
      </c>
      <c r="U67" s="2"/>
      <c r="V67" s="6">
        <f t="shared" si="29"/>
        <v>0</v>
      </c>
      <c r="W67" s="2"/>
      <c r="X67" s="7">
        <f t="shared" si="30"/>
        <v>-202.31999999999971</v>
      </c>
      <c r="Y67" s="2"/>
      <c r="Z67" s="6">
        <f t="shared" si="31"/>
        <v>-1.8679715631058972E-2</v>
      </c>
    </row>
    <row r="68" spans="1:26" s="28" customFormat="1" outlineLevel="1" collapsed="1" x14ac:dyDescent="0.3">
      <c r="A68" s="29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SUM(OSRRefD22_13x_0)</f>
        <v>28125.14</v>
      </c>
      <c r="E68" s="1"/>
      <c r="F68" s="5">
        <f t="shared" ref="F68:F72" si="32">IF(D$12=0,0,D68/D$12)</f>
        <v>0</v>
      </c>
      <c r="G68" s="1"/>
      <c r="H68" s="1">
        <f>SUM(OSRRefH22_13x_0)</f>
        <v>26807</v>
      </c>
      <c r="I68" s="1"/>
      <c r="J68" s="5">
        <f t="shared" ref="J68:J72" si="33">IF(H$12=0,0,H68/H$12)</f>
        <v>0</v>
      </c>
      <c r="K68" s="1"/>
      <c r="L68" s="1">
        <f t="shared" ref="L68:L72" si="34">+D68-H68</f>
        <v>1318.1399999999994</v>
      </c>
      <c r="M68" s="1"/>
      <c r="N68" s="5">
        <f t="shared" ref="N68:N72" si="35">IF(H68=0,0,L68/H68)</f>
        <v>4.91714850598724E-2</v>
      </c>
      <c r="O68" s="14"/>
      <c r="P68" s="1">
        <f>SUM(OSRRefP22_13x_0)</f>
        <v>142005.07999999999</v>
      </c>
      <c r="Q68" s="1"/>
      <c r="R68" s="5">
        <f t="shared" ref="R68:R72" si="36">IF(P$12=0,0,P68/P$12)</f>
        <v>0</v>
      </c>
      <c r="S68" s="1"/>
      <c r="T68" s="1">
        <f>SUM(OSRRefT22_13x_0)</f>
        <v>162249</v>
      </c>
      <c r="U68" s="1"/>
      <c r="V68" s="5">
        <f t="shared" ref="V68:V72" si="37">IF(T$12=0,0,T68/T$12)</f>
        <v>0</v>
      </c>
      <c r="W68" s="1"/>
      <c r="X68" s="1">
        <f t="shared" ref="X68:X72" si="38">+P68-T68</f>
        <v>-20243.920000000013</v>
      </c>
      <c r="Y68" s="1"/>
      <c r="Z68" s="5">
        <f t="shared" ref="Z68:Z72" si="39">IF(T68=0,0,X68/T68)</f>
        <v>-0.12477069196112156</v>
      </c>
    </row>
    <row r="69" spans="1:26" s="24" customFormat="1" hidden="1" outlineLevel="2" x14ac:dyDescent="0.3">
      <c r="A69" s="27"/>
      <c r="B69" s="11" t="str">
        <f>CONCATENATE("          ", "6371", " - ", "COMPUTER SOFTWARE MAINTENANCE")</f>
        <v xml:space="preserve">          6371 - COMPUTER SOFTWARE MAINTENANCE</v>
      </c>
      <c r="C69" s="11"/>
      <c r="D69" s="7">
        <v>7179.51</v>
      </c>
      <c r="E69" s="2"/>
      <c r="F69" s="6">
        <f t="shared" si="32"/>
        <v>0</v>
      </c>
      <c r="G69" s="2"/>
      <c r="H69" s="7">
        <v>9600</v>
      </c>
      <c r="I69" s="2"/>
      <c r="J69" s="6">
        <f t="shared" si="33"/>
        <v>0</v>
      </c>
      <c r="K69" s="2"/>
      <c r="L69" s="7">
        <f t="shared" si="34"/>
        <v>-2420.4899999999998</v>
      </c>
      <c r="M69" s="2"/>
      <c r="N69" s="6">
        <f t="shared" si="35"/>
        <v>-0.25213437499999997</v>
      </c>
      <c r="O69" s="11"/>
      <c r="P69" s="7">
        <v>43581.84</v>
      </c>
      <c r="Q69" s="2"/>
      <c r="R69" s="6">
        <f t="shared" si="36"/>
        <v>0</v>
      </c>
      <c r="S69" s="2"/>
      <c r="T69" s="7">
        <v>67200</v>
      </c>
      <c r="U69" s="2"/>
      <c r="V69" s="6">
        <f t="shared" si="37"/>
        <v>0</v>
      </c>
      <c r="W69" s="2"/>
      <c r="X69" s="7">
        <f t="shared" si="38"/>
        <v>-23618.160000000003</v>
      </c>
      <c r="Y69" s="2"/>
      <c r="Z69" s="6">
        <f t="shared" si="39"/>
        <v>-0.35146071428571435</v>
      </c>
    </row>
    <row r="70" spans="1:26" s="24" customFormat="1" hidden="1" outlineLevel="2" x14ac:dyDescent="0.3">
      <c r="A70" s="27"/>
      <c r="B70" s="11" t="str">
        <f>CONCATENATE("          ", "6372", " - ", "COMPUTER HARDWARE MAINTENANCE")</f>
        <v xml:space="preserve">          6372 - COMPUTER HARDWARE MAINTENANCE</v>
      </c>
      <c r="C70" s="11"/>
      <c r="D70" s="7"/>
      <c r="E70" s="2"/>
      <c r="F70" s="6">
        <f t="shared" si="32"/>
        <v>0</v>
      </c>
      <c r="G70" s="2"/>
      <c r="H70" s="7">
        <v>0</v>
      </c>
      <c r="I70" s="2"/>
      <c r="J70" s="6">
        <f t="shared" si="33"/>
        <v>0</v>
      </c>
      <c r="K70" s="2"/>
      <c r="L70" s="7">
        <f t="shared" si="34"/>
        <v>0</v>
      </c>
      <c r="M70" s="2"/>
      <c r="N70" s="6">
        <f t="shared" si="35"/>
        <v>0</v>
      </c>
      <c r="O70" s="11"/>
      <c r="P70" s="7">
        <v>4760.47</v>
      </c>
      <c r="Q70" s="2"/>
      <c r="R70" s="6">
        <f t="shared" si="36"/>
        <v>0</v>
      </c>
      <c r="S70" s="2"/>
      <c r="T70" s="7">
        <v>3000</v>
      </c>
      <c r="U70" s="2"/>
      <c r="V70" s="6">
        <f t="shared" si="37"/>
        <v>0</v>
      </c>
      <c r="W70" s="2"/>
      <c r="X70" s="7">
        <f t="shared" si="38"/>
        <v>1760.4700000000003</v>
      </c>
      <c r="Y70" s="2"/>
      <c r="Z70" s="6">
        <f t="shared" si="39"/>
        <v>0.58682333333333336</v>
      </c>
    </row>
    <row r="71" spans="1:26" s="24" customFormat="1" hidden="1" outlineLevel="2" x14ac:dyDescent="0.3">
      <c r="A71" s="27"/>
      <c r="B71" s="11" t="str">
        <f>CONCATENATE("          ", "6373", " - ", "MAINTENANCE CONTRACTS")</f>
        <v xml:space="preserve">          6373 - MAINTENANCE CONTRACTS</v>
      </c>
      <c r="C71" s="11"/>
      <c r="D71" s="7">
        <v>20945.63</v>
      </c>
      <c r="E71" s="2"/>
      <c r="F71" s="6">
        <f t="shared" si="32"/>
        <v>0</v>
      </c>
      <c r="G71" s="2"/>
      <c r="H71" s="7">
        <v>17057</v>
      </c>
      <c r="I71" s="2"/>
      <c r="J71" s="6">
        <f t="shared" si="33"/>
        <v>0</v>
      </c>
      <c r="K71" s="2"/>
      <c r="L71" s="7">
        <f t="shared" si="34"/>
        <v>3888.630000000001</v>
      </c>
      <c r="M71" s="2"/>
      <c r="N71" s="6">
        <f t="shared" si="35"/>
        <v>0.22797854253385713</v>
      </c>
      <c r="O71" s="11"/>
      <c r="P71" s="7">
        <v>91823.5</v>
      </c>
      <c r="Q71" s="2"/>
      <c r="R71" s="6">
        <f t="shared" si="36"/>
        <v>0</v>
      </c>
      <c r="S71" s="2"/>
      <c r="T71" s="7">
        <v>90999</v>
      </c>
      <c r="U71" s="2"/>
      <c r="V71" s="6">
        <f t="shared" si="37"/>
        <v>0</v>
      </c>
      <c r="W71" s="2"/>
      <c r="X71" s="7">
        <f t="shared" si="38"/>
        <v>824.5</v>
      </c>
      <c r="Y71" s="2"/>
      <c r="Z71" s="6">
        <f t="shared" si="39"/>
        <v>9.0605391268035913E-3</v>
      </c>
    </row>
    <row r="72" spans="1:26" s="24" customFormat="1" hidden="1" outlineLevel="2" x14ac:dyDescent="0.3">
      <c r="A72" s="27"/>
      <c r="B72" s="11" t="str">
        <f>CONCATENATE("          ", "6375", " - ", "OUTSIDE REPAIRS &amp; MAINTENANCE")</f>
        <v xml:space="preserve">          6375 - OUTSIDE REPAIRS &amp; MAINTENANCE</v>
      </c>
      <c r="C72" s="11"/>
      <c r="D72" s="7"/>
      <c r="E72" s="2"/>
      <c r="F72" s="6">
        <f t="shared" si="32"/>
        <v>0</v>
      </c>
      <c r="G72" s="2"/>
      <c r="H72" s="7">
        <v>150</v>
      </c>
      <c r="I72" s="2"/>
      <c r="J72" s="6">
        <f t="shared" si="33"/>
        <v>0</v>
      </c>
      <c r="K72" s="2"/>
      <c r="L72" s="7">
        <f t="shared" si="34"/>
        <v>-150</v>
      </c>
      <c r="M72" s="2"/>
      <c r="N72" s="6">
        <f t="shared" si="35"/>
        <v>-1</v>
      </c>
      <c r="O72" s="11"/>
      <c r="P72" s="7">
        <v>1839.27</v>
      </c>
      <c r="Q72" s="2"/>
      <c r="R72" s="6">
        <f t="shared" si="36"/>
        <v>0</v>
      </c>
      <c r="S72" s="2"/>
      <c r="T72" s="7">
        <v>1050</v>
      </c>
      <c r="U72" s="2"/>
      <c r="V72" s="6">
        <f t="shared" si="37"/>
        <v>0</v>
      </c>
      <c r="W72" s="2"/>
      <c r="X72" s="7">
        <f t="shared" si="38"/>
        <v>789.27</v>
      </c>
      <c r="Y72" s="2"/>
      <c r="Z72" s="6">
        <f t="shared" si="39"/>
        <v>0.75168571428571429</v>
      </c>
    </row>
    <row r="73" spans="1:26" s="28" customFormat="1" outlineLevel="1" collapsed="1" x14ac:dyDescent="0.3">
      <c r="A73" s="29"/>
      <c r="B73" s="14" t="str">
        <f>CONCATENATE("     ","Services                                          ")</f>
        <v xml:space="preserve">     Services                                          </v>
      </c>
      <c r="C73" s="14"/>
      <c r="D73" s="1">
        <f>SUM(OSRRefD22_14x_0)</f>
        <v>1208.05</v>
      </c>
      <c r="E73" s="1"/>
      <c r="F73" s="5">
        <f t="shared" ref="F73:F75" si="40">IF(D$12=0,0,D73/D$12)</f>
        <v>0</v>
      </c>
      <c r="G73" s="1"/>
      <c r="H73" s="1">
        <f>SUM(OSRRefH22_14x_0)</f>
        <v>650</v>
      </c>
      <c r="I73" s="1"/>
      <c r="J73" s="5">
        <f t="shared" ref="J73:J75" si="41">IF(H$12=0,0,H73/H$12)</f>
        <v>0</v>
      </c>
      <c r="K73" s="1"/>
      <c r="L73" s="1">
        <f t="shared" ref="L73:L75" si="42">+D73-H73</f>
        <v>558.04999999999995</v>
      </c>
      <c r="M73" s="1"/>
      <c r="N73" s="5">
        <f t="shared" ref="N73:N75" si="43">IF(H73=0,0,L73/H73)</f>
        <v>0.85853846153846147</v>
      </c>
      <c r="O73" s="14"/>
      <c r="P73" s="1">
        <f>SUM(OSRRefP22_14x_0)</f>
        <v>5205.46</v>
      </c>
      <c r="Q73" s="1"/>
      <c r="R73" s="5">
        <f t="shared" ref="R73:R75" si="44">IF(P$12=0,0,P73/P$12)</f>
        <v>0</v>
      </c>
      <c r="S73" s="1"/>
      <c r="T73" s="1">
        <f>SUM(OSRRefT22_14x_0)</f>
        <v>4550</v>
      </c>
      <c r="U73" s="1"/>
      <c r="V73" s="5">
        <f t="shared" ref="V73:V75" si="45">IF(T$12=0,0,T73/T$12)</f>
        <v>0</v>
      </c>
      <c r="W73" s="1"/>
      <c r="X73" s="1">
        <f t="shared" ref="X73:X75" si="46">+P73-T73</f>
        <v>655.46</v>
      </c>
      <c r="Y73" s="1"/>
      <c r="Z73" s="5">
        <f t="shared" ref="Z73:Z75" si="47">IF(T73=0,0,X73/T73)</f>
        <v>0.14405714285714286</v>
      </c>
    </row>
    <row r="74" spans="1:26" s="24" customFormat="1" hidden="1" outlineLevel="2" x14ac:dyDescent="0.3">
      <c r="A74" s="27"/>
      <c r="B74" s="11" t="str">
        <f>CONCATENATE("          ", "6281", " - ", "STORAGE FEE")</f>
        <v xml:space="preserve">          6281 - STORAGE FEE</v>
      </c>
      <c r="C74" s="11"/>
      <c r="D74" s="7">
        <v>1208.05</v>
      </c>
      <c r="E74" s="2"/>
      <c r="F74" s="6">
        <f t="shared" si="40"/>
        <v>0</v>
      </c>
      <c r="G74" s="2"/>
      <c r="H74" s="7">
        <v>625</v>
      </c>
      <c r="I74" s="2"/>
      <c r="J74" s="6">
        <f t="shared" si="41"/>
        <v>0</v>
      </c>
      <c r="K74" s="2"/>
      <c r="L74" s="7">
        <f t="shared" si="42"/>
        <v>583.04999999999995</v>
      </c>
      <c r="M74" s="2"/>
      <c r="N74" s="6">
        <f t="shared" si="43"/>
        <v>0.93287999999999993</v>
      </c>
      <c r="O74" s="11"/>
      <c r="P74" s="7">
        <v>5205.46</v>
      </c>
      <c r="Q74" s="2"/>
      <c r="R74" s="6">
        <f t="shared" si="44"/>
        <v>0</v>
      </c>
      <c r="S74" s="2"/>
      <c r="T74" s="7">
        <v>4375</v>
      </c>
      <c r="U74" s="2"/>
      <c r="V74" s="6">
        <f t="shared" si="45"/>
        <v>0</v>
      </c>
      <c r="W74" s="2"/>
      <c r="X74" s="7">
        <f t="shared" si="46"/>
        <v>830.46</v>
      </c>
      <c r="Y74" s="2"/>
      <c r="Z74" s="6">
        <f t="shared" si="47"/>
        <v>0.18981942857142858</v>
      </c>
    </row>
    <row r="75" spans="1:26" s="24" customFormat="1" hidden="1" outlineLevel="2" x14ac:dyDescent="0.3">
      <c r="A75" s="27"/>
      <c r="B75" s="11" t="str">
        <f>CONCATENATE("          ", "6286", " - ", "LAUNDRY EXPENSE")</f>
        <v xml:space="preserve">          6286 - LAUNDRY EXPENSE</v>
      </c>
      <c r="C75" s="11"/>
      <c r="D75" s="7"/>
      <c r="E75" s="2"/>
      <c r="F75" s="6">
        <f t="shared" si="40"/>
        <v>0</v>
      </c>
      <c r="G75" s="2"/>
      <c r="H75" s="7">
        <v>25</v>
      </c>
      <c r="I75" s="2"/>
      <c r="J75" s="6">
        <f t="shared" si="41"/>
        <v>0</v>
      </c>
      <c r="K75" s="2"/>
      <c r="L75" s="7">
        <f t="shared" si="42"/>
        <v>-25</v>
      </c>
      <c r="M75" s="2"/>
      <c r="N75" s="6">
        <f t="shared" si="43"/>
        <v>-1</v>
      </c>
      <c r="O75" s="11"/>
      <c r="P75" s="7"/>
      <c r="Q75" s="2"/>
      <c r="R75" s="6">
        <f t="shared" si="44"/>
        <v>0</v>
      </c>
      <c r="S75" s="2"/>
      <c r="T75" s="7">
        <v>175</v>
      </c>
      <c r="U75" s="2"/>
      <c r="V75" s="6">
        <f t="shared" si="45"/>
        <v>0</v>
      </c>
      <c r="W75" s="2"/>
      <c r="X75" s="7">
        <f t="shared" si="46"/>
        <v>-175</v>
      </c>
      <c r="Y75" s="2"/>
      <c r="Z75" s="6">
        <f t="shared" si="47"/>
        <v>-1</v>
      </c>
    </row>
    <row r="76" spans="1:26" s="28" customFormat="1" outlineLevel="1" collapsed="1" x14ac:dyDescent="0.3">
      <c r="A76" s="29"/>
      <c r="B76" s="14" t="str">
        <f>CONCATENATE("     ","Subscriptions &amp; Dues                              ")</f>
        <v xml:space="preserve">     Subscriptions &amp; Dues                              </v>
      </c>
      <c r="C76" s="14"/>
      <c r="D76" s="1">
        <f>SUM(OSRRefD22_15x_0)</f>
        <v>0</v>
      </c>
      <c r="E76" s="1"/>
      <c r="F76" s="5">
        <f t="shared" ref="F76:F78" si="48">IF(D$12=0,0,D76/D$12)</f>
        <v>0</v>
      </c>
      <c r="G76" s="1"/>
      <c r="H76" s="1">
        <f>SUM(OSRRefH22_15x_0)</f>
        <v>250</v>
      </c>
      <c r="I76" s="1"/>
      <c r="J76" s="5">
        <f t="shared" ref="J76:J78" si="49">IF(H$12=0,0,H76/H$12)</f>
        <v>0</v>
      </c>
      <c r="K76" s="1"/>
      <c r="L76" s="1">
        <f t="shared" ref="L76:L78" si="50">+D76-H76</f>
        <v>-250</v>
      </c>
      <c r="M76" s="1"/>
      <c r="N76" s="5">
        <f t="shared" ref="N76:N78" si="51">IF(H76=0,0,L76/H76)</f>
        <v>-1</v>
      </c>
      <c r="O76" s="14"/>
      <c r="P76" s="1">
        <f>SUM(OSRRefP22_15x_0)</f>
        <v>2452</v>
      </c>
      <c r="Q76" s="1"/>
      <c r="R76" s="5">
        <f t="shared" ref="R76:R78" si="52">IF(P$12=0,0,P76/P$12)</f>
        <v>0</v>
      </c>
      <c r="S76" s="1"/>
      <c r="T76" s="1">
        <f>SUM(OSRRefT22_15x_0)</f>
        <v>3825</v>
      </c>
      <c r="U76" s="1"/>
      <c r="V76" s="5">
        <f t="shared" ref="V76:V78" si="53">IF(T$12=0,0,T76/T$12)</f>
        <v>0</v>
      </c>
      <c r="W76" s="1"/>
      <c r="X76" s="1">
        <f t="shared" ref="X76:X78" si="54">+P76-T76</f>
        <v>-1373</v>
      </c>
      <c r="Y76" s="1"/>
      <c r="Z76" s="5">
        <f t="shared" ref="Z76:Z78" si="55">IF(T76=0,0,X76/T76)</f>
        <v>-0.35895424836601308</v>
      </c>
    </row>
    <row r="77" spans="1:26" s="24" customFormat="1" hidden="1" outlineLevel="2" x14ac:dyDescent="0.3">
      <c r="A77" s="27"/>
      <c r="B77" s="11" t="str">
        <f>CONCATENATE("          ", "6258", " - ", "MEMBERSHIP DUES")</f>
        <v xml:space="preserve">          6258 - MEMBERSHIP DUES</v>
      </c>
      <c r="C77" s="11"/>
      <c r="D77" s="7"/>
      <c r="E77" s="2"/>
      <c r="F77" s="6">
        <f t="shared" si="48"/>
        <v>0</v>
      </c>
      <c r="G77" s="2"/>
      <c r="H77" s="7">
        <v>250</v>
      </c>
      <c r="I77" s="2"/>
      <c r="J77" s="6">
        <f t="shared" si="49"/>
        <v>0</v>
      </c>
      <c r="K77" s="2"/>
      <c r="L77" s="7">
        <f t="shared" si="50"/>
        <v>-250</v>
      </c>
      <c r="M77" s="2"/>
      <c r="N77" s="6">
        <f t="shared" si="51"/>
        <v>-1</v>
      </c>
      <c r="O77" s="11"/>
      <c r="P77" s="7">
        <v>2452</v>
      </c>
      <c r="Q77" s="2"/>
      <c r="R77" s="6">
        <f t="shared" si="52"/>
        <v>0</v>
      </c>
      <c r="S77" s="2"/>
      <c r="T77" s="7">
        <v>3225</v>
      </c>
      <c r="U77" s="2"/>
      <c r="V77" s="6">
        <f t="shared" si="53"/>
        <v>0</v>
      </c>
      <c r="W77" s="2"/>
      <c r="X77" s="7">
        <f t="shared" si="54"/>
        <v>-773</v>
      </c>
      <c r="Y77" s="2"/>
      <c r="Z77" s="6">
        <f t="shared" si="55"/>
        <v>-0.23968992248062015</v>
      </c>
    </row>
    <row r="78" spans="1:26" s="24" customFormat="1" hidden="1" outlineLevel="2" x14ac:dyDescent="0.3">
      <c r="A78" s="27"/>
      <c r="B78" s="11" t="str">
        <f>CONCATENATE("          ", "6275", " - ", "SUBSCRIPTIONS")</f>
        <v xml:space="preserve">          6275 - SUBSCRIPTIONS</v>
      </c>
      <c r="C78" s="11"/>
      <c r="D78" s="7"/>
      <c r="E78" s="2"/>
      <c r="F78" s="6">
        <f t="shared" si="48"/>
        <v>0</v>
      </c>
      <c r="G78" s="2"/>
      <c r="H78" s="7"/>
      <c r="I78" s="2"/>
      <c r="J78" s="6">
        <f t="shared" si="49"/>
        <v>0</v>
      </c>
      <c r="K78" s="2"/>
      <c r="L78" s="7">
        <f t="shared" si="50"/>
        <v>0</v>
      </c>
      <c r="M78" s="2"/>
      <c r="N78" s="6">
        <f t="shared" si="51"/>
        <v>0</v>
      </c>
      <c r="O78" s="11"/>
      <c r="P78" s="7"/>
      <c r="Q78" s="2"/>
      <c r="R78" s="6">
        <f t="shared" si="52"/>
        <v>0</v>
      </c>
      <c r="S78" s="2"/>
      <c r="T78" s="7">
        <v>600</v>
      </c>
      <c r="U78" s="2"/>
      <c r="V78" s="6">
        <f t="shared" si="53"/>
        <v>0</v>
      </c>
      <c r="W78" s="2"/>
      <c r="X78" s="7">
        <f t="shared" si="54"/>
        <v>-600</v>
      </c>
      <c r="Y78" s="2"/>
      <c r="Z78" s="6">
        <f t="shared" si="55"/>
        <v>-1</v>
      </c>
    </row>
    <row r="79" spans="1:26" s="28" customFormat="1" outlineLevel="1" collapsed="1" x14ac:dyDescent="0.3">
      <c r="A79" s="29"/>
      <c r="B79" s="14" t="str">
        <f>CONCATENATE("     ","Supplies                                          ")</f>
        <v xml:space="preserve">     Supplies                                          </v>
      </c>
      <c r="C79" s="14"/>
      <c r="D79" s="1">
        <f>SUM(OSRRefD22_16x_0)</f>
        <v>3379.99</v>
      </c>
      <c r="E79" s="1"/>
      <c r="F79" s="5">
        <f t="shared" ref="F79:F85" si="56">IF(D$12=0,0,D79/D$12)</f>
        <v>0</v>
      </c>
      <c r="G79" s="1"/>
      <c r="H79" s="1">
        <f>SUM(OSRRefH22_16x_0)</f>
        <v>2784</v>
      </c>
      <c r="I79" s="1"/>
      <c r="J79" s="5">
        <f t="shared" ref="J79:J85" si="57">IF(H$12=0,0,H79/H$12)</f>
        <v>0</v>
      </c>
      <c r="K79" s="1"/>
      <c r="L79" s="1">
        <f t="shared" ref="L79:L85" si="58">+D79-H79</f>
        <v>595.98999999999978</v>
      </c>
      <c r="M79" s="1"/>
      <c r="N79" s="5">
        <f t="shared" ref="N79:N85" si="59">IF(H79=0,0,L79/H79)</f>
        <v>0.21407686781609186</v>
      </c>
      <c r="O79" s="14"/>
      <c r="P79" s="1">
        <f>SUM(OSRRefP22_16x_0)</f>
        <v>14786.449999999999</v>
      </c>
      <c r="Q79" s="1"/>
      <c r="R79" s="5">
        <f t="shared" ref="R79:R85" si="60">IF(P$12=0,0,P79/P$12)</f>
        <v>0</v>
      </c>
      <c r="S79" s="1"/>
      <c r="T79" s="1">
        <f>SUM(OSRRefT22_16x_0)</f>
        <v>24488</v>
      </c>
      <c r="U79" s="1"/>
      <c r="V79" s="5">
        <f t="shared" ref="V79:V85" si="61">IF(T$12=0,0,T79/T$12)</f>
        <v>0</v>
      </c>
      <c r="W79" s="1"/>
      <c r="X79" s="1">
        <f t="shared" ref="X79:X85" si="62">+P79-T79</f>
        <v>-9701.5500000000011</v>
      </c>
      <c r="Y79" s="1"/>
      <c r="Z79" s="5">
        <f t="shared" ref="Z79:Z85" si="63">IF(T79=0,0,X79/T79)</f>
        <v>-0.39617567788304481</v>
      </c>
    </row>
    <row r="80" spans="1:26" s="24" customFormat="1" hidden="1" outlineLevel="2" x14ac:dyDescent="0.3">
      <c r="A80" s="27"/>
      <c r="B80" s="11" t="str">
        <f>CONCATENATE("          ", "6234", " - ", "EXPENDABLE SUPPLIES &amp; EQUIPMEN")</f>
        <v xml:space="preserve">          6234 - EXPENDABLE SUPPLIES &amp; EQUIPMEN</v>
      </c>
      <c r="C80" s="11"/>
      <c r="D80" s="7"/>
      <c r="E80" s="2"/>
      <c r="F80" s="6">
        <f t="shared" si="56"/>
        <v>0</v>
      </c>
      <c r="G80" s="2"/>
      <c r="H80" s="7">
        <v>125</v>
      </c>
      <c r="I80" s="2"/>
      <c r="J80" s="6">
        <f t="shared" si="57"/>
        <v>0</v>
      </c>
      <c r="K80" s="2"/>
      <c r="L80" s="7">
        <f t="shared" si="58"/>
        <v>-125</v>
      </c>
      <c r="M80" s="2"/>
      <c r="N80" s="6">
        <f t="shared" si="59"/>
        <v>-1</v>
      </c>
      <c r="O80" s="11"/>
      <c r="P80" s="7">
        <v>26.1</v>
      </c>
      <c r="Q80" s="2"/>
      <c r="R80" s="6">
        <f t="shared" si="60"/>
        <v>0</v>
      </c>
      <c r="S80" s="2"/>
      <c r="T80" s="7">
        <v>875</v>
      </c>
      <c r="U80" s="2"/>
      <c r="V80" s="6">
        <f t="shared" si="61"/>
        <v>0</v>
      </c>
      <c r="W80" s="2"/>
      <c r="X80" s="7">
        <f t="shared" si="62"/>
        <v>-848.9</v>
      </c>
      <c r="Y80" s="2"/>
      <c r="Z80" s="6">
        <f t="shared" si="63"/>
        <v>-0.97017142857142857</v>
      </c>
    </row>
    <row r="81" spans="1:26" s="24" customFormat="1" hidden="1" outlineLevel="2" x14ac:dyDescent="0.3">
      <c r="A81" s="27"/>
      <c r="B81" s="11" t="str">
        <f>CONCATENATE("          ", "6235", " - ", "COVID-19 EXPENSES")</f>
        <v xml:space="preserve">          6235 - COVID-19 EXPENSES</v>
      </c>
      <c r="C81" s="11"/>
      <c r="D81" s="7"/>
      <c r="E81" s="2"/>
      <c r="F81" s="6">
        <f t="shared" si="56"/>
        <v>0</v>
      </c>
      <c r="G81" s="2"/>
      <c r="H81" s="7"/>
      <c r="I81" s="2"/>
      <c r="J81" s="6">
        <f t="shared" si="57"/>
        <v>0</v>
      </c>
      <c r="K81" s="2"/>
      <c r="L81" s="7">
        <f t="shared" si="58"/>
        <v>0</v>
      </c>
      <c r="M81" s="2"/>
      <c r="N81" s="6">
        <f t="shared" si="59"/>
        <v>0</v>
      </c>
      <c r="O81" s="11"/>
      <c r="P81" s="7">
        <v>2447.77</v>
      </c>
      <c r="Q81" s="2"/>
      <c r="R81" s="6">
        <f t="shared" si="60"/>
        <v>0</v>
      </c>
      <c r="S81" s="2"/>
      <c r="T81" s="7"/>
      <c r="U81" s="2"/>
      <c r="V81" s="6">
        <f t="shared" si="61"/>
        <v>0</v>
      </c>
      <c r="W81" s="2"/>
      <c r="X81" s="7">
        <f t="shared" si="62"/>
        <v>2447.77</v>
      </c>
      <c r="Y81" s="2"/>
      <c r="Z81" s="6">
        <f t="shared" si="63"/>
        <v>0</v>
      </c>
    </row>
    <row r="82" spans="1:26" s="24" customFormat="1" hidden="1" outlineLevel="2" x14ac:dyDescent="0.3">
      <c r="A82" s="27"/>
      <c r="B82" s="11" t="str">
        <f>CONCATENATE("          ", "6241", " - ", "OFFICE EXPENSE")</f>
        <v xml:space="preserve">          6241 - OFFICE EXPENSE</v>
      </c>
      <c r="C82" s="11"/>
      <c r="D82" s="7">
        <v>3379.99</v>
      </c>
      <c r="E82" s="2"/>
      <c r="F82" s="6">
        <f t="shared" si="56"/>
        <v>0</v>
      </c>
      <c r="G82" s="2"/>
      <c r="H82" s="7">
        <v>2242</v>
      </c>
      <c r="I82" s="2"/>
      <c r="J82" s="6">
        <f t="shared" si="57"/>
        <v>0</v>
      </c>
      <c r="K82" s="2"/>
      <c r="L82" s="7">
        <f t="shared" si="58"/>
        <v>1137.9899999999998</v>
      </c>
      <c r="M82" s="2"/>
      <c r="N82" s="6">
        <f t="shared" si="59"/>
        <v>0.50757805530776079</v>
      </c>
      <c r="O82" s="11"/>
      <c r="P82" s="7">
        <v>8927.89</v>
      </c>
      <c r="Q82" s="2"/>
      <c r="R82" s="6">
        <f t="shared" si="60"/>
        <v>0</v>
      </c>
      <c r="S82" s="2"/>
      <c r="T82" s="7">
        <v>15694</v>
      </c>
      <c r="U82" s="2"/>
      <c r="V82" s="6">
        <f t="shared" si="61"/>
        <v>0</v>
      </c>
      <c r="W82" s="2"/>
      <c r="X82" s="7">
        <f t="shared" si="62"/>
        <v>-6766.1100000000006</v>
      </c>
      <c r="Y82" s="2"/>
      <c r="Z82" s="6">
        <f t="shared" si="63"/>
        <v>-0.43112718236268643</v>
      </c>
    </row>
    <row r="83" spans="1:26" s="24" customFormat="1" hidden="1" outlineLevel="2" x14ac:dyDescent="0.3">
      <c r="A83" s="27"/>
      <c r="B83" s="11" t="str">
        <f>CONCATENATE("          ", "6244", " - ", "SAFETY SUPPLY EXPENSE")</f>
        <v xml:space="preserve">          6244 - SAFETY SUPPLY EXPENSE</v>
      </c>
      <c r="C83" s="11"/>
      <c r="D83" s="7"/>
      <c r="E83" s="2"/>
      <c r="F83" s="6">
        <f t="shared" si="56"/>
        <v>0</v>
      </c>
      <c r="G83" s="2"/>
      <c r="H83" s="7">
        <v>417</v>
      </c>
      <c r="I83" s="2"/>
      <c r="J83" s="6">
        <f t="shared" si="57"/>
        <v>0</v>
      </c>
      <c r="K83" s="2"/>
      <c r="L83" s="7">
        <f t="shared" si="58"/>
        <v>-417</v>
      </c>
      <c r="M83" s="2"/>
      <c r="N83" s="6">
        <f t="shared" si="59"/>
        <v>-1</v>
      </c>
      <c r="O83" s="11"/>
      <c r="P83" s="7">
        <v>600</v>
      </c>
      <c r="Q83" s="2"/>
      <c r="R83" s="6">
        <f t="shared" si="60"/>
        <v>0</v>
      </c>
      <c r="S83" s="2"/>
      <c r="T83" s="7">
        <v>2919</v>
      </c>
      <c r="U83" s="2"/>
      <c r="V83" s="6">
        <f t="shared" si="61"/>
        <v>0</v>
      </c>
      <c r="W83" s="2"/>
      <c r="X83" s="7">
        <f t="shared" si="62"/>
        <v>-2319</v>
      </c>
      <c r="Y83" s="2"/>
      <c r="Z83" s="6">
        <f t="shared" si="63"/>
        <v>-0.7944501541623844</v>
      </c>
    </row>
    <row r="84" spans="1:26" s="24" customFormat="1" hidden="1" outlineLevel="2" x14ac:dyDescent="0.3">
      <c r="A84" s="27"/>
      <c r="B84" s="11" t="str">
        <f>CONCATENATE("          ", "6247", " - ", "STORE SUPPLIES")</f>
        <v xml:space="preserve">          6247 - STORE SUPPLIES</v>
      </c>
      <c r="C84" s="11"/>
      <c r="D84" s="7"/>
      <c r="E84" s="2"/>
      <c r="F84" s="6">
        <f t="shared" si="56"/>
        <v>0</v>
      </c>
      <c r="G84" s="2"/>
      <c r="H84" s="7"/>
      <c r="I84" s="2"/>
      <c r="J84" s="6">
        <f t="shared" si="57"/>
        <v>0</v>
      </c>
      <c r="K84" s="2"/>
      <c r="L84" s="7">
        <f t="shared" si="58"/>
        <v>0</v>
      </c>
      <c r="M84" s="2"/>
      <c r="N84" s="6">
        <f t="shared" si="59"/>
        <v>0</v>
      </c>
      <c r="O84" s="11"/>
      <c r="P84" s="7"/>
      <c r="Q84" s="2"/>
      <c r="R84" s="6">
        <f t="shared" si="60"/>
        <v>0</v>
      </c>
      <c r="S84" s="2"/>
      <c r="T84" s="7">
        <v>5000</v>
      </c>
      <c r="U84" s="2"/>
      <c r="V84" s="6">
        <f t="shared" si="61"/>
        <v>0</v>
      </c>
      <c r="W84" s="2"/>
      <c r="X84" s="7">
        <f t="shared" si="62"/>
        <v>-5000</v>
      </c>
      <c r="Y84" s="2"/>
      <c r="Z84" s="6">
        <f t="shared" si="63"/>
        <v>-1</v>
      </c>
    </row>
    <row r="85" spans="1:26" s="24" customFormat="1" hidden="1" outlineLevel="2" x14ac:dyDescent="0.3">
      <c r="A85" s="27"/>
      <c r="B85" s="11" t="str">
        <f>CONCATENATE("          ", "6248", " - ", "UNIFORMS")</f>
        <v xml:space="preserve">          6248 - UNIFORMS</v>
      </c>
      <c r="C85" s="11"/>
      <c r="D85" s="7"/>
      <c r="E85" s="2"/>
      <c r="F85" s="6">
        <f t="shared" si="56"/>
        <v>0</v>
      </c>
      <c r="G85" s="2"/>
      <c r="H85" s="7"/>
      <c r="I85" s="2"/>
      <c r="J85" s="6">
        <f t="shared" si="57"/>
        <v>0</v>
      </c>
      <c r="K85" s="2"/>
      <c r="L85" s="7">
        <f t="shared" si="58"/>
        <v>0</v>
      </c>
      <c r="M85" s="2"/>
      <c r="N85" s="6">
        <f t="shared" si="59"/>
        <v>0</v>
      </c>
      <c r="O85" s="11"/>
      <c r="P85" s="7">
        <v>2784.69</v>
      </c>
      <c r="Q85" s="2"/>
      <c r="R85" s="6">
        <f t="shared" si="60"/>
        <v>0</v>
      </c>
      <c r="S85" s="2"/>
      <c r="T85" s="7"/>
      <c r="U85" s="2"/>
      <c r="V85" s="6">
        <f t="shared" si="61"/>
        <v>0</v>
      </c>
      <c r="W85" s="2"/>
      <c r="X85" s="7">
        <f t="shared" si="62"/>
        <v>2784.69</v>
      </c>
      <c r="Y85" s="2"/>
      <c r="Z85" s="6">
        <f t="shared" si="63"/>
        <v>0</v>
      </c>
    </row>
    <row r="86" spans="1:26" s="28" customFormat="1" outlineLevel="1" collapsed="1" x14ac:dyDescent="0.3">
      <c r="A86" s="29"/>
      <c r="B86" s="14" t="str">
        <f>CONCATENATE("     ","Telephone/Data Lines                              ")</f>
        <v xml:space="preserve">     Telephone/Data Lines                              </v>
      </c>
      <c r="C86" s="14"/>
      <c r="D86" s="1">
        <f>SUM(OSRRefD22_17x_0)</f>
        <v>2406.9699999999998</v>
      </c>
      <c r="E86" s="1"/>
      <c r="F86" s="5">
        <f t="shared" ref="F86:F88" si="64">IF(D$12=0,0,D86/D$12)</f>
        <v>0</v>
      </c>
      <c r="G86" s="1"/>
      <c r="H86" s="1">
        <f>SUM(OSRRefH22_17x_0)</f>
        <v>1805</v>
      </c>
      <c r="I86" s="1"/>
      <c r="J86" s="5">
        <f t="shared" ref="J86:J88" si="65">IF(H$12=0,0,H86/H$12)</f>
        <v>0</v>
      </c>
      <c r="K86" s="1"/>
      <c r="L86" s="1">
        <f t="shared" ref="L86:L88" si="66">+D86-H86</f>
        <v>601.9699999999998</v>
      </c>
      <c r="M86" s="1"/>
      <c r="N86" s="5">
        <f t="shared" ref="N86:N88" si="67">IF(H86=0,0,L86/H86)</f>
        <v>0.33350138504155113</v>
      </c>
      <c r="O86" s="14"/>
      <c r="P86" s="1">
        <f>SUM(OSRRefP22_17x_0)</f>
        <v>16190.810000000001</v>
      </c>
      <c r="Q86" s="1"/>
      <c r="R86" s="5">
        <f t="shared" ref="R86:R88" si="68">IF(P$12=0,0,P86/P$12)</f>
        <v>0</v>
      </c>
      <c r="S86" s="1"/>
      <c r="T86" s="1">
        <f>SUM(OSRRefT22_17x_0)</f>
        <v>12635</v>
      </c>
      <c r="U86" s="1"/>
      <c r="V86" s="5">
        <f t="shared" ref="V86:V88" si="69">IF(T$12=0,0,T86/T$12)</f>
        <v>0</v>
      </c>
      <c r="W86" s="1"/>
      <c r="X86" s="1">
        <f t="shared" ref="X86:X88" si="70">+P86-T86</f>
        <v>3555.8100000000013</v>
      </c>
      <c r="Y86" s="1"/>
      <c r="Z86" s="5">
        <f t="shared" ref="Z86:Z88" si="71">IF(T86=0,0,X86/T86)</f>
        <v>0.28142540561931156</v>
      </c>
    </row>
    <row r="87" spans="1:26" s="24" customFormat="1" hidden="1" outlineLevel="2" x14ac:dyDescent="0.3">
      <c r="A87" s="27"/>
      <c r="B87" s="11" t="str">
        <f>CONCATENATE("          ", "6303", " - ", "DATA PHONE LINES")</f>
        <v xml:space="preserve">          6303 - DATA PHONE LINES</v>
      </c>
      <c r="C87" s="11"/>
      <c r="D87" s="7">
        <v>171.98</v>
      </c>
      <c r="E87" s="2"/>
      <c r="F87" s="6">
        <f t="shared" si="64"/>
        <v>0</v>
      </c>
      <c r="G87" s="2"/>
      <c r="H87" s="7">
        <v>236</v>
      </c>
      <c r="I87" s="2"/>
      <c r="J87" s="6">
        <f t="shared" si="65"/>
        <v>0</v>
      </c>
      <c r="K87" s="2"/>
      <c r="L87" s="7">
        <f t="shared" si="66"/>
        <v>-64.02000000000001</v>
      </c>
      <c r="M87" s="2"/>
      <c r="N87" s="6">
        <f t="shared" si="67"/>
        <v>-0.27127118644067799</v>
      </c>
      <c r="O87" s="11"/>
      <c r="P87" s="7">
        <v>1081.8699999999999</v>
      </c>
      <c r="Q87" s="2"/>
      <c r="R87" s="6">
        <f t="shared" si="68"/>
        <v>0</v>
      </c>
      <c r="S87" s="2"/>
      <c r="T87" s="7">
        <v>1652</v>
      </c>
      <c r="U87" s="2"/>
      <c r="V87" s="6">
        <f t="shared" si="69"/>
        <v>0</v>
      </c>
      <c r="W87" s="2"/>
      <c r="X87" s="7">
        <f t="shared" si="70"/>
        <v>-570.13000000000011</v>
      </c>
      <c r="Y87" s="2"/>
      <c r="Z87" s="6">
        <f t="shared" si="71"/>
        <v>-0.34511501210653761</v>
      </c>
    </row>
    <row r="88" spans="1:26" s="24" customFormat="1" hidden="1" outlineLevel="2" x14ac:dyDescent="0.3">
      <c r="A88" s="27"/>
      <c r="B88" s="11" t="str">
        <f>CONCATENATE("          ", "6309", " - ", "TELEPHONE")</f>
        <v xml:space="preserve">          6309 - TELEPHONE</v>
      </c>
      <c r="C88" s="11"/>
      <c r="D88" s="7">
        <v>2234.9899999999998</v>
      </c>
      <c r="E88" s="2"/>
      <c r="F88" s="6">
        <f t="shared" si="64"/>
        <v>0</v>
      </c>
      <c r="G88" s="2"/>
      <c r="H88" s="7">
        <v>1569</v>
      </c>
      <c r="I88" s="2"/>
      <c r="J88" s="6">
        <f t="shared" si="65"/>
        <v>0</v>
      </c>
      <c r="K88" s="2"/>
      <c r="L88" s="7">
        <f t="shared" si="66"/>
        <v>665.98999999999978</v>
      </c>
      <c r="M88" s="2"/>
      <c r="N88" s="6">
        <f t="shared" si="67"/>
        <v>0.42446781389419996</v>
      </c>
      <c r="O88" s="11"/>
      <c r="P88" s="7">
        <v>15108.94</v>
      </c>
      <c r="Q88" s="2"/>
      <c r="R88" s="6">
        <f t="shared" si="68"/>
        <v>0</v>
      </c>
      <c r="S88" s="2"/>
      <c r="T88" s="7">
        <v>10983</v>
      </c>
      <c r="U88" s="2"/>
      <c r="V88" s="6">
        <f t="shared" si="69"/>
        <v>0</v>
      </c>
      <c r="W88" s="2"/>
      <c r="X88" s="7">
        <f t="shared" si="70"/>
        <v>4125.9400000000005</v>
      </c>
      <c r="Y88" s="2"/>
      <c r="Z88" s="6">
        <f t="shared" si="71"/>
        <v>0.375666029318037</v>
      </c>
    </row>
    <row r="89" spans="1:26" s="28" customFormat="1" outlineLevel="1" collapsed="1" x14ac:dyDescent="0.3">
      <c r="A89" s="29"/>
      <c r="B89" s="14" t="str">
        <f>CONCATENATE("     ","Training                                          ")</f>
        <v xml:space="preserve">     Training                                          </v>
      </c>
      <c r="C89" s="14"/>
      <c r="D89" s="1">
        <f>SUM(OSRRefD22_18x_0)</f>
        <v>0</v>
      </c>
      <c r="E89" s="1"/>
      <c r="F89" s="5">
        <f t="shared" ref="F89:F93" si="72">IF(D$12=0,0,D89/D$12)</f>
        <v>0</v>
      </c>
      <c r="G89" s="1"/>
      <c r="H89" s="1">
        <f>SUM(OSRRefH22_18x_0)</f>
        <v>5633</v>
      </c>
      <c r="I89" s="1"/>
      <c r="J89" s="5">
        <f t="shared" ref="J89:J93" si="73">IF(H$12=0,0,H89/H$12)</f>
        <v>0</v>
      </c>
      <c r="K89" s="1"/>
      <c r="L89" s="1">
        <f t="shared" ref="L89:L93" si="74">+D89-H89</f>
        <v>-5633</v>
      </c>
      <c r="M89" s="1"/>
      <c r="N89" s="5">
        <f t="shared" ref="N89:N93" si="75">IF(H89=0,0,L89/H89)</f>
        <v>-1</v>
      </c>
      <c r="O89" s="14"/>
      <c r="P89" s="1">
        <f>SUM(OSRRefP22_18x_0)</f>
        <v>1764</v>
      </c>
      <c r="Q89" s="1"/>
      <c r="R89" s="5">
        <f t="shared" ref="R89:R93" si="76">IF(P$12=0,0,P89/P$12)</f>
        <v>0</v>
      </c>
      <c r="S89" s="1"/>
      <c r="T89" s="1">
        <f>SUM(OSRRefT22_18x_0)</f>
        <v>8881</v>
      </c>
      <c r="U89" s="1"/>
      <c r="V89" s="5">
        <f t="shared" ref="V89:V93" si="77">IF(T$12=0,0,T89/T$12)</f>
        <v>0</v>
      </c>
      <c r="W89" s="1"/>
      <c r="X89" s="1">
        <f t="shared" ref="X89:X93" si="78">+P89-T89</f>
        <v>-7117</v>
      </c>
      <c r="Y89" s="1"/>
      <c r="Z89" s="5">
        <f t="shared" ref="Z89:Z93" si="79">IF(T89=0,0,X89/T89)</f>
        <v>-0.8013737191757685</v>
      </c>
    </row>
    <row r="90" spans="1:26" s="24" customFormat="1" hidden="1" outlineLevel="2" x14ac:dyDescent="0.3">
      <c r="A90" s="27"/>
      <c r="B90" s="11" t="str">
        <f>CONCATENATE("          ", "6376", " - ", "TRAINING")</f>
        <v xml:space="preserve">          6376 - TRAINING</v>
      </c>
      <c r="C90" s="11"/>
      <c r="D90" s="7"/>
      <c r="E90" s="2"/>
      <c r="F90" s="6">
        <f t="shared" si="72"/>
        <v>0</v>
      </c>
      <c r="G90" s="2"/>
      <c r="H90" s="7">
        <v>5633</v>
      </c>
      <c r="I90" s="2"/>
      <c r="J90" s="6">
        <f t="shared" si="73"/>
        <v>0</v>
      </c>
      <c r="K90" s="2"/>
      <c r="L90" s="7">
        <f t="shared" si="74"/>
        <v>-5633</v>
      </c>
      <c r="M90" s="2"/>
      <c r="N90" s="6">
        <f t="shared" si="75"/>
        <v>-1</v>
      </c>
      <c r="O90" s="11"/>
      <c r="P90" s="7">
        <v>1764</v>
      </c>
      <c r="Q90" s="2"/>
      <c r="R90" s="6">
        <f t="shared" si="76"/>
        <v>0</v>
      </c>
      <c r="S90" s="2"/>
      <c r="T90" s="7">
        <v>8881</v>
      </c>
      <c r="U90" s="2"/>
      <c r="V90" s="6">
        <f t="shared" si="77"/>
        <v>0</v>
      </c>
      <c r="W90" s="2"/>
      <c r="X90" s="7">
        <f t="shared" si="78"/>
        <v>-7117</v>
      </c>
      <c r="Y90" s="2"/>
      <c r="Z90" s="6">
        <f t="shared" si="79"/>
        <v>-0.8013737191757685</v>
      </c>
    </row>
    <row r="91" spans="1:26" s="28" customFormat="1" outlineLevel="1" collapsed="1" x14ac:dyDescent="0.3">
      <c r="A91" s="29"/>
      <c r="B91" s="14" t="str">
        <f>CONCATENATE("     ","Travel                                            ")</f>
        <v xml:space="preserve">     Travel                                            </v>
      </c>
      <c r="C91" s="14"/>
      <c r="D91" s="1">
        <f>SUM(OSRRefD22_19x_0)</f>
        <v>0</v>
      </c>
      <c r="E91" s="1"/>
      <c r="F91" s="5">
        <f t="shared" si="72"/>
        <v>0</v>
      </c>
      <c r="G91" s="1"/>
      <c r="H91" s="1">
        <f>SUM(OSRRefH22_19x_0)</f>
        <v>2000</v>
      </c>
      <c r="I91" s="1"/>
      <c r="J91" s="5">
        <f t="shared" si="73"/>
        <v>0</v>
      </c>
      <c r="K91" s="1"/>
      <c r="L91" s="1">
        <f t="shared" si="74"/>
        <v>-2000</v>
      </c>
      <c r="M91" s="1"/>
      <c r="N91" s="5">
        <f t="shared" si="75"/>
        <v>-1</v>
      </c>
      <c r="O91" s="14"/>
      <c r="P91" s="1">
        <f>SUM(OSRRefP22_19x_0)</f>
        <v>30.4</v>
      </c>
      <c r="Q91" s="1"/>
      <c r="R91" s="5">
        <f t="shared" si="76"/>
        <v>0</v>
      </c>
      <c r="S91" s="1"/>
      <c r="T91" s="1">
        <f>SUM(OSRRefT22_19x_0)</f>
        <v>7720</v>
      </c>
      <c r="U91" s="1"/>
      <c r="V91" s="5">
        <f t="shared" si="77"/>
        <v>0</v>
      </c>
      <c r="W91" s="1"/>
      <c r="X91" s="1">
        <f t="shared" si="78"/>
        <v>-7689.6</v>
      </c>
      <c r="Y91" s="1"/>
      <c r="Z91" s="5">
        <f t="shared" si="79"/>
        <v>-0.99606217616580317</v>
      </c>
    </row>
    <row r="92" spans="1:26" s="24" customFormat="1" hidden="1" outlineLevel="2" x14ac:dyDescent="0.3">
      <c r="A92" s="27"/>
      <c r="B92" s="11" t="str">
        <f>CONCATENATE("          ", "6292", " - ", "TRAVEL/CONFERENCE")</f>
        <v xml:space="preserve">          6292 - TRAVEL/CONFERENCE</v>
      </c>
      <c r="C92" s="11"/>
      <c r="D92" s="7">
        <v>0</v>
      </c>
      <c r="E92" s="2"/>
      <c r="F92" s="6">
        <f t="shared" si="72"/>
        <v>0</v>
      </c>
      <c r="G92" s="2"/>
      <c r="H92" s="7">
        <v>2000</v>
      </c>
      <c r="I92" s="2"/>
      <c r="J92" s="6">
        <f t="shared" si="73"/>
        <v>0</v>
      </c>
      <c r="K92" s="2"/>
      <c r="L92" s="7">
        <f t="shared" si="74"/>
        <v>-2000</v>
      </c>
      <c r="M92" s="2"/>
      <c r="N92" s="6">
        <f t="shared" si="75"/>
        <v>-1</v>
      </c>
      <c r="O92" s="11"/>
      <c r="P92" s="7">
        <v>0</v>
      </c>
      <c r="Q92" s="2"/>
      <c r="R92" s="6">
        <f t="shared" si="76"/>
        <v>0</v>
      </c>
      <c r="S92" s="2"/>
      <c r="T92" s="7">
        <v>6220</v>
      </c>
      <c r="U92" s="2"/>
      <c r="V92" s="6">
        <f t="shared" si="77"/>
        <v>0</v>
      </c>
      <c r="W92" s="2"/>
      <c r="X92" s="7">
        <f t="shared" si="78"/>
        <v>-6220</v>
      </c>
      <c r="Y92" s="2"/>
      <c r="Z92" s="6">
        <f t="shared" si="79"/>
        <v>-1</v>
      </c>
    </row>
    <row r="93" spans="1:26" s="24" customFormat="1" hidden="1" outlineLevel="2" x14ac:dyDescent="0.3">
      <c r="A93" s="27"/>
      <c r="B93" s="11" t="str">
        <f>CONCATENATE("          ", "6294", " - ", "TRAVEL OPERATIONAL")</f>
        <v xml:space="preserve">          6294 - TRAVEL OPERATIONAL</v>
      </c>
      <c r="C93" s="11"/>
      <c r="D93" s="7"/>
      <c r="E93" s="2"/>
      <c r="F93" s="6">
        <f t="shared" si="72"/>
        <v>0</v>
      </c>
      <c r="G93" s="2"/>
      <c r="H93" s="7"/>
      <c r="I93" s="2"/>
      <c r="J93" s="6">
        <f t="shared" si="73"/>
        <v>0</v>
      </c>
      <c r="K93" s="2"/>
      <c r="L93" s="7">
        <f t="shared" si="74"/>
        <v>0</v>
      </c>
      <c r="M93" s="2"/>
      <c r="N93" s="6">
        <f t="shared" si="75"/>
        <v>0</v>
      </c>
      <c r="O93" s="11"/>
      <c r="P93" s="7">
        <v>30.4</v>
      </c>
      <c r="Q93" s="2"/>
      <c r="R93" s="6">
        <f t="shared" si="76"/>
        <v>0</v>
      </c>
      <c r="S93" s="2"/>
      <c r="T93" s="7">
        <v>1500</v>
      </c>
      <c r="U93" s="2"/>
      <c r="V93" s="6">
        <f t="shared" si="77"/>
        <v>0</v>
      </c>
      <c r="W93" s="2"/>
      <c r="X93" s="7">
        <f t="shared" si="78"/>
        <v>-1469.6</v>
      </c>
      <c r="Y93" s="2"/>
      <c r="Z93" s="6">
        <f t="shared" si="79"/>
        <v>-0.97973333333333323</v>
      </c>
    </row>
    <row r="94" spans="1:26" s="55" customFormat="1" x14ac:dyDescent="0.3">
      <c r="A94" s="36"/>
      <c r="B94" s="36"/>
      <c r="C94" s="36"/>
      <c r="D94" s="1"/>
      <c r="E94" s="1"/>
      <c r="F94" s="5"/>
      <c r="G94" s="1"/>
      <c r="H94" s="1"/>
      <c r="I94" s="1"/>
      <c r="J94" s="5"/>
      <c r="K94" s="1"/>
      <c r="L94" s="1"/>
      <c r="M94" s="1"/>
      <c r="N94" s="5"/>
      <c r="O94" s="36"/>
      <c r="P94" s="1"/>
      <c r="Q94" s="1"/>
      <c r="R94" s="5"/>
      <c r="S94" s="1"/>
      <c r="T94" s="1"/>
      <c r="U94" s="1"/>
      <c r="V94" s="5"/>
      <c r="W94" s="1"/>
      <c r="X94" s="1"/>
      <c r="Y94" s="1"/>
      <c r="Z94" s="5"/>
    </row>
    <row r="95" spans="1:26" s="23" customFormat="1" x14ac:dyDescent="0.3">
      <c r="A95" s="10"/>
      <c r="B95" s="25" t="s">
        <v>293</v>
      </c>
      <c r="C95" s="10"/>
      <c r="D95" s="4">
        <f>SUM(0)</f>
        <v>0</v>
      </c>
      <c r="E95" s="4"/>
      <c r="F95" s="12">
        <f>IF(D$12=0,0,D95/D$12)</f>
        <v>0</v>
      </c>
      <c r="G95" s="4"/>
      <c r="H95" s="4">
        <f>SUM(0)</f>
        <v>0</v>
      </c>
      <c r="I95" s="4"/>
      <c r="J95" s="12">
        <f>IF(H$12=0,0,H95/H$12)</f>
        <v>0</v>
      </c>
      <c r="K95" s="4"/>
      <c r="L95" s="4">
        <f>+D95-H95</f>
        <v>0</v>
      </c>
      <c r="M95" s="4"/>
      <c r="N95" s="12">
        <f>IF(H95=0,0,L95/H95)</f>
        <v>0</v>
      </c>
      <c r="O95" s="10"/>
      <c r="P95" s="4">
        <f>SUM(0)</f>
        <v>0</v>
      </c>
      <c r="Q95" s="4"/>
      <c r="R95" s="12">
        <f>IF(P$12=0,0,P95/P$12)</f>
        <v>0</v>
      </c>
      <c r="S95" s="4"/>
      <c r="T95" s="4">
        <f>SUM(0)</f>
        <v>0</v>
      </c>
      <c r="U95" s="4"/>
      <c r="V95" s="12">
        <f>IF(T$12=0,0,T95/T$12)</f>
        <v>0</v>
      </c>
      <c r="W95" s="4"/>
      <c r="X95" s="4">
        <f>+P95-T95</f>
        <v>0</v>
      </c>
      <c r="Y95" s="4"/>
      <c r="Z95" s="12">
        <f>IF(T95=0,0,X95/T95)</f>
        <v>0</v>
      </c>
    </row>
    <row r="96" spans="1:26" x14ac:dyDescent="0.3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3">
      <c r="A97" s="10"/>
      <c r="B97" s="26" t="s">
        <v>277</v>
      </c>
      <c r="C97" s="26"/>
      <c r="D97" s="21">
        <f>+D16-D18+D95</f>
        <v>-346287.75</v>
      </c>
      <c r="E97" s="13"/>
      <c r="F97" s="22">
        <f>IF(D$12=0,0,D97/D$12)</f>
        <v>0</v>
      </c>
      <c r="G97" s="13"/>
      <c r="H97" s="21">
        <f>+H16-H18+H95</f>
        <v>-308227.51587287697</v>
      </c>
      <c r="I97" s="13"/>
      <c r="J97" s="22">
        <f>IF(H$12=0,0,H97/H$12)</f>
        <v>0</v>
      </c>
      <c r="K97" s="15"/>
      <c r="L97" s="21">
        <f>+D97-H97</f>
        <v>-38060.234127123025</v>
      </c>
      <c r="M97" s="15"/>
      <c r="N97" s="22">
        <f>IF(H97=0,0,L97/H97)</f>
        <v>0.12348097482257327</v>
      </c>
      <c r="O97" s="25"/>
      <c r="P97" s="21">
        <f>+P16-P18+P95</f>
        <v>-1715577.0499999998</v>
      </c>
      <c r="Q97" s="13"/>
      <c r="R97" s="22">
        <f>IF(P$12=0,0,P97/P$12)</f>
        <v>0</v>
      </c>
      <c r="S97" s="13"/>
      <c r="T97" s="21">
        <f>+T16-T18+T95</f>
        <v>-1855004.8847487594</v>
      </c>
      <c r="U97" s="13"/>
      <c r="V97" s="22">
        <f>IF(T$12=0,0,T97/T$12)</f>
        <v>0</v>
      </c>
      <c r="W97" s="15"/>
      <c r="X97" s="21">
        <f>+P97-T97</f>
        <v>139427.83474875963</v>
      </c>
      <c r="Y97" s="15"/>
      <c r="Z97" s="22">
        <f>IF(T97=0,0,X97/T97)</f>
        <v>-7.5163055307880575E-2</v>
      </c>
    </row>
    <row r="98" spans="1:26" x14ac:dyDescent="0.3">
      <c r="A98" s="9"/>
      <c r="B98" s="10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3">
      <c r="A99" s="52"/>
      <c r="B99" s="10" t="s">
        <v>128</v>
      </c>
      <c r="C99" s="10"/>
      <c r="D99" s="4"/>
      <c r="E99" s="4"/>
      <c r="F99" s="12">
        <f>IF(D$12=0,0,D99/D$12)</f>
        <v>0</v>
      </c>
      <c r="G99" s="4"/>
      <c r="H99" s="4"/>
      <c r="I99" s="4"/>
      <c r="J99" s="12">
        <f>IF(H$12=0,0,H99/H$12)</f>
        <v>0</v>
      </c>
      <c r="K99" s="4"/>
      <c r="L99" s="4">
        <f>+D99-H99</f>
        <v>0</v>
      </c>
      <c r="M99" s="4"/>
      <c r="N99" s="12">
        <f>IF(H99=0,0,L99/H99)</f>
        <v>0</v>
      </c>
      <c r="O99" s="10"/>
      <c r="P99" s="4"/>
      <c r="Q99" s="4"/>
      <c r="R99" s="12">
        <f>IF(P$12=0,0,P99/P$12)</f>
        <v>0</v>
      </c>
      <c r="S99" s="4"/>
      <c r="T99" s="4"/>
      <c r="U99" s="4"/>
      <c r="V99" s="12">
        <f>IF(T$12=0,0,T99/T$12)</f>
        <v>0</v>
      </c>
      <c r="W99" s="4"/>
      <c r="X99" s="4">
        <f>+P99-T99</f>
        <v>0</v>
      </c>
      <c r="Y99" s="4"/>
      <c r="Z99" s="12">
        <f>IF(T99=0,0,X99/T99)</f>
        <v>0</v>
      </c>
    </row>
    <row r="100" spans="1:26" x14ac:dyDescent="0.3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" thickBot="1" x14ac:dyDescent="0.35">
      <c r="A101" s="10"/>
      <c r="B101" s="26" t="s">
        <v>126</v>
      </c>
      <c r="C101" s="26"/>
      <c r="D101" s="32">
        <f>+D97-D99</f>
        <v>-346287.75</v>
      </c>
      <c r="E101" s="13"/>
      <c r="F101" s="31">
        <f>IF(D$12=0,0,D101/D$12)</f>
        <v>0</v>
      </c>
      <c r="G101" s="13"/>
      <c r="H101" s="32">
        <f>+H97-H99</f>
        <v>-308227.51587287697</v>
      </c>
      <c r="I101" s="13"/>
      <c r="J101" s="31">
        <f>IF(H$12=0,0,H101/H$12)</f>
        <v>0</v>
      </c>
      <c r="K101" s="15"/>
      <c r="L101" s="32">
        <f>D101-H101</f>
        <v>-38060.234127123025</v>
      </c>
      <c r="M101" s="15"/>
      <c r="N101" s="31">
        <f>IF(H101=0,0,L101/H101)</f>
        <v>0.12348097482257327</v>
      </c>
      <c r="O101" s="25"/>
      <c r="P101" s="32">
        <f>+P97-P99</f>
        <v>-1715577.0499999998</v>
      </c>
      <c r="Q101" s="13"/>
      <c r="R101" s="31">
        <f>IF(P$12=0,0,P101/P$12)</f>
        <v>0</v>
      </c>
      <c r="S101" s="13"/>
      <c r="T101" s="32">
        <f>+T97-T99</f>
        <v>-1855004.8847487594</v>
      </c>
      <c r="U101" s="13"/>
      <c r="V101" s="31">
        <f>IF(T$12=0,0,T101/T$12)</f>
        <v>0</v>
      </c>
      <c r="W101" s="15"/>
      <c r="X101" s="32">
        <f>P101-T101</f>
        <v>139427.83474875963</v>
      </c>
      <c r="Y101" s="15"/>
      <c r="Z101" s="31">
        <f>IF(T101=0,0,X101/T101)</f>
        <v>-7.5163055307880575E-2</v>
      </c>
    </row>
    <row r="102" spans="1:26" ht="15" thickTop="1" x14ac:dyDescent="0.3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x14ac:dyDescent="0.3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" thickBot="1" x14ac:dyDescent="0.35">
      <c r="A104" s="10"/>
      <c r="B104" s="26" t="s">
        <v>294</v>
      </c>
      <c r="C104" s="26"/>
      <c r="D104" s="34">
        <f>SUM(D101:D103)</f>
        <v>-346287.75</v>
      </c>
      <c r="E104" s="13"/>
      <c r="F104" s="35">
        <f>IF(D$12=0,0,D104/D$12)</f>
        <v>0</v>
      </c>
      <c r="G104" s="13"/>
      <c r="H104" s="34">
        <f>SUM(H101:H103)</f>
        <v>-308227.51587287697</v>
      </c>
      <c r="I104" s="13"/>
      <c r="J104" s="35">
        <f>IF(H$12=0,0,H104/H$12)</f>
        <v>0</v>
      </c>
      <c r="K104" s="15"/>
      <c r="L104" s="34">
        <f>+D104-H104</f>
        <v>-38060.234127123025</v>
      </c>
      <c r="M104" s="15"/>
      <c r="N104" s="35">
        <f>IF(H104=0,0,L104/H104)</f>
        <v>0.12348097482257327</v>
      </c>
      <c r="O104" s="25"/>
      <c r="P104" s="34">
        <f>SUM(P101:P103)</f>
        <v>-1715577.0499999998</v>
      </c>
      <c r="Q104" s="13"/>
      <c r="R104" s="35">
        <f>IF(P$12=0,0,P104/P$12)</f>
        <v>0</v>
      </c>
      <c r="S104" s="13"/>
      <c r="T104" s="34">
        <f>SUM(T101:T103)</f>
        <v>-1855004.8847487594</v>
      </c>
      <c r="U104" s="13"/>
      <c r="V104" s="35">
        <f>IF(T$12=0,0,T104/T$12)</f>
        <v>0</v>
      </c>
      <c r="W104" s="15"/>
      <c r="X104" s="34">
        <f>+P104-T104</f>
        <v>139427.83474875963</v>
      </c>
      <c r="Y104" s="15"/>
      <c r="Z104" s="35">
        <f>IF(T104=0,0,X104/T104)</f>
        <v>-7.5163055307880575E-2</v>
      </c>
    </row>
    <row r="105" spans="1:26" ht="15" thickTop="1" x14ac:dyDescent="0.3">
      <c r="A105" s="9"/>
      <c r="C105" s="9"/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  <row r="106" spans="1:26" x14ac:dyDescent="0.3">
      <c r="A106" s="9"/>
      <c r="B106" s="53">
        <v>44604.019953900461</v>
      </c>
      <c r="D106" s="17"/>
      <c r="E106" s="17"/>
      <c r="G106" s="17"/>
      <c r="H106" s="17"/>
      <c r="I106" s="17"/>
      <c r="J106" s="43"/>
      <c r="K106" s="17"/>
      <c r="L106" s="17"/>
      <c r="M106" s="17"/>
      <c r="P106" s="17"/>
      <c r="Q106" s="17"/>
      <c r="R106" s="43"/>
      <c r="S106" s="17"/>
      <c r="T106" s="17"/>
      <c r="U106" s="17"/>
      <c r="V106" s="43"/>
      <c r="W106" s="17"/>
      <c r="X106" s="17"/>
    </row>
    <row r="107" spans="1:26" x14ac:dyDescent="0.3">
      <c r="A107" s="9"/>
      <c r="B107" s="63" t="s">
        <v>56</v>
      </c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  <row r="108" spans="1:26" x14ac:dyDescent="0.3">
      <c r="A108" s="9"/>
      <c r="B108" s="58"/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  <row r="109" spans="1:26" x14ac:dyDescent="0.3"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outlinePr summaryBelow="0" summaryRight="0"/>
  </sheetPr>
  <dimension ref="A2:Z4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","200", " - ", "Corporate Expense")</f>
        <v>Department 200 - Corporate Expense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41500.79</v>
      </c>
      <c r="E18" s="20"/>
      <c r="F18" s="33">
        <f t="shared" ref="F18:F27" si="0">IF(D$12=0,0,D18/D$12)</f>
        <v>0</v>
      </c>
      <c r="G18" s="20"/>
      <c r="H18" s="20">
        <f>SUM(OSRRefH22x_0)</f>
        <v>63508</v>
      </c>
      <c r="I18" s="20"/>
      <c r="J18" s="33">
        <f t="shared" ref="J18:J27" si="1">IF(H$12=0,0,H18/H$12)</f>
        <v>0</v>
      </c>
      <c r="K18" s="4"/>
      <c r="L18" s="20">
        <f t="shared" ref="L18:L27" si="2">+D18-H18</f>
        <v>-22007.21</v>
      </c>
      <c r="M18" s="4"/>
      <c r="N18" s="33">
        <f t="shared" ref="N18:N27" si="3">IF(H18=0,0,L18/H18)</f>
        <v>-0.34652657932858849</v>
      </c>
      <c r="O18" s="10"/>
      <c r="P18" s="20">
        <f>SUM(OSRRefP22x_0)</f>
        <v>241298.09</v>
      </c>
      <c r="Q18" s="20"/>
      <c r="R18" s="33">
        <f t="shared" ref="R18:R27" si="4">IF(P$12=0,0,P18/P$12)</f>
        <v>0</v>
      </c>
      <c r="S18" s="20"/>
      <c r="T18" s="20">
        <f>SUM(OSRRefT22x_0)</f>
        <v>335056</v>
      </c>
      <c r="U18" s="20"/>
      <c r="V18" s="33">
        <f t="shared" ref="V18:V27" si="5">IF(T$12=0,0,T18/T$12)</f>
        <v>0</v>
      </c>
      <c r="W18" s="4"/>
      <c r="X18" s="20">
        <f t="shared" ref="X18:X27" si="6">+P18-T18</f>
        <v>-93757.91</v>
      </c>
      <c r="Y18" s="4"/>
      <c r="Z18" s="33">
        <f t="shared" ref="Z18:Z27" si="7">IF(T18=0,0,X18/T18)</f>
        <v>-0.27982758106107636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26491.86</v>
      </c>
      <c r="E19" s="1"/>
      <c r="F19" s="5">
        <f t="shared" si="0"/>
        <v>0</v>
      </c>
      <c r="G19" s="1"/>
      <c r="H19" s="1">
        <f>SUM(OSRRefH22_0x_0)</f>
        <v>35000</v>
      </c>
      <c r="I19" s="1"/>
      <c r="J19" s="5">
        <f t="shared" si="1"/>
        <v>0</v>
      </c>
      <c r="K19" s="1"/>
      <c r="L19" s="1">
        <f t="shared" si="2"/>
        <v>-8508.14</v>
      </c>
      <c r="M19" s="1"/>
      <c r="N19" s="5">
        <f t="shared" si="3"/>
        <v>-0.24308971428571427</v>
      </c>
      <c r="O19" s="14"/>
      <c r="P19" s="1">
        <f>SUM(OSRRefP22_0x_0)</f>
        <v>192208.22</v>
      </c>
      <c r="Q19" s="1"/>
      <c r="R19" s="5">
        <f t="shared" si="4"/>
        <v>0</v>
      </c>
      <c r="S19" s="1"/>
      <c r="T19" s="1">
        <f>SUM(OSRRefT22_0x_0)</f>
        <v>245000</v>
      </c>
      <c r="U19" s="1"/>
      <c r="V19" s="5">
        <f t="shared" si="5"/>
        <v>0</v>
      </c>
      <c r="W19" s="1"/>
      <c r="X19" s="1">
        <f t="shared" si="6"/>
        <v>-52791.78</v>
      </c>
      <c r="Y19" s="1"/>
      <c r="Z19" s="5">
        <f t="shared" si="7"/>
        <v>-0.21547665306122449</v>
      </c>
    </row>
    <row r="20" spans="1:26" s="24" customFormat="1" hidden="1" outlineLevel="2" x14ac:dyDescent="0.3">
      <c r="A20" s="27"/>
      <c r="B20" s="11" t="str">
        <f>CONCATENATE("          ", "6120", " - ", "RETIREES HEALTH INSURANCE")</f>
        <v xml:space="preserve">          6120 - RETIREES HEALTH INSURANCE</v>
      </c>
      <c r="C20" s="11"/>
      <c r="D20" s="7">
        <v>26491.86</v>
      </c>
      <c r="E20" s="2"/>
      <c r="F20" s="6">
        <f t="shared" si="0"/>
        <v>0</v>
      </c>
      <c r="G20" s="2"/>
      <c r="H20" s="7">
        <v>35000</v>
      </c>
      <c r="I20" s="2"/>
      <c r="J20" s="6">
        <f t="shared" si="1"/>
        <v>0</v>
      </c>
      <c r="K20" s="2"/>
      <c r="L20" s="7">
        <f t="shared" si="2"/>
        <v>-8508.14</v>
      </c>
      <c r="M20" s="2"/>
      <c r="N20" s="6">
        <f t="shared" si="3"/>
        <v>-0.24308971428571427</v>
      </c>
      <c r="O20" s="11"/>
      <c r="P20" s="7">
        <v>192208.22</v>
      </c>
      <c r="Q20" s="2"/>
      <c r="R20" s="6">
        <f t="shared" si="4"/>
        <v>0</v>
      </c>
      <c r="S20" s="2"/>
      <c r="T20" s="7">
        <v>245000</v>
      </c>
      <c r="U20" s="2"/>
      <c r="V20" s="6">
        <f t="shared" si="5"/>
        <v>0</v>
      </c>
      <c r="W20" s="2"/>
      <c r="X20" s="7">
        <f t="shared" si="6"/>
        <v>-52791.78</v>
      </c>
      <c r="Y20" s="2"/>
      <c r="Z20" s="6">
        <f t="shared" si="7"/>
        <v>-0.21547665306122449</v>
      </c>
    </row>
    <row r="21" spans="1:26" s="28" customFormat="1" outlineLevel="1" collapsed="1" x14ac:dyDescent="0.3">
      <c r="A21" s="29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SUM(OSRRefD22_1x_0)</f>
        <v>3680.15</v>
      </c>
      <c r="E21" s="1"/>
      <c r="F21" s="5">
        <f t="shared" si="0"/>
        <v>0</v>
      </c>
      <c r="G21" s="1"/>
      <c r="H21" s="1">
        <f>SUM(OSRRefH22_1x_0)</f>
        <v>10000</v>
      </c>
      <c r="I21" s="1"/>
      <c r="J21" s="5">
        <f t="shared" si="1"/>
        <v>0</v>
      </c>
      <c r="K21" s="1"/>
      <c r="L21" s="1">
        <f t="shared" si="2"/>
        <v>-6319.85</v>
      </c>
      <c r="M21" s="1"/>
      <c r="N21" s="5">
        <f t="shared" si="3"/>
        <v>-0.63198500000000002</v>
      </c>
      <c r="O21" s="14"/>
      <c r="P21" s="1">
        <f>SUM(OSRRefP22_1x_0)</f>
        <v>9279.08</v>
      </c>
      <c r="Q21" s="1"/>
      <c r="R21" s="5">
        <f t="shared" si="4"/>
        <v>0</v>
      </c>
      <c r="S21" s="1"/>
      <c r="T21" s="1">
        <f>SUM(OSRRefT22_1x_0)</f>
        <v>28000</v>
      </c>
      <c r="U21" s="1"/>
      <c r="V21" s="5">
        <f t="shared" si="5"/>
        <v>0</v>
      </c>
      <c r="W21" s="1"/>
      <c r="X21" s="1">
        <f t="shared" si="6"/>
        <v>-18720.919999999998</v>
      </c>
      <c r="Y21" s="1"/>
      <c r="Z21" s="5">
        <f t="shared" si="7"/>
        <v>-0.66860428571428565</v>
      </c>
    </row>
    <row r="22" spans="1:26" s="24" customFormat="1" hidden="1" outlineLevel="2" x14ac:dyDescent="0.3">
      <c r="A22" s="27"/>
      <c r="B22" s="11" t="str">
        <f>CONCATENATE("          ", "6381", " - ", "BANK/CREDIT CARD FEES")</f>
        <v xml:space="preserve">          6381 - BANK/CREDIT CARD FEES</v>
      </c>
      <c r="C22" s="11"/>
      <c r="D22" s="7">
        <v>3680.15</v>
      </c>
      <c r="E22" s="2"/>
      <c r="F22" s="6">
        <f t="shared" si="0"/>
        <v>0</v>
      </c>
      <c r="G22" s="2"/>
      <c r="H22" s="7">
        <v>10000</v>
      </c>
      <c r="I22" s="2"/>
      <c r="J22" s="6">
        <f t="shared" si="1"/>
        <v>0</v>
      </c>
      <c r="K22" s="2"/>
      <c r="L22" s="7">
        <f t="shared" si="2"/>
        <v>-6319.85</v>
      </c>
      <c r="M22" s="2"/>
      <c r="N22" s="6">
        <f t="shared" si="3"/>
        <v>-0.63198500000000002</v>
      </c>
      <c r="O22" s="11"/>
      <c r="P22" s="7">
        <v>9279.08</v>
      </c>
      <c r="Q22" s="2"/>
      <c r="R22" s="6">
        <f t="shared" si="4"/>
        <v>0</v>
      </c>
      <c r="S22" s="2"/>
      <c r="T22" s="7">
        <v>28000</v>
      </c>
      <c r="U22" s="2"/>
      <c r="V22" s="6">
        <f t="shared" si="5"/>
        <v>0</v>
      </c>
      <c r="W22" s="2"/>
      <c r="X22" s="7">
        <f t="shared" si="6"/>
        <v>-18720.919999999998</v>
      </c>
      <c r="Y22" s="2"/>
      <c r="Z22" s="6">
        <f t="shared" si="7"/>
        <v>-0.66860428571428565</v>
      </c>
    </row>
    <row r="23" spans="1:26" s="28" customFormat="1" outlineLevel="1" collapsed="1" x14ac:dyDescent="0.3">
      <c r="A23" s="29"/>
      <c r="B23" s="14" t="str">
        <f>CONCATENATE("     ","Board                                             ")</f>
        <v xml:space="preserve">     Board                                             </v>
      </c>
      <c r="C23" s="14"/>
      <c r="D23" s="1">
        <f>SUM(OSRRefD22_2x_0)</f>
        <v>991.03</v>
      </c>
      <c r="E23" s="1"/>
      <c r="F23" s="5">
        <f t="shared" si="0"/>
        <v>0</v>
      </c>
      <c r="G23" s="1"/>
      <c r="H23" s="1">
        <f>SUM(OSRRefH22_2x_0)</f>
        <v>2508</v>
      </c>
      <c r="I23" s="1"/>
      <c r="J23" s="5">
        <f t="shared" si="1"/>
        <v>0</v>
      </c>
      <c r="K23" s="1"/>
      <c r="L23" s="1">
        <f t="shared" si="2"/>
        <v>-1516.97</v>
      </c>
      <c r="M23" s="1"/>
      <c r="N23" s="5">
        <f t="shared" si="3"/>
        <v>-0.60485247208931425</v>
      </c>
      <c r="O23" s="14"/>
      <c r="P23" s="1">
        <f>SUM(OSRRefP22_2x_0)</f>
        <v>8647.5400000000009</v>
      </c>
      <c r="Q23" s="1"/>
      <c r="R23" s="5">
        <f t="shared" si="4"/>
        <v>0</v>
      </c>
      <c r="S23" s="1"/>
      <c r="T23" s="1">
        <f>SUM(OSRRefT22_2x_0)</f>
        <v>12056</v>
      </c>
      <c r="U23" s="1"/>
      <c r="V23" s="5">
        <f t="shared" si="5"/>
        <v>0</v>
      </c>
      <c r="W23" s="1"/>
      <c r="X23" s="1">
        <f t="shared" si="6"/>
        <v>-3408.4599999999991</v>
      </c>
      <c r="Y23" s="1"/>
      <c r="Z23" s="5">
        <f t="shared" si="7"/>
        <v>-0.28271897810218971</v>
      </c>
    </row>
    <row r="24" spans="1:26" s="24" customFormat="1" hidden="1" outlineLevel="2" x14ac:dyDescent="0.3">
      <c r="A24" s="27"/>
      <c r="B24" s="11" t="str">
        <f>CONCATENATE("          ", "6397", " - ", "BOARD EXPENSES")</f>
        <v xml:space="preserve">          6397 - BOARD EXPENSES</v>
      </c>
      <c r="C24" s="11"/>
      <c r="D24" s="7">
        <v>991.03</v>
      </c>
      <c r="E24" s="2"/>
      <c r="F24" s="6">
        <f t="shared" si="0"/>
        <v>0</v>
      </c>
      <c r="G24" s="2"/>
      <c r="H24" s="7">
        <v>2508</v>
      </c>
      <c r="I24" s="2"/>
      <c r="J24" s="6">
        <f t="shared" si="1"/>
        <v>0</v>
      </c>
      <c r="K24" s="2"/>
      <c r="L24" s="7">
        <f t="shared" si="2"/>
        <v>-1516.97</v>
      </c>
      <c r="M24" s="2"/>
      <c r="N24" s="6">
        <f t="shared" si="3"/>
        <v>-0.60485247208931425</v>
      </c>
      <c r="O24" s="11"/>
      <c r="P24" s="7">
        <v>8647.5400000000009</v>
      </c>
      <c r="Q24" s="2"/>
      <c r="R24" s="6">
        <f t="shared" si="4"/>
        <v>0</v>
      </c>
      <c r="S24" s="2"/>
      <c r="T24" s="7">
        <v>12056</v>
      </c>
      <c r="U24" s="2"/>
      <c r="V24" s="6">
        <f t="shared" si="5"/>
        <v>0</v>
      </c>
      <c r="W24" s="2"/>
      <c r="X24" s="7">
        <f t="shared" si="6"/>
        <v>-3408.4599999999991</v>
      </c>
      <c r="Y24" s="2"/>
      <c r="Z24" s="6">
        <f t="shared" si="7"/>
        <v>-0.28271897810218971</v>
      </c>
    </row>
    <row r="25" spans="1:26" s="28" customFormat="1" outlineLevel="1" collapsed="1" x14ac:dyDescent="0.3">
      <c r="A25" s="29"/>
      <c r="B25" s="14" t="str">
        <f>CONCATENATE("     ","Professional Services                             ")</f>
        <v xml:space="preserve">     Professional Services                             </v>
      </c>
      <c r="C25" s="14"/>
      <c r="D25" s="1">
        <f>SUM(OSRRefD22_3x_0)</f>
        <v>10337.75</v>
      </c>
      <c r="E25" s="1"/>
      <c r="F25" s="5">
        <f t="shared" si="0"/>
        <v>0</v>
      </c>
      <c r="G25" s="1"/>
      <c r="H25" s="1">
        <f>SUM(OSRRefH22_3x_0)</f>
        <v>16000</v>
      </c>
      <c r="I25" s="1"/>
      <c r="J25" s="5">
        <f t="shared" si="1"/>
        <v>0</v>
      </c>
      <c r="K25" s="1"/>
      <c r="L25" s="1">
        <f t="shared" si="2"/>
        <v>-5662.25</v>
      </c>
      <c r="M25" s="1"/>
      <c r="N25" s="5">
        <f t="shared" si="3"/>
        <v>-0.35389062500000001</v>
      </c>
      <c r="O25" s="14"/>
      <c r="P25" s="1">
        <f>SUM(OSRRefP22_3x_0)</f>
        <v>31163.25</v>
      </c>
      <c r="Q25" s="1"/>
      <c r="R25" s="5">
        <f t="shared" si="4"/>
        <v>0</v>
      </c>
      <c r="S25" s="1"/>
      <c r="T25" s="1">
        <f>SUM(OSRRefT22_3x_0)</f>
        <v>50000</v>
      </c>
      <c r="U25" s="1"/>
      <c r="V25" s="5">
        <f t="shared" si="5"/>
        <v>0</v>
      </c>
      <c r="W25" s="1"/>
      <c r="X25" s="1">
        <f t="shared" si="6"/>
        <v>-18836.75</v>
      </c>
      <c r="Y25" s="1"/>
      <c r="Z25" s="5">
        <f t="shared" si="7"/>
        <v>-0.37673499999999999</v>
      </c>
    </row>
    <row r="26" spans="1:26" s="24" customFormat="1" hidden="1" outlineLevel="2" x14ac:dyDescent="0.3">
      <c r="A26" s="27"/>
      <c r="B26" s="11" t="str">
        <f>CONCATENATE("          ", "6331", " - ", "INDIRECT COSTS-AUXILIARY ORGAN")</f>
        <v xml:space="preserve">          6331 - INDIRECT COSTS-AUXILIARY ORGAN</v>
      </c>
      <c r="C26" s="11"/>
      <c r="D26" s="7">
        <v>10337.75</v>
      </c>
      <c r="E26" s="2"/>
      <c r="F26" s="6">
        <f t="shared" si="0"/>
        <v>0</v>
      </c>
      <c r="G26" s="2"/>
      <c r="H26" s="7">
        <v>13000</v>
      </c>
      <c r="I26" s="2"/>
      <c r="J26" s="6">
        <f t="shared" si="1"/>
        <v>0</v>
      </c>
      <c r="K26" s="2"/>
      <c r="L26" s="7">
        <f t="shared" si="2"/>
        <v>-2662.25</v>
      </c>
      <c r="M26" s="2"/>
      <c r="N26" s="6">
        <f t="shared" si="3"/>
        <v>-0.20478846153846153</v>
      </c>
      <c r="O26" s="11"/>
      <c r="P26" s="7">
        <v>31163.25</v>
      </c>
      <c r="Q26" s="2"/>
      <c r="R26" s="6">
        <f t="shared" si="4"/>
        <v>0</v>
      </c>
      <c r="S26" s="2"/>
      <c r="T26" s="7">
        <v>39000</v>
      </c>
      <c r="U26" s="2"/>
      <c r="V26" s="6">
        <f t="shared" si="5"/>
        <v>0</v>
      </c>
      <c r="W26" s="2"/>
      <c r="X26" s="7">
        <f t="shared" si="6"/>
        <v>-7836.75</v>
      </c>
      <c r="Y26" s="2"/>
      <c r="Z26" s="6">
        <f t="shared" si="7"/>
        <v>-0.2009423076923077</v>
      </c>
    </row>
    <row r="27" spans="1:26" s="24" customFormat="1" hidden="1" outlineLevel="2" x14ac:dyDescent="0.3">
      <c r="A27" s="27"/>
      <c r="B27" s="11" t="str">
        <f>CONCATENATE("          ", "6332", " - ", "CONSULTANT FEES")</f>
        <v xml:space="preserve">          6332 - CONSULTANT FEES</v>
      </c>
      <c r="C27" s="11"/>
      <c r="D27" s="7"/>
      <c r="E27" s="2"/>
      <c r="F27" s="6">
        <f t="shared" si="0"/>
        <v>0</v>
      </c>
      <c r="G27" s="2"/>
      <c r="H27" s="7">
        <v>3000</v>
      </c>
      <c r="I27" s="2"/>
      <c r="J27" s="6">
        <f t="shared" si="1"/>
        <v>0</v>
      </c>
      <c r="K27" s="2"/>
      <c r="L27" s="7">
        <f t="shared" si="2"/>
        <v>-3000</v>
      </c>
      <c r="M27" s="2"/>
      <c r="N27" s="6">
        <f t="shared" si="3"/>
        <v>-1</v>
      </c>
      <c r="O27" s="11"/>
      <c r="P27" s="7"/>
      <c r="Q27" s="2"/>
      <c r="R27" s="6">
        <f t="shared" si="4"/>
        <v>0</v>
      </c>
      <c r="S27" s="2"/>
      <c r="T27" s="7">
        <v>11000</v>
      </c>
      <c r="U27" s="2"/>
      <c r="V27" s="6">
        <f t="shared" si="5"/>
        <v>0</v>
      </c>
      <c r="W27" s="2"/>
      <c r="X27" s="7">
        <f t="shared" si="6"/>
        <v>-11000</v>
      </c>
      <c r="Y27" s="2"/>
      <c r="Z27" s="6">
        <f t="shared" si="7"/>
        <v>-1</v>
      </c>
    </row>
    <row r="28" spans="1:26" s="55" customFormat="1" x14ac:dyDescent="0.3">
      <c r="A28" s="36"/>
      <c r="B28" s="36"/>
      <c r="C28" s="36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3">
      <c r="A29" s="10"/>
      <c r="B29" s="25" t="s">
        <v>293</v>
      </c>
      <c r="C29" s="10"/>
      <c r="D29" s="4">
        <f>SUM(0)</f>
        <v>0</v>
      </c>
      <c r="E29" s="4"/>
      <c r="F29" s="12">
        <f>IF(D$12=0,0,D29/D$12)</f>
        <v>0</v>
      </c>
      <c r="G29" s="4"/>
      <c r="H29" s="4">
        <f>SUM(0)</f>
        <v>0</v>
      </c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>
        <f>SUM(0)</f>
        <v>0</v>
      </c>
      <c r="Q29" s="4"/>
      <c r="R29" s="12">
        <f>IF(P$12=0,0,P29/P$12)</f>
        <v>0</v>
      </c>
      <c r="S29" s="4"/>
      <c r="T29" s="4">
        <f>SUM(0)</f>
        <v>0</v>
      </c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3">
      <c r="A31" s="10"/>
      <c r="B31" s="26" t="s">
        <v>277</v>
      </c>
      <c r="C31" s="26"/>
      <c r="D31" s="21">
        <f>+D16-D18+D29</f>
        <v>-41500.79</v>
      </c>
      <c r="E31" s="13"/>
      <c r="F31" s="22">
        <f>IF(D$12=0,0,D31/D$12)</f>
        <v>0</v>
      </c>
      <c r="G31" s="13"/>
      <c r="H31" s="21">
        <f>+H16-H18+H29</f>
        <v>-63508</v>
      </c>
      <c r="I31" s="13"/>
      <c r="J31" s="22">
        <f>IF(H$12=0,0,H31/H$12)</f>
        <v>0</v>
      </c>
      <c r="K31" s="15"/>
      <c r="L31" s="21">
        <f>+D31-H31</f>
        <v>22007.21</v>
      </c>
      <c r="M31" s="15"/>
      <c r="N31" s="22">
        <f>IF(H31=0,0,L31/H31)</f>
        <v>-0.34652657932858849</v>
      </c>
      <c r="O31" s="25"/>
      <c r="P31" s="21">
        <f>+P16-P18+P29</f>
        <v>-241298.09</v>
      </c>
      <c r="Q31" s="13"/>
      <c r="R31" s="22">
        <f>IF(P$12=0,0,P31/P$12)</f>
        <v>0</v>
      </c>
      <c r="S31" s="13"/>
      <c r="T31" s="21">
        <f>+T16-T18+T29</f>
        <v>-335056</v>
      </c>
      <c r="U31" s="13"/>
      <c r="V31" s="22">
        <f>IF(T$12=0,0,T31/T$12)</f>
        <v>0</v>
      </c>
      <c r="W31" s="15"/>
      <c r="X31" s="21">
        <f>+P31-T31</f>
        <v>93757.91</v>
      </c>
      <c r="Y31" s="15"/>
      <c r="Z31" s="22">
        <f>IF(T31=0,0,X31/T31)</f>
        <v>-0.27982758106107636</v>
      </c>
    </row>
    <row r="32" spans="1:26" x14ac:dyDescent="0.3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128</v>
      </c>
      <c r="C33" s="10"/>
      <c r="D33" s="4"/>
      <c r="E33" s="4"/>
      <c r="F33" s="12">
        <f>IF(D$12=0,0,D33/D$12)</f>
        <v>0</v>
      </c>
      <c r="G33" s="4"/>
      <c r="H33" s="4"/>
      <c r="I33" s="4"/>
      <c r="J33" s="12">
        <f>IF(H$12=0,0,H33/H$12)</f>
        <v>0</v>
      </c>
      <c r="K33" s="4"/>
      <c r="L33" s="4">
        <f>+D33-H33</f>
        <v>0</v>
      </c>
      <c r="M33" s="4"/>
      <c r="N33" s="12">
        <f>IF(H33=0,0,L33/H33)</f>
        <v>0</v>
      </c>
      <c r="O33" s="10"/>
      <c r="P33" s="4"/>
      <c r="Q33" s="4"/>
      <c r="R33" s="12">
        <f>IF(P$12=0,0,P33/P$12)</f>
        <v>0</v>
      </c>
      <c r="S33" s="4"/>
      <c r="T33" s="4"/>
      <c r="U33" s="4"/>
      <c r="V33" s="12">
        <f>IF(T$12=0,0,T33/T$12)</f>
        <v>0</v>
      </c>
      <c r="W33" s="4"/>
      <c r="X33" s="4">
        <f>+P33-T33</f>
        <v>0</v>
      </c>
      <c r="Y33" s="4"/>
      <c r="Z33" s="12">
        <f>IF(T33=0,0,X33/T33)</f>
        <v>0</v>
      </c>
    </row>
    <row r="34" spans="1:26" x14ac:dyDescent="0.3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" thickBot="1" x14ac:dyDescent="0.35">
      <c r="A35" s="10"/>
      <c r="B35" s="26" t="s">
        <v>126</v>
      </c>
      <c r="C35" s="26"/>
      <c r="D35" s="32">
        <f>+D31-D33</f>
        <v>-41500.79</v>
      </c>
      <c r="E35" s="13"/>
      <c r="F35" s="31">
        <f>IF(D$12=0,0,D35/D$12)</f>
        <v>0</v>
      </c>
      <c r="G35" s="13"/>
      <c r="H35" s="32">
        <f>+H31-H33</f>
        <v>-63508</v>
      </c>
      <c r="I35" s="13"/>
      <c r="J35" s="31">
        <f>IF(H$12=0,0,H35/H$12)</f>
        <v>0</v>
      </c>
      <c r="K35" s="15"/>
      <c r="L35" s="32">
        <f>D35-H35</f>
        <v>22007.21</v>
      </c>
      <c r="M35" s="15"/>
      <c r="N35" s="31">
        <f>IF(H35=0,0,L35/H35)</f>
        <v>-0.34652657932858849</v>
      </c>
      <c r="O35" s="25"/>
      <c r="P35" s="32">
        <f>+P31-P33</f>
        <v>-241298.09</v>
      </c>
      <c r="Q35" s="13"/>
      <c r="R35" s="31">
        <f>IF(P$12=0,0,P35/P$12)</f>
        <v>0</v>
      </c>
      <c r="S35" s="13"/>
      <c r="T35" s="32">
        <f>+T31-T33</f>
        <v>-335056</v>
      </c>
      <c r="U35" s="13"/>
      <c r="V35" s="31">
        <f>IF(T$12=0,0,T35/T$12)</f>
        <v>0</v>
      </c>
      <c r="W35" s="15"/>
      <c r="X35" s="32">
        <f>P35-T35</f>
        <v>93757.91</v>
      </c>
      <c r="Y35" s="15"/>
      <c r="Z35" s="31">
        <f>IF(T35=0,0,X35/T35)</f>
        <v>-0.27982758106107636</v>
      </c>
    </row>
    <row r="36" spans="1:26" ht="15" thickTop="1" x14ac:dyDescent="0.3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x14ac:dyDescent="0.3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ht="15" thickBot="1" x14ac:dyDescent="0.35">
      <c r="A38" s="10"/>
      <c r="B38" s="26" t="s">
        <v>294</v>
      </c>
      <c r="C38" s="26"/>
      <c r="D38" s="34">
        <f>SUM(D35:D37)</f>
        <v>-41500.79</v>
      </c>
      <c r="E38" s="13"/>
      <c r="F38" s="35">
        <f>IF(D$12=0,0,D38/D$12)</f>
        <v>0</v>
      </c>
      <c r="G38" s="13"/>
      <c r="H38" s="34">
        <f>SUM(H35:H37)</f>
        <v>-63508</v>
      </c>
      <c r="I38" s="13"/>
      <c r="J38" s="35">
        <f>IF(H$12=0,0,H38/H$12)</f>
        <v>0</v>
      </c>
      <c r="K38" s="15"/>
      <c r="L38" s="34">
        <f>+D38-H38</f>
        <v>22007.21</v>
      </c>
      <c r="M38" s="15"/>
      <c r="N38" s="35">
        <f>IF(H38=0,0,L38/H38)</f>
        <v>-0.34652657932858849</v>
      </c>
      <c r="O38" s="25"/>
      <c r="P38" s="34">
        <f>SUM(P35:P37)</f>
        <v>-241298.09</v>
      </c>
      <c r="Q38" s="13"/>
      <c r="R38" s="35">
        <f>IF(P$12=0,0,P38/P$12)</f>
        <v>0</v>
      </c>
      <c r="S38" s="13"/>
      <c r="T38" s="34">
        <f>SUM(T35:T37)</f>
        <v>-335056</v>
      </c>
      <c r="U38" s="13"/>
      <c r="V38" s="35">
        <f>IF(T$12=0,0,T38/T$12)</f>
        <v>0</v>
      </c>
      <c r="W38" s="15"/>
      <c r="X38" s="34">
        <f>+P38-T38</f>
        <v>93757.91</v>
      </c>
      <c r="Y38" s="15"/>
      <c r="Z38" s="35">
        <f>IF(T38=0,0,X38/T38)</f>
        <v>-0.27982758106107636</v>
      </c>
    </row>
    <row r="39" spans="1:26" ht="15" thickTop="1" x14ac:dyDescent="0.3">
      <c r="A39" s="9"/>
      <c r="C39" s="9"/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3">
        <v>44604.019995405091</v>
      </c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A41" s="9"/>
      <c r="B41" s="63" t="s">
        <v>56</v>
      </c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3">
      <c r="A42" s="9"/>
      <c r="B42" s="58"/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  <row r="43" spans="1:26" x14ac:dyDescent="0.3">
      <c r="D43" s="17"/>
      <c r="E43" s="17"/>
      <c r="G43" s="17"/>
      <c r="H43" s="17"/>
      <c r="I43" s="17"/>
      <c r="J43" s="43"/>
      <c r="K43" s="17"/>
      <c r="L43" s="17"/>
      <c r="M43" s="17"/>
      <c r="P43" s="17"/>
      <c r="Q43" s="17"/>
      <c r="R43" s="43"/>
      <c r="S43" s="17"/>
      <c r="T43" s="17"/>
      <c r="U43" s="17"/>
      <c r="V43" s="43"/>
      <c r="W43" s="17"/>
      <c r="X43" s="17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","201", " - ", "General Manager")</f>
        <v>Department 201 - General Manager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117409.44</v>
      </c>
      <c r="E18" s="20"/>
      <c r="F18" s="33">
        <f t="shared" ref="F18:F28" si="0">IF(D$12=0,0,D18/D$12)</f>
        <v>0</v>
      </c>
      <c r="G18" s="20"/>
      <c r="H18" s="20">
        <f>SUM(OSRRefH22x_0)</f>
        <v>58900.411211538492</v>
      </c>
      <c r="I18" s="20"/>
      <c r="J18" s="33">
        <f t="shared" ref="J18:J28" si="1">IF(H$12=0,0,H18/H$12)</f>
        <v>0</v>
      </c>
      <c r="K18" s="4"/>
      <c r="L18" s="20">
        <f t="shared" ref="L18:L28" si="2">+D18-H18</f>
        <v>58509.02878846151</v>
      </c>
      <c r="M18" s="4"/>
      <c r="N18" s="33">
        <f t="shared" ref="N18:N28" si="3">IF(H18=0,0,L18/H18)</f>
        <v>0.99335518352034335</v>
      </c>
      <c r="O18" s="10"/>
      <c r="P18" s="20">
        <f>SUM(OSRRefP22x_0)</f>
        <v>356424.89</v>
      </c>
      <c r="Q18" s="20"/>
      <c r="R18" s="33">
        <f t="shared" ref="R18:R28" si="4">IF(P$12=0,0,P18/P$12)</f>
        <v>0</v>
      </c>
      <c r="S18" s="20"/>
      <c r="T18" s="20">
        <f>SUM(OSRRefT22x_0)</f>
        <v>363495.9900884612</v>
      </c>
      <c r="U18" s="20"/>
      <c r="V18" s="33">
        <f t="shared" ref="V18:V28" si="5">IF(T$12=0,0,T18/T$12)</f>
        <v>0</v>
      </c>
      <c r="W18" s="4"/>
      <c r="X18" s="20">
        <f t="shared" ref="X18:X28" si="6">+P18-T18</f>
        <v>-7071.1000884611858</v>
      </c>
      <c r="Y18" s="4"/>
      <c r="Z18" s="33">
        <f t="shared" ref="Z18:Z28" si="7">IF(T18=0,0,X18/T18)</f>
        <v>-1.9453034644867327E-2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42800.299999999996</v>
      </c>
      <c r="E19" s="1"/>
      <c r="F19" s="5">
        <f t="shared" si="0"/>
        <v>0</v>
      </c>
      <c r="G19" s="1"/>
      <c r="H19" s="1">
        <f>SUM(OSRRefH22_0x_0)</f>
        <v>12344.48813461538</v>
      </c>
      <c r="I19" s="1"/>
      <c r="J19" s="5">
        <f t="shared" si="1"/>
        <v>0</v>
      </c>
      <c r="K19" s="1"/>
      <c r="L19" s="1">
        <f t="shared" si="2"/>
        <v>30455.811865384618</v>
      </c>
      <c r="M19" s="1"/>
      <c r="N19" s="5">
        <f t="shared" si="3"/>
        <v>2.4671587459331734</v>
      </c>
      <c r="O19" s="14"/>
      <c r="P19" s="1">
        <f>SUM(OSRRefP22_0x_0)</f>
        <v>106084.49</v>
      </c>
      <c r="Q19" s="1"/>
      <c r="R19" s="5">
        <f t="shared" si="4"/>
        <v>0</v>
      </c>
      <c r="S19" s="1"/>
      <c r="T19" s="1">
        <f>SUM(OSRRefT22_0x_0)</f>
        <v>69392.713165384586</v>
      </c>
      <c r="U19" s="1"/>
      <c r="V19" s="5">
        <f t="shared" si="5"/>
        <v>0</v>
      </c>
      <c r="W19" s="1"/>
      <c r="X19" s="1">
        <f t="shared" si="6"/>
        <v>36691.776834615419</v>
      </c>
      <c r="Y19" s="1"/>
      <c r="Z19" s="5">
        <f t="shared" si="7"/>
        <v>0.52875547245382115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7">
        <v>5053.3500000000004</v>
      </c>
      <c r="E20" s="2"/>
      <c r="F20" s="6">
        <f t="shared" si="0"/>
        <v>0</v>
      </c>
      <c r="G20" s="2"/>
      <c r="H20" s="7">
        <v>2438.8050576923101</v>
      </c>
      <c r="I20" s="2"/>
      <c r="J20" s="6">
        <f t="shared" si="1"/>
        <v>0</v>
      </c>
      <c r="K20" s="2"/>
      <c r="L20" s="7">
        <f t="shared" si="2"/>
        <v>2614.5449423076902</v>
      </c>
      <c r="M20" s="2"/>
      <c r="N20" s="6">
        <f t="shared" si="3"/>
        <v>1.0720598327697712</v>
      </c>
      <c r="O20" s="11"/>
      <c r="P20" s="7">
        <v>12047.2</v>
      </c>
      <c r="Q20" s="2"/>
      <c r="R20" s="6">
        <f t="shared" si="4"/>
        <v>0</v>
      </c>
      <c r="S20" s="2"/>
      <c r="T20" s="7">
        <v>12776.1242423077</v>
      </c>
      <c r="U20" s="2"/>
      <c r="V20" s="6">
        <f t="shared" si="5"/>
        <v>0</v>
      </c>
      <c r="W20" s="2"/>
      <c r="X20" s="7">
        <f t="shared" si="6"/>
        <v>-728.92424230769939</v>
      </c>
      <c r="Y20" s="2"/>
      <c r="Z20" s="6">
        <f t="shared" si="7"/>
        <v>-5.705362819609186E-2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852.13</v>
      </c>
      <c r="E21" s="2"/>
      <c r="F21" s="6">
        <f t="shared" si="0"/>
        <v>0</v>
      </c>
      <c r="G21" s="2"/>
      <c r="H21" s="7">
        <v>98.788653846153807</v>
      </c>
      <c r="I21" s="2"/>
      <c r="J21" s="6">
        <f t="shared" si="1"/>
        <v>0</v>
      </c>
      <c r="K21" s="2"/>
      <c r="L21" s="7">
        <f t="shared" si="2"/>
        <v>753.34134615384619</v>
      </c>
      <c r="M21" s="2"/>
      <c r="N21" s="6">
        <f t="shared" si="3"/>
        <v>7.6257881530306575</v>
      </c>
      <c r="O21" s="11"/>
      <c r="P21" s="7">
        <v>2449.86</v>
      </c>
      <c r="Q21" s="2"/>
      <c r="R21" s="6">
        <f t="shared" si="4"/>
        <v>0</v>
      </c>
      <c r="S21" s="2"/>
      <c r="T21" s="7">
        <v>517.522346153846</v>
      </c>
      <c r="U21" s="2"/>
      <c r="V21" s="6">
        <f t="shared" si="5"/>
        <v>0</v>
      </c>
      <c r="W21" s="2"/>
      <c r="X21" s="7">
        <f t="shared" si="6"/>
        <v>1932.3376538461541</v>
      </c>
      <c r="Y21" s="2"/>
      <c r="Z21" s="6">
        <f t="shared" si="7"/>
        <v>3.7338245743532013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7">
        <v>3588.59</v>
      </c>
      <c r="E22" s="2"/>
      <c r="F22" s="6">
        <f t="shared" si="0"/>
        <v>0</v>
      </c>
      <c r="G22" s="2"/>
      <c r="H22" s="7">
        <v>4050</v>
      </c>
      <c r="I22" s="2"/>
      <c r="J22" s="6">
        <f t="shared" si="1"/>
        <v>0</v>
      </c>
      <c r="K22" s="2"/>
      <c r="L22" s="7">
        <f t="shared" si="2"/>
        <v>-461.40999999999985</v>
      </c>
      <c r="M22" s="2"/>
      <c r="N22" s="6">
        <f t="shared" si="3"/>
        <v>-0.11392839506172836</v>
      </c>
      <c r="O22" s="11"/>
      <c r="P22" s="7">
        <v>27244.93</v>
      </c>
      <c r="Q22" s="2"/>
      <c r="R22" s="6">
        <f t="shared" si="4"/>
        <v>0</v>
      </c>
      <c r="S22" s="2"/>
      <c r="T22" s="7">
        <v>25586</v>
      </c>
      <c r="U22" s="2"/>
      <c r="V22" s="6">
        <f t="shared" si="5"/>
        <v>0</v>
      </c>
      <c r="W22" s="2"/>
      <c r="X22" s="7">
        <f t="shared" si="6"/>
        <v>1658.9300000000003</v>
      </c>
      <c r="Y22" s="2"/>
      <c r="Z22" s="6">
        <f t="shared" si="7"/>
        <v>6.4837411084186669E-2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171.75</v>
      </c>
      <c r="E23" s="2"/>
      <c r="F23" s="6">
        <f t="shared" si="0"/>
        <v>0</v>
      </c>
      <c r="G23" s="2"/>
      <c r="H23" s="7">
        <v>66.921346153846102</v>
      </c>
      <c r="I23" s="2"/>
      <c r="J23" s="6">
        <f t="shared" si="1"/>
        <v>0</v>
      </c>
      <c r="K23" s="2"/>
      <c r="L23" s="7">
        <f t="shared" si="2"/>
        <v>104.8286538461539</v>
      </c>
      <c r="M23" s="2"/>
      <c r="N23" s="6">
        <f t="shared" si="3"/>
        <v>1.566445683940104</v>
      </c>
      <c r="O23" s="11"/>
      <c r="P23" s="7">
        <v>493.77</v>
      </c>
      <c r="Q23" s="2"/>
      <c r="R23" s="6">
        <f t="shared" si="4"/>
        <v>0</v>
      </c>
      <c r="S23" s="2"/>
      <c r="T23" s="7">
        <v>350.57965384615397</v>
      </c>
      <c r="U23" s="2"/>
      <c r="V23" s="6">
        <f t="shared" si="5"/>
        <v>0</v>
      </c>
      <c r="W23" s="2"/>
      <c r="X23" s="7">
        <f t="shared" si="6"/>
        <v>143.19034615384601</v>
      </c>
      <c r="Y23" s="2"/>
      <c r="Z23" s="6">
        <f t="shared" si="7"/>
        <v>0.40843883717416957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7">
        <v>2407.25</v>
      </c>
      <c r="E24" s="2"/>
      <c r="F24" s="6">
        <f t="shared" si="0"/>
        <v>0</v>
      </c>
      <c r="G24" s="2"/>
      <c r="H24" s="7">
        <v>2740.5884615384598</v>
      </c>
      <c r="I24" s="2"/>
      <c r="J24" s="6">
        <f t="shared" si="1"/>
        <v>0</v>
      </c>
      <c r="K24" s="2"/>
      <c r="L24" s="7">
        <f t="shared" si="2"/>
        <v>-333.3384615384598</v>
      </c>
      <c r="M24" s="2"/>
      <c r="N24" s="6">
        <f t="shared" si="3"/>
        <v>-0.12163025066205546</v>
      </c>
      <c r="O24" s="11"/>
      <c r="P24" s="7">
        <v>15586.25</v>
      </c>
      <c r="Q24" s="2"/>
      <c r="R24" s="6">
        <f t="shared" si="4"/>
        <v>0</v>
      </c>
      <c r="S24" s="2"/>
      <c r="T24" s="7">
        <v>14357.0715384615</v>
      </c>
      <c r="U24" s="2"/>
      <c r="V24" s="6">
        <f t="shared" si="5"/>
        <v>0</v>
      </c>
      <c r="W24" s="2"/>
      <c r="X24" s="7">
        <f t="shared" si="6"/>
        <v>1229.1784615385004</v>
      </c>
      <c r="Y24" s="2"/>
      <c r="Z24" s="6">
        <f t="shared" si="7"/>
        <v>8.5614845495867675E-2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7">
        <v>8885.32</v>
      </c>
      <c r="E26" s="2"/>
      <c r="F26" s="6">
        <f t="shared" si="0"/>
        <v>0</v>
      </c>
      <c r="G26" s="2"/>
      <c r="H26" s="7">
        <v>1593.36538461538</v>
      </c>
      <c r="I26" s="2"/>
      <c r="J26" s="6">
        <f t="shared" si="1"/>
        <v>0</v>
      </c>
      <c r="K26" s="2"/>
      <c r="L26" s="7">
        <f t="shared" si="2"/>
        <v>7291.9546153846195</v>
      </c>
      <c r="M26" s="2"/>
      <c r="N26" s="6">
        <f t="shared" si="3"/>
        <v>4.5764484943576287</v>
      </c>
      <c r="O26" s="11"/>
      <c r="P26" s="7">
        <v>19700.29</v>
      </c>
      <c r="Q26" s="2"/>
      <c r="R26" s="6">
        <f t="shared" si="4"/>
        <v>0</v>
      </c>
      <c r="S26" s="2"/>
      <c r="T26" s="7">
        <v>8347.1346153846207</v>
      </c>
      <c r="U26" s="2"/>
      <c r="V26" s="6">
        <f t="shared" si="5"/>
        <v>0</v>
      </c>
      <c r="W26" s="2"/>
      <c r="X26" s="7">
        <f t="shared" si="6"/>
        <v>11353.15538461538</v>
      </c>
      <c r="Y26" s="2"/>
      <c r="Z26" s="6">
        <f t="shared" si="7"/>
        <v>1.360126068134849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7">
        <v>21687.32</v>
      </c>
      <c r="E27" s="2"/>
      <c r="F27" s="6">
        <f t="shared" si="0"/>
        <v>0</v>
      </c>
      <c r="G27" s="2"/>
      <c r="H27" s="7">
        <v>956.01923076923094</v>
      </c>
      <c r="I27" s="2"/>
      <c r="J27" s="6">
        <f t="shared" si="1"/>
        <v>0</v>
      </c>
      <c r="K27" s="2"/>
      <c r="L27" s="7">
        <f t="shared" si="2"/>
        <v>20731.300769230769</v>
      </c>
      <c r="M27" s="2"/>
      <c r="N27" s="6">
        <f t="shared" si="3"/>
        <v>21.685024842596501</v>
      </c>
      <c r="O27" s="11"/>
      <c r="P27" s="7">
        <v>27274.560000000001</v>
      </c>
      <c r="Q27" s="2"/>
      <c r="R27" s="6">
        <f t="shared" si="4"/>
        <v>0</v>
      </c>
      <c r="S27" s="2"/>
      <c r="T27" s="7">
        <v>5008.2807692307697</v>
      </c>
      <c r="U27" s="2"/>
      <c r="V27" s="6">
        <f t="shared" si="5"/>
        <v>0</v>
      </c>
      <c r="W27" s="2"/>
      <c r="X27" s="7">
        <f t="shared" si="6"/>
        <v>22266.279230769233</v>
      </c>
      <c r="Y27" s="2"/>
      <c r="Z27" s="6">
        <f t="shared" si="7"/>
        <v>4.4458927637535677</v>
      </c>
    </row>
    <row r="28" spans="1:26" s="24" customFormat="1" hidden="1" outlineLevel="2" x14ac:dyDescent="0.3">
      <c r="A28" s="27"/>
      <c r="B28" s="11" t="str">
        <f>CONCATENATE("          ", "6156", " - ", "EMPLOYEE MEALS")</f>
        <v xml:space="preserve">          6156 - EMPLOYEE MEALS</v>
      </c>
      <c r="C28" s="11"/>
      <c r="D28" s="7">
        <v>154.59</v>
      </c>
      <c r="E28" s="2"/>
      <c r="F28" s="6">
        <f t="shared" si="0"/>
        <v>0</v>
      </c>
      <c r="G28" s="2"/>
      <c r="H28" s="7">
        <v>400</v>
      </c>
      <c r="I28" s="2"/>
      <c r="J28" s="6">
        <f t="shared" si="1"/>
        <v>0</v>
      </c>
      <c r="K28" s="2"/>
      <c r="L28" s="7">
        <f t="shared" si="2"/>
        <v>-245.41</v>
      </c>
      <c r="M28" s="2"/>
      <c r="N28" s="6">
        <f t="shared" si="3"/>
        <v>-0.61352499999999999</v>
      </c>
      <c r="O28" s="11"/>
      <c r="P28" s="7">
        <v>1287.6300000000001</v>
      </c>
      <c r="Q28" s="2"/>
      <c r="R28" s="6">
        <f t="shared" si="4"/>
        <v>0</v>
      </c>
      <c r="S28" s="2"/>
      <c r="T28" s="7">
        <v>2450</v>
      </c>
      <c r="U28" s="2"/>
      <c r="V28" s="6">
        <f t="shared" si="5"/>
        <v>0</v>
      </c>
      <c r="W28" s="2"/>
      <c r="X28" s="7">
        <f t="shared" si="6"/>
        <v>-1162.3699999999999</v>
      </c>
      <c r="Y28" s="2"/>
      <c r="Z28" s="6">
        <f t="shared" si="7"/>
        <v>-0.47443673469387748</v>
      </c>
    </row>
    <row r="29" spans="1:26" s="28" customFormat="1" outlineLevel="1" collapsed="1" x14ac:dyDescent="0.3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70363.490000000005</v>
      </c>
      <c r="E29" s="1"/>
      <c r="F29" s="5">
        <f t="shared" ref="F29:F39" si="8">IF(D$12=0,0,D29/D$12)</f>
        <v>0</v>
      </c>
      <c r="G29" s="1"/>
      <c r="H29" s="1">
        <f>SUM(OSRRefH22_1x_0)</f>
        <v>29317.923076923111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41045.566923076898</v>
      </c>
      <c r="M29" s="1"/>
      <c r="N29" s="5">
        <f t="shared" ref="N29:N39" si="11">IF(H29=0,0,L29/H29)</f>
        <v>1.4000161885745896</v>
      </c>
      <c r="O29" s="14"/>
      <c r="P29" s="1">
        <f>SUM(OSRRefP22_1x_0)</f>
        <v>148040.48000000001</v>
      </c>
      <c r="Q29" s="1"/>
      <c r="R29" s="5">
        <f t="shared" ref="R29:R39" si="12">IF(P$12=0,0,P29/P$12)</f>
        <v>0</v>
      </c>
      <c r="S29" s="1"/>
      <c r="T29" s="1">
        <f>SUM(OSRRefT22_1x_0)</f>
        <v>153587.2769230766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-5546.7969230765884</v>
      </c>
      <c r="Y29" s="1"/>
      <c r="Z29" s="5">
        <f t="shared" ref="Z29:Z39" si="15">IF(T29=0,0,X29/T29)</f>
        <v>-3.6114950627418659E-2</v>
      </c>
    </row>
    <row r="30" spans="1:26" s="24" customFormat="1" hidden="1" outlineLevel="2" x14ac:dyDescent="0.3">
      <c r="A30" s="27"/>
      <c r="B30" s="11" t="str">
        <f>CONCATENATE("          ", "6001", " - ", "ADMINISTRATIVE SALARIES")</f>
        <v xml:space="preserve">          6001 - ADMINISTRATIVE SALARIES</v>
      </c>
      <c r="C30" s="11"/>
      <c r="D30" s="7">
        <v>64507.39</v>
      </c>
      <c r="E30" s="2"/>
      <c r="F30" s="6">
        <f t="shared" si="8"/>
        <v>0</v>
      </c>
      <c r="G30" s="2"/>
      <c r="H30" s="7">
        <v>23486.538461538501</v>
      </c>
      <c r="I30" s="2"/>
      <c r="J30" s="6">
        <f t="shared" si="9"/>
        <v>0</v>
      </c>
      <c r="K30" s="2"/>
      <c r="L30" s="7">
        <f t="shared" si="10"/>
        <v>41020.851538461502</v>
      </c>
      <c r="M30" s="2"/>
      <c r="N30" s="6">
        <f t="shared" si="11"/>
        <v>1.7465686399737939</v>
      </c>
      <c r="O30" s="11"/>
      <c r="P30" s="7">
        <v>114381.7</v>
      </c>
      <c r="Q30" s="2"/>
      <c r="R30" s="6">
        <f t="shared" si="12"/>
        <v>0</v>
      </c>
      <c r="S30" s="2"/>
      <c r="T30" s="7">
        <v>117432.69230769201</v>
      </c>
      <c r="U30" s="2"/>
      <c r="V30" s="6">
        <f t="shared" si="13"/>
        <v>0</v>
      </c>
      <c r="W30" s="2"/>
      <c r="X30" s="7">
        <f t="shared" si="14"/>
        <v>-3050.9923076920095</v>
      </c>
      <c r="Y30" s="2"/>
      <c r="Z30" s="6">
        <f t="shared" si="15"/>
        <v>-2.598077458445671E-2</v>
      </c>
    </row>
    <row r="31" spans="1:26" s="24" customFormat="1" hidden="1" outlineLevel="2" x14ac:dyDescent="0.3">
      <c r="A31" s="27"/>
      <c r="B31" s="11" t="str">
        <f>CONCATENATE("          ", "6002", " - ", "STAFF SALARIES")</f>
        <v xml:space="preserve">          6002 - STAFF SALARIES</v>
      </c>
      <c r="C31" s="11"/>
      <c r="D31" s="7">
        <v>5856.1</v>
      </c>
      <c r="E31" s="2"/>
      <c r="F31" s="6">
        <f t="shared" si="8"/>
        <v>0</v>
      </c>
      <c r="G31" s="2"/>
      <c r="H31" s="7">
        <v>5831.3846153846098</v>
      </c>
      <c r="I31" s="2"/>
      <c r="J31" s="6">
        <f t="shared" si="9"/>
        <v>0</v>
      </c>
      <c r="K31" s="2"/>
      <c r="L31" s="7">
        <f t="shared" si="10"/>
        <v>24.715384615390576</v>
      </c>
      <c r="M31" s="2"/>
      <c r="N31" s="6">
        <f t="shared" si="11"/>
        <v>4.238338961588194E-3</v>
      </c>
      <c r="O31" s="11"/>
      <c r="P31" s="7">
        <v>33599.56</v>
      </c>
      <c r="Q31" s="2"/>
      <c r="R31" s="6">
        <f t="shared" si="12"/>
        <v>0</v>
      </c>
      <c r="S31" s="2"/>
      <c r="T31" s="7">
        <v>36154.5846153846</v>
      </c>
      <c r="U31" s="2"/>
      <c r="V31" s="6">
        <f t="shared" si="13"/>
        <v>0</v>
      </c>
      <c r="W31" s="2"/>
      <c r="X31" s="7">
        <f t="shared" si="14"/>
        <v>-2555.0246153846019</v>
      </c>
      <c r="Y31" s="2"/>
      <c r="Z31" s="6">
        <f t="shared" si="15"/>
        <v>-7.0669450155911362E-2</v>
      </c>
    </row>
    <row r="32" spans="1:26" s="24" customFormat="1" hidden="1" outlineLevel="2" x14ac:dyDescent="0.3">
      <c r="A32" s="27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3">
      <c r="A33" s="27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3">
      <c r="A34" s="27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3">
      <c r="A35" s="27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3">
      <c r="A36" s="27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>
        <v>59.22</v>
      </c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59.22</v>
      </c>
      <c r="Y36" s="2"/>
      <c r="Z36" s="6">
        <f t="shared" si="15"/>
        <v>0</v>
      </c>
    </row>
    <row r="37" spans="1:26" s="24" customFormat="1" hidden="1" outlineLevel="2" x14ac:dyDescent="0.3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3">
      <c r="A38" s="27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3">
      <c r="A39" s="27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3">
      <c r="A40" s="29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57" si="16">IF(D$12=0,0,D40/D$12)</f>
        <v>0</v>
      </c>
      <c r="G40" s="1"/>
      <c r="H40" s="1">
        <f>SUM(OSRRefH22_2x_0)</f>
        <v>250</v>
      </c>
      <c r="I40" s="1"/>
      <c r="J40" s="5">
        <f t="shared" ref="J40:J57" si="17">IF(H$12=0,0,H40/H$12)</f>
        <v>0</v>
      </c>
      <c r="K40" s="1"/>
      <c r="L40" s="1">
        <f t="shared" ref="L40:L57" si="18">+D40-H40</f>
        <v>-250</v>
      </c>
      <c r="M40" s="1"/>
      <c r="N40" s="5">
        <f t="shared" ref="N40:N57" si="19">IF(H40=0,0,L40/H40)</f>
        <v>-1</v>
      </c>
      <c r="O40" s="14"/>
      <c r="P40" s="1">
        <f>SUM(OSRRefP22_2x_0)</f>
        <v>1967.41</v>
      </c>
      <c r="Q40" s="1"/>
      <c r="R40" s="5">
        <f t="shared" ref="R40:R57" si="20">IF(P$12=0,0,P40/P$12)</f>
        <v>0</v>
      </c>
      <c r="S40" s="1"/>
      <c r="T40" s="1">
        <f>SUM(OSRRefT22_2x_0)</f>
        <v>1350</v>
      </c>
      <c r="U40" s="1"/>
      <c r="V40" s="5">
        <f t="shared" ref="V40:V57" si="21">IF(T$12=0,0,T40/T$12)</f>
        <v>0</v>
      </c>
      <c r="W40" s="1"/>
      <c r="X40" s="1">
        <f t="shared" ref="X40:X57" si="22">+P40-T40</f>
        <v>617.41000000000008</v>
      </c>
      <c r="Y40" s="1"/>
      <c r="Z40" s="5">
        <f t="shared" ref="Z40:Z57" si="23">IF(T40=0,0,X40/T40)</f>
        <v>0.45734074074074083</v>
      </c>
    </row>
    <row r="41" spans="1:26" s="24" customFormat="1" hidden="1" outlineLevel="2" x14ac:dyDescent="0.3">
      <c r="A41" s="27"/>
      <c r="B41" s="11" t="str">
        <f>CONCATENATE("          ", "6362", " - ", "ADVERTISING EXPENSE")</f>
        <v xml:space="preserve">          6362 - ADVERTISING EXPENSE</v>
      </c>
      <c r="C41" s="11"/>
      <c r="D41" s="7"/>
      <c r="E41" s="2"/>
      <c r="F41" s="6">
        <f t="shared" si="16"/>
        <v>0</v>
      </c>
      <c r="G41" s="2"/>
      <c r="H41" s="7">
        <v>250</v>
      </c>
      <c r="I41" s="2"/>
      <c r="J41" s="6">
        <f t="shared" si="17"/>
        <v>0</v>
      </c>
      <c r="K41" s="2"/>
      <c r="L41" s="7">
        <f t="shared" si="18"/>
        <v>-250</v>
      </c>
      <c r="M41" s="2"/>
      <c r="N41" s="6">
        <f t="shared" si="19"/>
        <v>-1</v>
      </c>
      <c r="O41" s="11"/>
      <c r="P41" s="7">
        <v>1967.41</v>
      </c>
      <c r="Q41" s="2"/>
      <c r="R41" s="6">
        <f t="shared" si="20"/>
        <v>0</v>
      </c>
      <c r="S41" s="2"/>
      <c r="T41" s="7">
        <v>1350</v>
      </c>
      <c r="U41" s="2"/>
      <c r="V41" s="6">
        <f t="shared" si="21"/>
        <v>0</v>
      </c>
      <c r="W41" s="2"/>
      <c r="X41" s="7">
        <f t="shared" si="22"/>
        <v>617.41000000000008</v>
      </c>
      <c r="Y41" s="2"/>
      <c r="Z41" s="6">
        <f t="shared" si="23"/>
        <v>0.45734074074074083</v>
      </c>
    </row>
    <row r="42" spans="1:26" s="28" customFormat="1" outlineLevel="1" collapsed="1" x14ac:dyDescent="0.3">
      <c r="A42" s="29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SUM(OSRRefD22_3x_0)</f>
        <v>314.87</v>
      </c>
      <c r="E42" s="1"/>
      <c r="F42" s="5">
        <f t="shared" si="16"/>
        <v>0</v>
      </c>
      <c r="G42" s="1"/>
      <c r="H42" s="1">
        <f>SUM(OSRRefH22_3x_0)</f>
        <v>315</v>
      </c>
      <c r="I42" s="1"/>
      <c r="J42" s="5">
        <f t="shared" si="17"/>
        <v>0</v>
      </c>
      <c r="K42" s="1"/>
      <c r="L42" s="1">
        <f t="shared" si="18"/>
        <v>-0.12999999999999545</v>
      </c>
      <c r="M42" s="1"/>
      <c r="N42" s="5">
        <f t="shared" si="19"/>
        <v>-4.1269841269839827E-4</v>
      </c>
      <c r="O42" s="14"/>
      <c r="P42" s="1">
        <f>SUM(OSRRefP22_3x_0)</f>
        <v>2204.09</v>
      </c>
      <c r="Q42" s="1"/>
      <c r="R42" s="5">
        <f t="shared" si="20"/>
        <v>0</v>
      </c>
      <c r="S42" s="1"/>
      <c r="T42" s="1">
        <f>SUM(OSRRefT22_3x_0)</f>
        <v>2205</v>
      </c>
      <c r="U42" s="1"/>
      <c r="V42" s="5">
        <f t="shared" si="21"/>
        <v>0</v>
      </c>
      <c r="W42" s="1"/>
      <c r="X42" s="1">
        <f t="shared" si="22"/>
        <v>-0.90999999999985448</v>
      </c>
      <c r="Y42" s="1"/>
      <c r="Z42" s="5">
        <f t="shared" si="23"/>
        <v>-4.1269841269834671E-4</v>
      </c>
    </row>
    <row r="43" spans="1:26" s="24" customFormat="1" hidden="1" outlineLevel="2" x14ac:dyDescent="0.3">
      <c r="A43" s="27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314.87</v>
      </c>
      <c r="E43" s="2"/>
      <c r="F43" s="6">
        <f t="shared" si="16"/>
        <v>0</v>
      </c>
      <c r="G43" s="2"/>
      <c r="H43" s="7">
        <v>315</v>
      </c>
      <c r="I43" s="2"/>
      <c r="J43" s="6">
        <f t="shared" si="17"/>
        <v>0</v>
      </c>
      <c r="K43" s="2"/>
      <c r="L43" s="7">
        <f t="shared" si="18"/>
        <v>-0.12999999999999545</v>
      </c>
      <c r="M43" s="2"/>
      <c r="N43" s="6">
        <f t="shared" si="19"/>
        <v>-4.1269841269839827E-4</v>
      </c>
      <c r="O43" s="11"/>
      <c r="P43" s="7">
        <v>2204.09</v>
      </c>
      <c r="Q43" s="2"/>
      <c r="R43" s="6">
        <f t="shared" si="20"/>
        <v>0</v>
      </c>
      <c r="S43" s="2"/>
      <c r="T43" s="7">
        <v>2205</v>
      </c>
      <c r="U43" s="2"/>
      <c r="V43" s="6">
        <f t="shared" si="21"/>
        <v>0</v>
      </c>
      <c r="W43" s="2"/>
      <c r="X43" s="7">
        <f t="shared" si="22"/>
        <v>-0.90999999999985448</v>
      </c>
      <c r="Y43" s="2"/>
      <c r="Z43" s="6">
        <f t="shared" si="23"/>
        <v>-4.1269841269834671E-4</v>
      </c>
    </row>
    <row r="44" spans="1:26" s="28" customFormat="1" outlineLevel="1" collapsed="1" x14ac:dyDescent="0.3">
      <c r="A44" s="29"/>
      <c r="B44" s="14" t="str">
        <f>CONCATENATE("     ","Donations                                         ")</f>
        <v xml:space="preserve">     Donations                                         </v>
      </c>
      <c r="C44" s="14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10000</v>
      </c>
      <c r="I44" s="1"/>
      <c r="J44" s="5">
        <f t="shared" si="17"/>
        <v>0</v>
      </c>
      <c r="K44" s="1"/>
      <c r="L44" s="1">
        <f t="shared" si="18"/>
        <v>-10000</v>
      </c>
      <c r="M44" s="1"/>
      <c r="N44" s="5">
        <f t="shared" si="19"/>
        <v>-1</v>
      </c>
      <c r="O44" s="14"/>
      <c r="P44" s="1">
        <f>SUM(OSRRefP22_4x_0)</f>
        <v>25300</v>
      </c>
      <c r="Q44" s="1"/>
      <c r="R44" s="5">
        <f t="shared" si="20"/>
        <v>0</v>
      </c>
      <c r="S44" s="1"/>
      <c r="T44" s="1">
        <f>SUM(OSRRefT22_4x_0)</f>
        <v>52450</v>
      </c>
      <c r="U44" s="1"/>
      <c r="V44" s="5">
        <f t="shared" si="21"/>
        <v>0</v>
      </c>
      <c r="W44" s="1"/>
      <c r="X44" s="1">
        <f t="shared" si="22"/>
        <v>-27150</v>
      </c>
      <c r="Y44" s="1"/>
      <c r="Z44" s="5">
        <f t="shared" si="23"/>
        <v>-0.5176358436606292</v>
      </c>
    </row>
    <row r="45" spans="1:26" s="24" customFormat="1" hidden="1" outlineLevel="2" x14ac:dyDescent="0.3">
      <c r="A45" s="27"/>
      <c r="B45" s="11" t="str">
        <f>CONCATENATE("          ", "6399", " - ", "DONATION-ON CAMPUS")</f>
        <v xml:space="preserve">          6399 - DONATION-ON CAMPUS</v>
      </c>
      <c r="C45" s="11"/>
      <c r="D45" s="7"/>
      <c r="E45" s="2"/>
      <c r="F45" s="6">
        <f t="shared" si="16"/>
        <v>0</v>
      </c>
      <c r="G45" s="2"/>
      <c r="H45" s="7">
        <v>10000</v>
      </c>
      <c r="I45" s="2"/>
      <c r="J45" s="6">
        <f t="shared" si="17"/>
        <v>0</v>
      </c>
      <c r="K45" s="2"/>
      <c r="L45" s="7">
        <f t="shared" si="18"/>
        <v>-10000</v>
      </c>
      <c r="M45" s="2"/>
      <c r="N45" s="6">
        <f t="shared" si="19"/>
        <v>-1</v>
      </c>
      <c r="O45" s="11"/>
      <c r="P45" s="7">
        <v>25300</v>
      </c>
      <c r="Q45" s="2"/>
      <c r="R45" s="6">
        <f t="shared" si="20"/>
        <v>0</v>
      </c>
      <c r="S45" s="2"/>
      <c r="T45" s="7">
        <v>52450</v>
      </c>
      <c r="U45" s="2"/>
      <c r="V45" s="6">
        <f t="shared" si="21"/>
        <v>0</v>
      </c>
      <c r="W45" s="2"/>
      <c r="X45" s="7">
        <f t="shared" si="22"/>
        <v>-27150</v>
      </c>
      <c r="Y45" s="2"/>
      <c r="Z45" s="6">
        <f t="shared" si="23"/>
        <v>-0.5176358436606292</v>
      </c>
    </row>
    <row r="46" spans="1:26" s="28" customFormat="1" outlineLevel="1" collapsed="1" x14ac:dyDescent="0.3">
      <c r="A46" s="29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SUM(OSRRefD22_5x_0)</f>
        <v>635.58000000000004</v>
      </c>
      <c r="E46" s="1"/>
      <c r="F46" s="5">
        <f t="shared" si="16"/>
        <v>0</v>
      </c>
      <c r="G46" s="1"/>
      <c r="H46" s="1">
        <f>SUM(OSRRefH22_5x_0)</f>
        <v>0</v>
      </c>
      <c r="I46" s="1"/>
      <c r="J46" s="5">
        <f t="shared" si="17"/>
        <v>0</v>
      </c>
      <c r="K46" s="1"/>
      <c r="L46" s="1">
        <f t="shared" si="18"/>
        <v>635.58000000000004</v>
      </c>
      <c r="M46" s="1"/>
      <c r="N46" s="5">
        <f t="shared" si="19"/>
        <v>0</v>
      </c>
      <c r="O46" s="14"/>
      <c r="P46" s="1">
        <f>SUM(OSRRefP22_5x_0)</f>
        <v>635.58000000000004</v>
      </c>
      <c r="Q46" s="1"/>
      <c r="R46" s="5">
        <f t="shared" si="20"/>
        <v>0</v>
      </c>
      <c r="S46" s="1"/>
      <c r="T46" s="1">
        <f>SUM(OSRRefT22_5x_0)</f>
        <v>3000</v>
      </c>
      <c r="U46" s="1"/>
      <c r="V46" s="5">
        <f t="shared" si="21"/>
        <v>0</v>
      </c>
      <c r="W46" s="1"/>
      <c r="X46" s="1">
        <f t="shared" si="22"/>
        <v>-2364.42</v>
      </c>
      <c r="Y46" s="1"/>
      <c r="Z46" s="5">
        <f t="shared" si="23"/>
        <v>-0.78814000000000006</v>
      </c>
    </row>
    <row r="47" spans="1:26" s="24" customFormat="1" hidden="1" outlineLevel="2" x14ac:dyDescent="0.3">
      <c r="A47" s="27"/>
      <c r="B47" s="11" t="str">
        <f>CONCATENATE("          ", "6277", " - ", "EMPLOYEE APPRECIATION")</f>
        <v xml:space="preserve">          6277 - EMPLOYEE APPRECIATION</v>
      </c>
      <c r="C47" s="11"/>
      <c r="D47" s="7">
        <v>635.58000000000004</v>
      </c>
      <c r="E47" s="2"/>
      <c r="F47" s="6">
        <f t="shared" si="16"/>
        <v>0</v>
      </c>
      <c r="G47" s="2"/>
      <c r="H47" s="7"/>
      <c r="I47" s="2"/>
      <c r="J47" s="6">
        <f t="shared" si="17"/>
        <v>0</v>
      </c>
      <c r="K47" s="2"/>
      <c r="L47" s="7">
        <f t="shared" si="18"/>
        <v>635.58000000000004</v>
      </c>
      <c r="M47" s="2"/>
      <c r="N47" s="6">
        <f t="shared" si="19"/>
        <v>0</v>
      </c>
      <c r="O47" s="11"/>
      <c r="P47" s="7">
        <v>635.58000000000004</v>
      </c>
      <c r="Q47" s="2"/>
      <c r="R47" s="6">
        <f t="shared" si="20"/>
        <v>0</v>
      </c>
      <c r="S47" s="2"/>
      <c r="T47" s="7">
        <v>3000</v>
      </c>
      <c r="U47" s="2"/>
      <c r="V47" s="6">
        <f t="shared" si="21"/>
        <v>0</v>
      </c>
      <c r="W47" s="2"/>
      <c r="X47" s="7">
        <f t="shared" si="22"/>
        <v>-2364.42</v>
      </c>
      <c r="Y47" s="2"/>
      <c r="Z47" s="6">
        <f t="shared" si="23"/>
        <v>-0.78814000000000006</v>
      </c>
    </row>
    <row r="48" spans="1:26" s="28" customFormat="1" outlineLevel="1" collapsed="1" x14ac:dyDescent="0.3">
      <c r="A48" s="29"/>
      <c r="B48" s="14" t="str">
        <f>CONCATENATE("     ","Equipment Rental                                  ")</f>
        <v xml:space="preserve">     Equipment Rental                                  </v>
      </c>
      <c r="C48" s="14"/>
      <c r="D48" s="1">
        <f>SUM(OSRRefD22_6x_0)</f>
        <v>117.71</v>
      </c>
      <c r="E48" s="1"/>
      <c r="F48" s="5">
        <f t="shared" si="16"/>
        <v>0</v>
      </c>
      <c r="G48" s="1"/>
      <c r="H48" s="1">
        <f>SUM(OSRRefH22_6x_0)</f>
        <v>118</v>
      </c>
      <c r="I48" s="1"/>
      <c r="J48" s="5">
        <f t="shared" si="17"/>
        <v>0</v>
      </c>
      <c r="K48" s="1"/>
      <c r="L48" s="1">
        <f t="shared" si="18"/>
        <v>-0.29000000000000625</v>
      </c>
      <c r="M48" s="1"/>
      <c r="N48" s="5">
        <f t="shared" si="19"/>
        <v>-2.457627118644121E-3</v>
      </c>
      <c r="O48" s="14"/>
      <c r="P48" s="1">
        <f>SUM(OSRRefP22_6x_0)</f>
        <v>823.97</v>
      </c>
      <c r="Q48" s="1"/>
      <c r="R48" s="5">
        <f t="shared" si="20"/>
        <v>0</v>
      </c>
      <c r="S48" s="1"/>
      <c r="T48" s="1">
        <f>SUM(OSRRefT22_6x_0)</f>
        <v>826</v>
      </c>
      <c r="U48" s="1"/>
      <c r="V48" s="5">
        <f t="shared" si="21"/>
        <v>0</v>
      </c>
      <c r="W48" s="1"/>
      <c r="X48" s="1">
        <f t="shared" si="22"/>
        <v>-2.0299999999999727</v>
      </c>
      <c r="Y48" s="1"/>
      <c r="Z48" s="5">
        <f t="shared" si="23"/>
        <v>-2.4576271186440347E-3</v>
      </c>
    </row>
    <row r="49" spans="1:26" s="24" customFormat="1" hidden="1" outlineLevel="2" x14ac:dyDescent="0.3">
      <c r="A49" s="27"/>
      <c r="B49" s="11" t="str">
        <f>CONCATENATE("          ", "6351", " - ", "EQUIPMENT RENTAL")</f>
        <v xml:space="preserve">          6351 - EQUIPMENT RENTAL</v>
      </c>
      <c r="C49" s="11"/>
      <c r="D49" s="7">
        <v>117.71</v>
      </c>
      <c r="E49" s="2"/>
      <c r="F49" s="6">
        <f t="shared" si="16"/>
        <v>0</v>
      </c>
      <c r="G49" s="2"/>
      <c r="H49" s="7">
        <v>118</v>
      </c>
      <c r="I49" s="2"/>
      <c r="J49" s="6">
        <f t="shared" si="17"/>
        <v>0</v>
      </c>
      <c r="K49" s="2"/>
      <c r="L49" s="7">
        <f t="shared" si="18"/>
        <v>-0.29000000000000625</v>
      </c>
      <c r="M49" s="2"/>
      <c r="N49" s="6">
        <f t="shared" si="19"/>
        <v>-2.457627118644121E-3</v>
      </c>
      <c r="O49" s="11"/>
      <c r="P49" s="7">
        <v>823.97</v>
      </c>
      <c r="Q49" s="2"/>
      <c r="R49" s="6">
        <f t="shared" si="20"/>
        <v>0</v>
      </c>
      <c r="S49" s="2"/>
      <c r="T49" s="7">
        <v>826</v>
      </c>
      <c r="U49" s="2"/>
      <c r="V49" s="6">
        <f t="shared" si="21"/>
        <v>0</v>
      </c>
      <c r="W49" s="2"/>
      <c r="X49" s="7">
        <f t="shared" si="22"/>
        <v>-2.0299999999999727</v>
      </c>
      <c r="Y49" s="2"/>
      <c r="Z49" s="6">
        <f t="shared" si="23"/>
        <v>-2.4576271186440347E-3</v>
      </c>
    </row>
    <row r="50" spans="1:26" s="28" customFormat="1" outlineLevel="1" collapsed="1" x14ac:dyDescent="0.3">
      <c r="A50" s="29"/>
      <c r="B50" s="14" t="str">
        <f>CONCATENATE("     ","Freight out/Postage                               ")</f>
        <v xml:space="preserve">     Freight out/Postage                               </v>
      </c>
      <c r="C50" s="14"/>
      <c r="D50" s="1">
        <f>SUM(OSRRefD22_7x_0)</f>
        <v>0</v>
      </c>
      <c r="E50" s="1"/>
      <c r="F50" s="5">
        <f t="shared" si="16"/>
        <v>0</v>
      </c>
      <c r="G50" s="1"/>
      <c r="H50" s="1">
        <f>SUM(OSRRefH22_7x_0)</f>
        <v>25</v>
      </c>
      <c r="I50" s="1"/>
      <c r="J50" s="5">
        <f t="shared" si="17"/>
        <v>0</v>
      </c>
      <c r="K50" s="1"/>
      <c r="L50" s="1">
        <f t="shared" si="18"/>
        <v>-25</v>
      </c>
      <c r="M50" s="1"/>
      <c r="N50" s="5">
        <f t="shared" si="19"/>
        <v>-1</v>
      </c>
      <c r="O50" s="14"/>
      <c r="P50" s="1">
        <f>SUM(OSRRefP22_7x_0)</f>
        <v>29.52</v>
      </c>
      <c r="Q50" s="1"/>
      <c r="R50" s="5">
        <f t="shared" si="20"/>
        <v>0</v>
      </c>
      <c r="S50" s="1"/>
      <c r="T50" s="1">
        <f>SUM(OSRRefT22_7x_0)</f>
        <v>550</v>
      </c>
      <c r="U50" s="1"/>
      <c r="V50" s="5">
        <f t="shared" si="21"/>
        <v>0</v>
      </c>
      <c r="W50" s="1"/>
      <c r="X50" s="1">
        <f t="shared" si="22"/>
        <v>-520.48</v>
      </c>
      <c r="Y50" s="1"/>
      <c r="Z50" s="5">
        <f t="shared" si="23"/>
        <v>-0.94632727272727279</v>
      </c>
    </row>
    <row r="51" spans="1:26" s="24" customFormat="1" hidden="1" outlineLevel="2" x14ac:dyDescent="0.3">
      <c r="A51" s="27"/>
      <c r="B51" s="11" t="str">
        <f>CONCATENATE("          ", "6307", " - ", "POSTAGE")</f>
        <v xml:space="preserve">          6307 - POSTAGE</v>
      </c>
      <c r="C51" s="11"/>
      <c r="D51" s="7"/>
      <c r="E51" s="2"/>
      <c r="F51" s="6">
        <f t="shared" si="16"/>
        <v>0</v>
      </c>
      <c r="G51" s="2"/>
      <c r="H51" s="7">
        <v>25</v>
      </c>
      <c r="I51" s="2"/>
      <c r="J51" s="6">
        <f t="shared" si="17"/>
        <v>0</v>
      </c>
      <c r="K51" s="2"/>
      <c r="L51" s="7">
        <f t="shared" si="18"/>
        <v>-25</v>
      </c>
      <c r="M51" s="2"/>
      <c r="N51" s="6">
        <f t="shared" si="19"/>
        <v>-1</v>
      </c>
      <c r="O51" s="11"/>
      <c r="P51" s="7">
        <v>29.52</v>
      </c>
      <c r="Q51" s="2"/>
      <c r="R51" s="6">
        <f t="shared" si="20"/>
        <v>0</v>
      </c>
      <c r="S51" s="2"/>
      <c r="T51" s="7">
        <v>550</v>
      </c>
      <c r="U51" s="2"/>
      <c r="V51" s="6">
        <f t="shared" si="21"/>
        <v>0</v>
      </c>
      <c r="W51" s="2"/>
      <c r="X51" s="7">
        <f t="shared" si="22"/>
        <v>-520.48</v>
      </c>
      <c r="Y51" s="2"/>
      <c r="Z51" s="6">
        <f t="shared" si="23"/>
        <v>-0.94632727272727279</v>
      </c>
    </row>
    <row r="52" spans="1:26" s="28" customFormat="1" outlineLevel="1" collapsed="1" x14ac:dyDescent="0.3">
      <c r="A52" s="29"/>
      <c r="B52" s="14" t="str">
        <f>CONCATENATE("     ","Insurance                                         ")</f>
        <v xml:space="preserve">     Insurance                                         </v>
      </c>
      <c r="C52" s="14"/>
      <c r="D52" s="1">
        <f>SUM(OSRRefD22_8x_0)</f>
        <v>156.47999999999999</v>
      </c>
      <c r="E52" s="1"/>
      <c r="F52" s="5">
        <f t="shared" si="16"/>
        <v>0</v>
      </c>
      <c r="G52" s="1"/>
      <c r="H52" s="1">
        <f>SUM(OSRRefH22_8x_0)</f>
        <v>150</v>
      </c>
      <c r="I52" s="1"/>
      <c r="J52" s="5">
        <f t="shared" si="17"/>
        <v>0</v>
      </c>
      <c r="K52" s="1"/>
      <c r="L52" s="1">
        <f t="shared" si="18"/>
        <v>6.4799999999999898</v>
      </c>
      <c r="M52" s="1"/>
      <c r="N52" s="5">
        <f t="shared" si="19"/>
        <v>4.3199999999999933E-2</v>
      </c>
      <c r="O52" s="14"/>
      <c r="P52" s="1">
        <f>SUM(OSRRefP22_8x_0)</f>
        <v>1095.3599999999999</v>
      </c>
      <c r="Q52" s="1"/>
      <c r="R52" s="5">
        <f t="shared" si="20"/>
        <v>0</v>
      </c>
      <c r="S52" s="1"/>
      <c r="T52" s="1">
        <f>SUM(OSRRefT22_8x_0)</f>
        <v>1050</v>
      </c>
      <c r="U52" s="1"/>
      <c r="V52" s="5">
        <f t="shared" si="21"/>
        <v>0</v>
      </c>
      <c r="W52" s="1"/>
      <c r="X52" s="1">
        <f t="shared" si="22"/>
        <v>45.3599999999999</v>
      </c>
      <c r="Y52" s="1"/>
      <c r="Z52" s="5">
        <f t="shared" si="23"/>
        <v>4.3199999999999905E-2</v>
      </c>
    </row>
    <row r="53" spans="1:26" s="24" customFormat="1" hidden="1" outlineLevel="2" x14ac:dyDescent="0.3">
      <c r="A53" s="27"/>
      <c r="B53" s="11" t="str">
        <f>CONCATENATE("          ", "6314", " - ", "LIABILITY INSURANCE")</f>
        <v xml:space="preserve">          6314 - LIABILITY INSURANCE</v>
      </c>
      <c r="C53" s="11"/>
      <c r="D53" s="7">
        <v>156.47999999999999</v>
      </c>
      <c r="E53" s="2"/>
      <c r="F53" s="6">
        <f t="shared" si="16"/>
        <v>0</v>
      </c>
      <c r="G53" s="2"/>
      <c r="H53" s="7">
        <v>150</v>
      </c>
      <c r="I53" s="2"/>
      <c r="J53" s="6">
        <f t="shared" si="17"/>
        <v>0</v>
      </c>
      <c r="K53" s="2"/>
      <c r="L53" s="7">
        <f t="shared" si="18"/>
        <v>6.4799999999999898</v>
      </c>
      <c r="M53" s="2"/>
      <c r="N53" s="6">
        <f t="shared" si="19"/>
        <v>4.3199999999999933E-2</v>
      </c>
      <c r="O53" s="11"/>
      <c r="P53" s="7">
        <v>1095.3599999999999</v>
      </c>
      <c r="Q53" s="2"/>
      <c r="R53" s="6">
        <f t="shared" si="20"/>
        <v>0</v>
      </c>
      <c r="S53" s="2"/>
      <c r="T53" s="7">
        <v>1050</v>
      </c>
      <c r="U53" s="2"/>
      <c r="V53" s="6">
        <f t="shared" si="21"/>
        <v>0</v>
      </c>
      <c r="W53" s="2"/>
      <c r="X53" s="7">
        <f t="shared" si="22"/>
        <v>45.3599999999999</v>
      </c>
      <c r="Y53" s="2"/>
      <c r="Z53" s="6">
        <f t="shared" si="23"/>
        <v>4.3199999999999905E-2</v>
      </c>
    </row>
    <row r="54" spans="1:26" s="28" customFormat="1" outlineLevel="1" collapsed="1" x14ac:dyDescent="0.3">
      <c r="A54" s="29"/>
      <c r="B54" s="14" t="str">
        <f>CONCATENATE("     ","Professional Services                             ")</f>
        <v xml:space="preserve">     Professional Services                             </v>
      </c>
      <c r="C54" s="14"/>
      <c r="D54" s="1">
        <f>SUM(OSRRefD22_9x_0)</f>
        <v>0</v>
      </c>
      <c r="E54" s="1"/>
      <c r="F54" s="5">
        <f t="shared" si="16"/>
        <v>0</v>
      </c>
      <c r="G54" s="1"/>
      <c r="H54" s="1">
        <f>SUM(OSRRefH22_9x_0)</f>
        <v>2000</v>
      </c>
      <c r="I54" s="1"/>
      <c r="J54" s="5">
        <f t="shared" si="17"/>
        <v>0</v>
      </c>
      <c r="K54" s="1"/>
      <c r="L54" s="1">
        <f t="shared" si="18"/>
        <v>-2000</v>
      </c>
      <c r="M54" s="1"/>
      <c r="N54" s="5">
        <f t="shared" si="19"/>
        <v>-1</v>
      </c>
      <c r="O54" s="14"/>
      <c r="P54" s="1">
        <f>SUM(OSRRefP22_9x_0)</f>
        <v>51875</v>
      </c>
      <c r="Q54" s="1"/>
      <c r="R54" s="5">
        <f t="shared" si="20"/>
        <v>0</v>
      </c>
      <c r="S54" s="1"/>
      <c r="T54" s="1">
        <f>SUM(OSRRefT22_9x_0)</f>
        <v>58500</v>
      </c>
      <c r="U54" s="1"/>
      <c r="V54" s="5">
        <f t="shared" si="21"/>
        <v>0</v>
      </c>
      <c r="W54" s="1"/>
      <c r="X54" s="1">
        <f t="shared" si="22"/>
        <v>-6625</v>
      </c>
      <c r="Y54" s="1"/>
      <c r="Z54" s="5">
        <f t="shared" si="23"/>
        <v>-0.11324786324786325</v>
      </c>
    </row>
    <row r="55" spans="1:26" s="24" customFormat="1" hidden="1" outlineLevel="2" x14ac:dyDescent="0.3">
      <c r="A55" s="27"/>
      <c r="B55" s="11" t="str">
        <f>CONCATENATE("          ", "6331", " - ", "INDIRECT COSTS-AUXILIARY ORGAN")</f>
        <v xml:space="preserve">          6331 - INDIRECT COSTS-AUXILIARY ORGAN</v>
      </c>
      <c r="C55" s="11"/>
      <c r="D55" s="7"/>
      <c r="E55" s="2"/>
      <c r="F55" s="6">
        <f t="shared" si="16"/>
        <v>0</v>
      </c>
      <c r="G55" s="2"/>
      <c r="H55" s="7">
        <v>2000</v>
      </c>
      <c r="I55" s="2"/>
      <c r="J55" s="6">
        <f t="shared" si="17"/>
        <v>0</v>
      </c>
      <c r="K55" s="2"/>
      <c r="L55" s="7">
        <f t="shared" si="18"/>
        <v>-2000</v>
      </c>
      <c r="M55" s="2"/>
      <c r="N55" s="6">
        <f t="shared" si="19"/>
        <v>-1</v>
      </c>
      <c r="O55" s="11"/>
      <c r="P55" s="7">
        <v>48350</v>
      </c>
      <c r="Q55" s="2"/>
      <c r="R55" s="6">
        <f t="shared" si="20"/>
        <v>0</v>
      </c>
      <c r="S55" s="2"/>
      <c r="T55" s="7">
        <v>51000</v>
      </c>
      <c r="U55" s="2"/>
      <c r="V55" s="6">
        <f t="shared" si="21"/>
        <v>0</v>
      </c>
      <c r="W55" s="2"/>
      <c r="X55" s="7">
        <f t="shared" si="22"/>
        <v>-2650</v>
      </c>
      <c r="Y55" s="2"/>
      <c r="Z55" s="6">
        <f t="shared" si="23"/>
        <v>-5.1960784313725493E-2</v>
      </c>
    </row>
    <row r="56" spans="1:26" s="24" customFormat="1" hidden="1" outlineLevel="2" x14ac:dyDescent="0.3">
      <c r="A56" s="27"/>
      <c r="B56" s="11" t="str">
        <f>CONCATENATE("          ", "6334", " - ", "LEGAL COUNCIL EXPENSE")</f>
        <v xml:space="preserve">          6334 - LEGAL COUNCIL EXPENSE</v>
      </c>
      <c r="C56" s="11"/>
      <c r="D56" s="7"/>
      <c r="E56" s="2"/>
      <c r="F56" s="6">
        <f t="shared" si="16"/>
        <v>0</v>
      </c>
      <c r="G56" s="2"/>
      <c r="H56" s="7"/>
      <c r="I56" s="2"/>
      <c r="J56" s="6">
        <f t="shared" si="17"/>
        <v>0</v>
      </c>
      <c r="K56" s="2"/>
      <c r="L56" s="7">
        <f t="shared" si="18"/>
        <v>0</v>
      </c>
      <c r="M56" s="2"/>
      <c r="N56" s="6">
        <f t="shared" si="19"/>
        <v>0</v>
      </c>
      <c r="O56" s="11"/>
      <c r="P56" s="7">
        <v>200</v>
      </c>
      <c r="Q56" s="2"/>
      <c r="R56" s="6">
        <f t="shared" si="20"/>
        <v>0</v>
      </c>
      <c r="S56" s="2"/>
      <c r="T56" s="7">
        <v>2500</v>
      </c>
      <c r="U56" s="2"/>
      <c r="V56" s="6">
        <f t="shared" si="21"/>
        <v>0</v>
      </c>
      <c r="W56" s="2"/>
      <c r="X56" s="7">
        <f t="shared" si="22"/>
        <v>-2300</v>
      </c>
      <c r="Y56" s="2"/>
      <c r="Z56" s="6">
        <f t="shared" si="23"/>
        <v>-0.92</v>
      </c>
    </row>
    <row r="57" spans="1:26" s="24" customFormat="1" hidden="1" outlineLevel="2" x14ac:dyDescent="0.3">
      <c r="A57" s="27"/>
      <c r="B57" s="11" t="str">
        <f>CONCATENATE("          ", "6336", " - ", "PROFESSIONAL SERVICES")</f>
        <v xml:space="preserve">          6336 - PROFESSIONAL SERVICES</v>
      </c>
      <c r="C57" s="11"/>
      <c r="D57" s="7"/>
      <c r="E57" s="2"/>
      <c r="F57" s="6">
        <f t="shared" si="16"/>
        <v>0</v>
      </c>
      <c r="G57" s="2"/>
      <c r="H57" s="7"/>
      <c r="I57" s="2"/>
      <c r="J57" s="6">
        <f t="shared" si="17"/>
        <v>0</v>
      </c>
      <c r="K57" s="2"/>
      <c r="L57" s="7">
        <f t="shared" si="18"/>
        <v>0</v>
      </c>
      <c r="M57" s="2"/>
      <c r="N57" s="6">
        <f t="shared" si="19"/>
        <v>0</v>
      </c>
      <c r="O57" s="11"/>
      <c r="P57" s="7">
        <v>3325</v>
      </c>
      <c r="Q57" s="2"/>
      <c r="R57" s="6">
        <f t="shared" si="20"/>
        <v>0</v>
      </c>
      <c r="S57" s="2"/>
      <c r="T57" s="7">
        <v>5000</v>
      </c>
      <c r="U57" s="2"/>
      <c r="V57" s="6">
        <f t="shared" si="21"/>
        <v>0</v>
      </c>
      <c r="W57" s="2"/>
      <c r="X57" s="7">
        <f t="shared" si="22"/>
        <v>-1675</v>
      </c>
      <c r="Y57" s="2"/>
      <c r="Z57" s="6">
        <f t="shared" si="23"/>
        <v>-0.33500000000000002</v>
      </c>
    </row>
    <row r="58" spans="1:26" s="28" customFormat="1" outlineLevel="1" collapsed="1" x14ac:dyDescent="0.3">
      <c r="A58" s="29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SUM(OSRRefD22_10x_0)</f>
        <v>2584.37</v>
      </c>
      <c r="E58" s="1"/>
      <c r="F58" s="5">
        <f t="shared" ref="F58:F60" si="24">IF(D$12=0,0,D58/D$12)</f>
        <v>0</v>
      </c>
      <c r="G58" s="1"/>
      <c r="H58" s="1">
        <f>SUM(OSRRefH22_10x_0)</f>
        <v>1530</v>
      </c>
      <c r="I58" s="1"/>
      <c r="J58" s="5">
        <f t="shared" ref="J58:J60" si="25">IF(H$12=0,0,H58/H$12)</f>
        <v>0</v>
      </c>
      <c r="K58" s="1"/>
      <c r="L58" s="1">
        <f t="shared" ref="L58:L60" si="26">+D58-H58</f>
        <v>1054.3699999999999</v>
      </c>
      <c r="M58" s="1"/>
      <c r="N58" s="5">
        <f t="shared" ref="N58:N60" si="27">IF(H58=0,0,L58/H58)</f>
        <v>0.68913071895424827</v>
      </c>
      <c r="O58" s="14"/>
      <c r="P58" s="1">
        <f>SUM(OSRRefP22_10x_0)</f>
        <v>13299.69</v>
      </c>
      <c r="Q58" s="1"/>
      <c r="R58" s="5">
        <f t="shared" ref="R58:R60" si="28">IF(P$12=0,0,P58/P$12)</f>
        <v>0</v>
      </c>
      <c r="S58" s="1"/>
      <c r="T58" s="1">
        <f>SUM(OSRRefT22_10x_0)</f>
        <v>10710</v>
      </c>
      <c r="U58" s="1"/>
      <c r="V58" s="5">
        <f t="shared" ref="V58:V60" si="29">IF(T$12=0,0,T58/T$12)</f>
        <v>0</v>
      </c>
      <c r="W58" s="1"/>
      <c r="X58" s="1">
        <f t="shared" ref="X58:X60" si="30">+P58-T58</f>
        <v>2589.6900000000005</v>
      </c>
      <c r="Y58" s="1"/>
      <c r="Z58" s="5">
        <f t="shared" ref="Z58:Z60" si="31">IF(T58=0,0,X58/T58)</f>
        <v>0.24180112044817931</v>
      </c>
    </row>
    <row r="59" spans="1:26" s="24" customFormat="1" hidden="1" outlineLevel="2" x14ac:dyDescent="0.3">
      <c r="A59" s="27"/>
      <c r="B59" s="11" t="str">
        <f>CONCATENATE("          ", "6373", " - ", "MAINTENANCE CONTRACTS")</f>
        <v xml:space="preserve">          6373 - MAINTENANCE CONTRACTS</v>
      </c>
      <c r="C59" s="11"/>
      <c r="D59" s="7">
        <v>2584.37</v>
      </c>
      <c r="E59" s="2"/>
      <c r="F59" s="6">
        <f t="shared" si="24"/>
        <v>0</v>
      </c>
      <c r="G59" s="2"/>
      <c r="H59" s="7">
        <v>1530</v>
      </c>
      <c r="I59" s="2"/>
      <c r="J59" s="6">
        <f t="shared" si="25"/>
        <v>0</v>
      </c>
      <c r="K59" s="2"/>
      <c r="L59" s="7">
        <f t="shared" si="26"/>
        <v>1054.3699999999999</v>
      </c>
      <c r="M59" s="2"/>
      <c r="N59" s="6">
        <f t="shared" si="27"/>
        <v>0.68913071895424827</v>
      </c>
      <c r="O59" s="11"/>
      <c r="P59" s="7">
        <v>13201.7</v>
      </c>
      <c r="Q59" s="2"/>
      <c r="R59" s="6">
        <f t="shared" si="28"/>
        <v>0</v>
      </c>
      <c r="S59" s="2"/>
      <c r="T59" s="7">
        <v>10710</v>
      </c>
      <c r="U59" s="2"/>
      <c r="V59" s="6">
        <f t="shared" si="29"/>
        <v>0</v>
      </c>
      <c r="W59" s="2"/>
      <c r="X59" s="7">
        <f t="shared" si="30"/>
        <v>2491.7000000000007</v>
      </c>
      <c r="Y59" s="2"/>
      <c r="Z59" s="6">
        <f t="shared" si="31"/>
        <v>0.23265172735760978</v>
      </c>
    </row>
    <row r="60" spans="1:26" s="24" customFormat="1" hidden="1" outlineLevel="2" x14ac:dyDescent="0.3">
      <c r="A60" s="27"/>
      <c r="B60" s="11" t="str">
        <f>CONCATENATE("          ", "6375", " - ", "OUTSIDE REPAIRS &amp; MAINTENANCE")</f>
        <v xml:space="preserve">          6375 - OUTSIDE REPAIRS &amp; MAINTENANCE</v>
      </c>
      <c r="C60" s="11"/>
      <c r="D60" s="7"/>
      <c r="E60" s="2"/>
      <c r="F60" s="6">
        <f t="shared" si="24"/>
        <v>0</v>
      </c>
      <c r="G60" s="2"/>
      <c r="H60" s="7"/>
      <c r="I60" s="2"/>
      <c r="J60" s="6">
        <f t="shared" si="25"/>
        <v>0</v>
      </c>
      <c r="K60" s="2"/>
      <c r="L60" s="7">
        <f t="shared" si="26"/>
        <v>0</v>
      </c>
      <c r="M60" s="2"/>
      <c r="N60" s="6">
        <f t="shared" si="27"/>
        <v>0</v>
      </c>
      <c r="O60" s="11"/>
      <c r="P60" s="7">
        <v>97.99</v>
      </c>
      <c r="Q60" s="2"/>
      <c r="R60" s="6">
        <f t="shared" si="28"/>
        <v>0</v>
      </c>
      <c r="S60" s="2"/>
      <c r="T60" s="7"/>
      <c r="U60" s="2"/>
      <c r="V60" s="6">
        <f t="shared" si="29"/>
        <v>0</v>
      </c>
      <c r="W60" s="2"/>
      <c r="X60" s="7">
        <f t="shared" si="30"/>
        <v>97.99</v>
      </c>
      <c r="Y60" s="2"/>
      <c r="Z60" s="6">
        <f t="shared" si="31"/>
        <v>0</v>
      </c>
    </row>
    <row r="61" spans="1:26" s="28" customFormat="1" outlineLevel="1" collapsed="1" x14ac:dyDescent="0.3">
      <c r="A61" s="29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1">
        <f>SUM(OSRRefD22_11x_0)</f>
        <v>0</v>
      </c>
      <c r="E61" s="1"/>
      <c r="F61" s="5">
        <f t="shared" ref="F61:F65" si="32">IF(D$12=0,0,D61/D$12)</f>
        <v>0</v>
      </c>
      <c r="G61" s="1"/>
      <c r="H61" s="1">
        <f>SUM(OSRRefH22_11x_0)</f>
        <v>0</v>
      </c>
      <c r="I61" s="1"/>
      <c r="J61" s="5">
        <f t="shared" ref="J61:J65" si="33">IF(H$12=0,0,H61/H$12)</f>
        <v>0</v>
      </c>
      <c r="K61" s="1"/>
      <c r="L61" s="1">
        <f t="shared" ref="L61:L65" si="34">+D61-H61</f>
        <v>0</v>
      </c>
      <c r="M61" s="1"/>
      <c r="N61" s="5">
        <f t="shared" ref="N61:N65" si="35">IF(H61=0,0,L61/H61)</f>
        <v>0</v>
      </c>
      <c r="O61" s="14"/>
      <c r="P61" s="1">
        <f>SUM(OSRRefP22_11x_0)</f>
        <v>1000</v>
      </c>
      <c r="Q61" s="1"/>
      <c r="R61" s="5">
        <f t="shared" ref="R61:R65" si="36">IF(P$12=0,0,P61/P$12)</f>
        <v>0</v>
      </c>
      <c r="S61" s="1"/>
      <c r="T61" s="1">
        <f>SUM(OSRRefT22_11x_0)</f>
        <v>1975</v>
      </c>
      <c r="U61" s="1"/>
      <c r="V61" s="5">
        <f t="shared" ref="V61:V65" si="37">IF(T$12=0,0,T61/T$12)</f>
        <v>0</v>
      </c>
      <c r="W61" s="1"/>
      <c r="X61" s="1">
        <f t="shared" ref="X61:X65" si="38">+P61-T61</f>
        <v>-975</v>
      </c>
      <c r="Y61" s="1"/>
      <c r="Z61" s="5">
        <f t="shared" ref="Z61:Z65" si="39">IF(T61=0,0,X61/T61)</f>
        <v>-0.49367088607594939</v>
      </c>
    </row>
    <row r="62" spans="1:26" s="24" customFormat="1" hidden="1" outlineLevel="2" x14ac:dyDescent="0.3">
      <c r="A62" s="27"/>
      <c r="B62" s="11" t="str">
        <f>CONCATENATE("          ", "6258", " - ", "MEMBERSHIP DUES")</f>
        <v xml:space="preserve">          6258 - MEMBERSHIP DUES</v>
      </c>
      <c r="C62" s="11"/>
      <c r="D62" s="7"/>
      <c r="E62" s="2"/>
      <c r="F62" s="6">
        <f t="shared" si="32"/>
        <v>0</v>
      </c>
      <c r="G62" s="2"/>
      <c r="H62" s="7"/>
      <c r="I62" s="2"/>
      <c r="J62" s="6">
        <f t="shared" si="33"/>
        <v>0</v>
      </c>
      <c r="K62" s="2"/>
      <c r="L62" s="7">
        <f t="shared" si="34"/>
        <v>0</v>
      </c>
      <c r="M62" s="2"/>
      <c r="N62" s="6">
        <f t="shared" si="35"/>
        <v>0</v>
      </c>
      <c r="O62" s="11"/>
      <c r="P62" s="7">
        <v>1000</v>
      </c>
      <c r="Q62" s="2"/>
      <c r="R62" s="6">
        <f t="shared" si="36"/>
        <v>0</v>
      </c>
      <c r="S62" s="2"/>
      <c r="T62" s="7">
        <v>1975</v>
      </c>
      <c r="U62" s="2"/>
      <c r="V62" s="6">
        <f t="shared" si="37"/>
        <v>0</v>
      </c>
      <c r="W62" s="2"/>
      <c r="X62" s="7">
        <f t="shared" si="38"/>
        <v>-975</v>
      </c>
      <c r="Y62" s="2"/>
      <c r="Z62" s="6">
        <f t="shared" si="39"/>
        <v>-0.49367088607594939</v>
      </c>
    </row>
    <row r="63" spans="1:26" s="28" customFormat="1" outlineLevel="1" collapsed="1" x14ac:dyDescent="0.3">
      <c r="A63" s="29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SUM(OSRRefD22_12x_0)</f>
        <v>0</v>
      </c>
      <c r="E63" s="1"/>
      <c r="F63" s="5">
        <f t="shared" si="32"/>
        <v>0</v>
      </c>
      <c r="G63" s="1"/>
      <c r="H63" s="1">
        <f>SUM(OSRRefH22_12x_0)</f>
        <v>125</v>
      </c>
      <c r="I63" s="1"/>
      <c r="J63" s="5">
        <f t="shared" si="33"/>
        <v>0</v>
      </c>
      <c r="K63" s="1"/>
      <c r="L63" s="1">
        <f t="shared" si="34"/>
        <v>-125</v>
      </c>
      <c r="M63" s="1"/>
      <c r="N63" s="5">
        <f t="shared" si="35"/>
        <v>-1</v>
      </c>
      <c r="O63" s="14"/>
      <c r="P63" s="1">
        <f>SUM(OSRRefP22_12x_0)</f>
        <v>369.46</v>
      </c>
      <c r="Q63" s="1"/>
      <c r="R63" s="5">
        <f t="shared" si="36"/>
        <v>0</v>
      </c>
      <c r="S63" s="1"/>
      <c r="T63" s="1">
        <f>SUM(OSRRefT22_12x_0)</f>
        <v>875</v>
      </c>
      <c r="U63" s="1"/>
      <c r="V63" s="5">
        <f t="shared" si="37"/>
        <v>0</v>
      </c>
      <c r="W63" s="1"/>
      <c r="X63" s="1">
        <f t="shared" si="38"/>
        <v>-505.54</v>
      </c>
      <c r="Y63" s="1"/>
      <c r="Z63" s="5">
        <f t="shared" si="39"/>
        <v>-0.57776000000000005</v>
      </c>
    </row>
    <row r="64" spans="1:26" s="24" customFormat="1" hidden="1" outlineLevel="2" x14ac:dyDescent="0.3">
      <c r="A64" s="27"/>
      <c r="B64" s="11" t="str">
        <f>CONCATENATE("          ", "6234", " - ", "EXPENDABLE SUPPLIES &amp; EQUIPMEN")</f>
        <v xml:space="preserve">          6234 - EXPENDABLE SUPPLIES &amp; EQUIPMEN</v>
      </c>
      <c r="C64" s="11"/>
      <c r="D64" s="7"/>
      <c r="E64" s="2"/>
      <c r="F64" s="6">
        <f t="shared" si="32"/>
        <v>0</v>
      </c>
      <c r="G64" s="2"/>
      <c r="H64" s="7">
        <v>125</v>
      </c>
      <c r="I64" s="2"/>
      <c r="J64" s="6">
        <f t="shared" si="33"/>
        <v>0</v>
      </c>
      <c r="K64" s="2"/>
      <c r="L64" s="7">
        <f t="shared" si="34"/>
        <v>-125</v>
      </c>
      <c r="M64" s="2"/>
      <c r="N64" s="6">
        <f t="shared" si="35"/>
        <v>-1</v>
      </c>
      <c r="O64" s="11"/>
      <c r="P64" s="7"/>
      <c r="Q64" s="2"/>
      <c r="R64" s="6">
        <f t="shared" si="36"/>
        <v>0</v>
      </c>
      <c r="S64" s="2"/>
      <c r="T64" s="7">
        <v>875</v>
      </c>
      <c r="U64" s="2"/>
      <c r="V64" s="6">
        <f t="shared" si="37"/>
        <v>0</v>
      </c>
      <c r="W64" s="2"/>
      <c r="X64" s="7">
        <f t="shared" si="38"/>
        <v>-875</v>
      </c>
      <c r="Y64" s="2"/>
      <c r="Z64" s="6">
        <f t="shared" si="39"/>
        <v>-1</v>
      </c>
    </row>
    <row r="65" spans="1:26" s="24" customFormat="1" hidden="1" outlineLevel="2" x14ac:dyDescent="0.3">
      <c r="A65" s="27"/>
      <c r="B65" s="11" t="str">
        <f>CONCATENATE("          ", "6241", " - ", "OFFICE EXPENSE")</f>
        <v xml:space="preserve">          6241 - OFFICE EXPENSE</v>
      </c>
      <c r="C65" s="11"/>
      <c r="D65" s="7"/>
      <c r="E65" s="2"/>
      <c r="F65" s="6">
        <f t="shared" si="32"/>
        <v>0</v>
      </c>
      <c r="G65" s="2"/>
      <c r="H65" s="7"/>
      <c r="I65" s="2"/>
      <c r="J65" s="6">
        <f t="shared" si="33"/>
        <v>0</v>
      </c>
      <c r="K65" s="2"/>
      <c r="L65" s="7">
        <f t="shared" si="34"/>
        <v>0</v>
      </c>
      <c r="M65" s="2"/>
      <c r="N65" s="6">
        <f t="shared" si="35"/>
        <v>0</v>
      </c>
      <c r="O65" s="11"/>
      <c r="P65" s="7">
        <v>369.46</v>
      </c>
      <c r="Q65" s="2"/>
      <c r="R65" s="6">
        <f t="shared" si="36"/>
        <v>0</v>
      </c>
      <c r="S65" s="2"/>
      <c r="T65" s="7"/>
      <c r="U65" s="2"/>
      <c r="V65" s="6">
        <f t="shared" si="37"/>
        <v>0</v>
      </c>
      <c r="W65" s="2"/>
      <c r="X65" s="7">
        <f t="shared" si="38"/>
        <v>369.46</v>
      </c>
      <c r="Y65" s="2"/>
      <c r="Z65" s="6">
        <f t="shared" si="39"/>
        <v>0</v>
      </c>
    </row>
    <row r="66" spans="1:26" s="28" customFormat="1" outlineLevel="1" collapsed="1" x14ac:dyDescent="0.3">
      <c r="A66" s="29"/>
      <c r="B66" s="14" t="str">
        <f>CONCATENATE("     ","Telephone/Data Lines                              ")</f>
        <v xml:space="preserve">     Telephone/Data Lines                              </v>
      </c>
      <c r="C66" s="14"/>
      <c r="D66" s="1">
        <f>SUM(OSRRefD22_13x_0)</f>
        <v>436.64</v>
      </c>
      <c r="E66" s="1"/>
      <c r="F66" s="5">
        <f t="shared" ref="F66:F71" si="40">IF(D$12=0,0,D66/D$12)</f>
        <v>0</v>
      </c>
      <c r="G66" s="1"/>
      <c r="H66" s="1">
        <f>SUM(OSRRefH22_13x_0)</f>
        <v>425</v>
      </c>
      <c r="I66" s="1"/>
      <c r="J66" s="5">
        <f t="shared" ref="J66:J71" si="41">IF(H$12=0,0,H66/H$12)</f>
        <v>0</v>
      </c>
      <c r="K66" s="1"/>
      <c r="L66" s="1">
        <f t="shared" ref="L66:L71" si="42">+D66-H66</f>
        <v>11.639999999999986</v>
      </c>
      <c r="M66" s="1"/>
      <c r="N66" s="5">
        <f t="shared" ref="N66:N71" si="43">IF(H66=0,0,L66/H66)</f>
        <v>2.7388235294117616E-2</v>
      </c>
      <c r="O66" s="14"/>
      <c r="P66" s="1">
        <f>SUM(OSRRefP22_13x_0)</f>
        <v>3104.84</v>
      </c>
      <c r="Q66" s="1"/>
      <c r="R66" s="5">
        <f t="shared" ref="R66:R71" si="44">IF(P$12=0,0,P66/P$12)</f>
        <v>0</v>
      </c>
      <c r="S66" s="1"/>
      <c r="T66" s="1">
        <f>SUM(OSRRefT22_13x_0)</f>
        <v>2975</v>
      </c>
      <c r="U66" s="1"/>
      <c r="V66" s="5">
        <f t="shared" ref="V66:V71" si="45">IF(T$12=0,0,T66/T$12)</f>
        <v>0</v>
      </c>
      <c r="W66" s="1"/>
      <c r="X66" s="1">
        <f t="shared" ref="X66:X71" si="46">+P66-T66</f>
        <v>129.84000000000015</v>
      </c>
      <c r="Y66" s="1"/>
      <c r="Z66" s="5">
        <f t="shared" ref="Z66:Z71" si="47">IF(T66=0,0,X66/T66)</f>
        <v>4.3643697478991647E-2</v>
      </c>
    </row>
    <row r="67" spans="1:26" s="24" customFormat="1" hidden="1" outlineLevel="2" x14ac:dyDescent="0.3">
      <c r="A67" s="27"/>
      <c r="B67" s="11" t="str">
        <f>CONCATENATE("          ", "6309", " - ", "TELEPHONE")</f>
        <v xml:space="preserve">          6309 - TELEPHONE</v>
      </c>
      <c r="C67" s="11"/>
      <c r="D67" s="7">
        <v>436.64</v>
      </c>
      <c r="E67" s="2"/>
      <c r="F67" s="6">
        <f t="shared" si="40"/>
        <v>0</v>
      </c>
      <c r="G67" s="2"/>
      <c r="H67" s="7">
        <v>425</v>
      </c>
      <c r="I67" s="2"/>
      <c r="J67" s="6">
        <f t="shared" si="41"/>
        <v>0</v>
      </c>
      <c r="K67" s="2"/>
      <c r="L67" s="7">
        <f t="shared" si="42"/>
        <v>11.639999999999986</v>
      </c>
      <c r="M67" s="2"/>
      <c r="N67" s="6">
        <f t="shared" si="43"/>
        <v>2.7388235294117616E-2</v>
      </c>
      <c r="O67" s="11"/>
      <c r="P67" s="7">
        <v>3104.84</v>
      </c>
      <c r="Q67" s="2"/>
      <c r="R67" s="6">
        <f t="shared" si="44"/>
        <v>0</v>
      </c>
      <c r="S67" s="2"/>
      <c r="T67" s="7">
        <v>2975</v>
      </c>
      <c r="U67" s="2"/>
      <c r="V67" s="6">
        <f t="shared" si="45"/>
        <v>0</v>
      </c>
      <c r="W67" s="2"/>
      <c r="X67" s="7">
        <f t="shared" si="46"/>
        <v>129.84000000000015</v>
      </c>
      <c r="Y67" s="2"/>
      <c r="Z67" s="6">
        <f t="shared" si="47"/>
        <v>4.3643697478991647E-2</v>
      </c>
    </row>
    <row r="68" spans="1:26" s="28" customFormat="1" outlineLevel="1" collapsed="1" x14ac:dyDescent="0.3">
      <c r="A68" s="29"/>
      <c r="B68" s="14" t="str">
        <f>CONCATENATE("     ","Training                                          ")</f>
        <v xml:space="preserve">     Training                                          </v>
      </c>
      <c r="C68" s="14"/>
      <c r="D68" s="1">
        <f>SUM(OSRRefD22_14x_0)</f>
        <v>0</v>
      </c>
      <c r="E68" s="1"/>
      <c r="F68" s="5">
        <f t="shared" si="40"/>
        <v>0</v>
      </c>
      <c r="G68" s="1"/>
      <c r="H68" s="1">
        <f>SUM(OSRRefH22_14x_0)</f>
        <v>2300</v>
      </c>
      <c r="I68" s="1"/>
      <c r="J68" s="5">
        <f t="shared" si="41"/>
        <v>0</v>
      </c>
      <c r="K68" s="1"/>
      <c r="L68" s="1">
        <f t="shared" si="42"/>
        <v>-2300</v>
      </c>
      <c r="M68" s="1"/>
      <c r="N68" s="5">
        <f t="shared" si="43"/>
        <v>-1</v>
      </c>
      <c r="O68" s="14"/>
      <c r="P68" s="1">
        <f>SUM(OSRRefP22_14x_0)</f>
        <v>595</v>
      </c>
      <c r="Q68" s="1"/>
      <c r="R68" s="5">
        <f t="shared" si="44"/>
        <v>0</v>
      </c>
      <c r="S68" s="1"/>
      <c r="T68" s="1">
        <f>SUM(OSRRefT22_14x_0)</f>
        <v>2550</v>
      </c>
      <c r="U68" s="1"/>
      <c r="V68" s="5">
        <f t="shared" si="45"/>
        <v>0</v>
      </c>
      <c r="W68" s="1"/>
      <c r="X68" s="1">
        <f t="shared" si="46"/>
        <v>-1955</v>
      </c>
      <c r="Y68" s="1"/>
      <c r="Z68" s="5">
        <f t="shared" si="47"/>
        <v>-0.76666666666666672</v>
      </c>
    </row>
    <row r="69" spans="1:26" s="24" customFormat="1" hidden="1" outlineLevel="2" x14ac:dyDescent="0.3">
      <c r="A69" s="27"/>
      <c r="B69" s="11" t="str">
        <f>CONCATENATE("          ", "6376", " - ", "TRAINING")</f>
        <v xml:space="preserve">          6376 - TRAINING</v>
      </c>
      <c r="C69" s="11"/>
      <c r="D69" s="7"/>
      <c r="E69" s="2"/>
      <c r="F69" s="6">
        <f t="shared" si="40"/>
        <v>0</v>
      </c>
      <c r="G69" s="2"/>
      <c r="H69" s="7">
        <v>2300</v>
      </c>
      <c r="I69" s="2"/>
      <c r="J69" s="6">
        <f t="shared" si="41"/>
        <v>0</v>
      </c>
      <c r="K69" s="2"/>
      <c r="L69" s="7">
        <f t="shared" si="42"/>
        <v>-2300</v>
      </c>
      <c r="M69" s="2"/>
      <c r="N69" s="6">
        <f t="shared" si="43"/>
        <v>-1</v>
      </c>
      <c r="O69" s="11"/>
      <c r="P69" s="7">
        <v>595</v>
      </c>
      <c r="Q69" s="2"/>
      <c r="R69" s="6">
        <f t="shared" si="44"/>
        <v>0</v>
      </c>
      <c r="S69" s="2"/>
      <c r="T69" s="7">
        <v>2550</v>
      </c>
      <c r="U69" s="2"/>
      <c r="V69" s="6">
        <f t="shared" si="45"/>
        <v>0</v>
      </c>
      <c r="W69" s="2"/>
      <c r="X69" s="7">
        <f t="shared" si="46"/>
        <v>-1955</v>
      </c>
      <c r="Y69" s="2"/>
      <c r="Z69" s="6">
        <f t="shared" si="47"/>
        <v>-0.76666666666666672</v>
      </c>
    </row>
    <row r="70" spans="1:26" s="28" customFormat="1" outlineLevel="1" collapsed="1" x14ac:dyDescent="0.3">
      <c r="A70" s="29"/>
      <c r="B70" s="14" t="str">
        <f>CONCATENATE("     ","Travel                                            ")</f>
        <v xml:space="preserve">     Travel                                            </v>
      </c>
      <c r="C70" s="14"/>
      <c r="D70" s="1">
        <f>SUM(OSRRefD22_15x_0)</f>
        <v>0</v>
      </c>
      <c r="E70" s="1"/>
      <c r="F70" s="5">
        <f t="shared" si="40"/>
        <v>0</v>
      </c>
      <c r="G70" s="1"/>
      <c r="H70" s="1">
        <f>SUM(OSRRefH22_15x_0)</f>
        <v>0</v>
      </c>
      <c r="I70" s="1"/>
      <c r="J70" s="5">
        <f t="shared" si="41"/>
        <v>0</v>
      </c>
      <c r="K70" s="1"/>
      <c r="L70" s="1">
        <f t="shared" si="42"/>
        <v>0</v>
      </c>
      <c r="M70" s="1"/>
      <c r="N70" s="5">
        <f t="shared" si="43"/>
        <v>0</v>
      </c>
      <c r="O70" s="14"/>
      <c r="P70" s="1">
        <f>SUM(OSRRefP22_15x_0)</f>
        <v>0</v>
      </c>
      <c r="Q70" s="1"/>
      <c r="R70" s="5">
        <f t="shared" si="44"/>
        <v>0</v>
      </c>
      <c r="S70" s="1"/>
      <c r="T70" s="1">
        <f>SUM(OSRRefT22_15x_0)</f>
        <v>1500</v>
      </c>
      <c r="U70" s="1"/>
      <c r="V70" s="5">
        <f t="shared" si="45"/>
        <v>0</v>
      </c>
      <c r="W70" s="1"/>
      <c r="X70" s="1">
        <f t="shared" si="46"/>
        <v>-1500</v>
      </c>
      <c r="Y70" s="1"/>
      <c r="Z70" s="5">
        <f t="shared" si="47"/>
        <v>-1</v>
      </c>
    </row>
    <row r="71" spans="1:26" s="24" customFormat="1" hidden="1" outlineLevel="2" x14ac:dyDescent="0.3">
      <c r="A71" s="27"/>
      <c r="B71" s="11" t="str">
        <f>CONCATENATE("          ", "6294", " - ", "TRAVEL OPERATIONAL")</f>
        <v xml:space="preserve">          6294 - TRAVEL OPERATIONAL</v>
      </c>
      <c r="C71" s="11"/>
      <c r="D71" s="7"/>
      <c r="E71" s="2"/>
      <c r="F71" s="6">
        <f t="shared" si="40"/>
        <v>0</v>
      </c>
      <c r="G71" s="2"/>
      <c r="H71" s="7"/>
      <c r="I71" s="2"/>
      <c r="J71" s="6">
        <f t="shared" si="41"/>
        <v>0</v>
      </c>
      <c r="K71" s="2"/>
      <c r="L71" s="7">
        <f t="shared" si="42"/>
        <v>0</v>
      </c>
      <c r="M71" s="2"/>
      <c r="N71" s="6">
        <f t="shared" si="43"/>
        <v>0</v>
      </c>
      <c r="O71" s="11"/>
      <c r="P71" s="7"/>
      <c r="Q71" s="2"/>
      <c r="R71" s="6">
        <f t="shared" si="44"/>
        <v>0</v>
      </c>
      <c r="S71" s="2"/>
      <c r="T71" s="7">
        <v>1500</v>
      </c>
      <c r="U71" s="2"/>
      <c r="V71" s="6">
        <f t="shared" si="45"/>
        <v>0</v>
      </c>
      <c r="W71" s="2"/>
      <c r="X71" s="7">
        <f t="shared" si="46"/>
        <v>-1500</v>
      </c>
      <c r="Y71" s="2"/>
      <c r="Z71" s="6">
        <f t="shared" si="47"/>
        <v>-1</v>
      </c>
    </row>
    <row r="72" spans="1:26" s="55" customFormat="1" x14ac:dyDescent="0.3">
      <c r="A72" s="36"/>
      <c r="B72" s="36"/>
      <c r="C72" s="36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6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x14ac:dyDescent="0.3">
      <c r="A73" s="10"/>
      <c r="B73" s="25" t="s">
        <v>293</v>
      </c>
      <c r="C73" s="10"/>
      <c r="D73" s="4">
        <f>SUM(0)</f>
        <v>0</v>
      </c>
      <c r="E73" s="4"/>
      <c r="F73" s="12">
        <f>IF(D$12=0,0,D73/D$12)</f>
        <v>0</v>
      </c>
      <c r="G73" s="4"/>
      <c r="H73" s="4">
        <f>SUM(0)</f>
        <v>0</v>
      </c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>
        <f>SUM(0)</f>
        <v>0</v>
      </c>
      <c r="Q73" s="4"/>
      <c r="R73" s="12">
        <f>IF(P$12=0,0,P73/P$12)</f>
        <v>0</v>
      </c>
      <c r="S73" s="4"/>
      <c r="T73" s="4">
        <f>SUM(0)</f>
        <v>0</v>
      </c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3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3">
      <c r="A75" s="10"/>
      <c r="B75" s="26" t="s">
        <v>277</v>
      </c>
      <c r="C75" s="26"/>
      <c r="D75" s="21">
        <f>+D16-D18+D73</f>
        <v>-117409.44</v>
      </c>
      <c r="E75" s="13"/>
      <c r="F75" s="22">
        <f>IF(D$12=0,0,D75/D$12)</f>
        <v>0</v>
      </c>
      <c r="G75" s="13"/>
      <c r="H75" s="21">
        <f>+H16-H18+H73</f>
        <v>-58900.411211538492</v>
      </c>
      <c r="I75" s="13"/>
      <c r="J75" s="22">
        <f>IF(H$12=0,0,H75/H$12)</f>
        <v>0</v>
      </c>
      <c r="K75" s="15"/>
      <c r="L75" s="21">
        <f>+D75-H75</f>
        <v>-58509.02878846151</v>
      </c>
      <c r="M75" s="15"/>
      <c r="N75" s="22">
        <f>IF(H75=0,0,L75/H75)</f>
        <v>0.99335518352034335</v>
      </c>
      <c r="O75" s="25"/>
      <c r="P75" s="21">
        <f>+P16-P18+P73</f>
        <v>-356424.89</v>
      </c>
      <c r="Q75" s="13"/>
      <c r="R75" s="22">
        <f>IF(P$12=0,0,P75/P$12)</f>
        <v>0</v>
      </c>
      <c r="S75" s="13"/>
      <c r="T75" s="21">
        <f>+T16-T18+T73</f>
        <v>-363495.9900884612</v>
      </c>
      <c r="U75" s="13"/>
      <c r="V75" s="22">
        <f>IF(T$12=0,0,T75/T$12)</f>
        <v>0</v>
      </c>
      <c r="W75" s="15"/>
      <c r="X75" s="21">
        <f>+P75-T75</f>
        <v>7071.1000884611858</v>
      </c>
      <c r="Y75" s="15"/>
      <c r="Z75" s="22">
        <f>IF(T75=0,0,X75/T75)</f>
        <v>-1.9453034644867327E-2</v>
      </c>
    </row>
    <row r="76" spans="1:26" x14ac:dyDescent="0.3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3">
      <c r="A77" s="52"/>
      <c r="B77" s="10" t="s">
        <v>128</v>
      </c>
      <c r="C77" s="10"/>
      <c r="D77" s="4"/>
      <c r="E77" s="4"/>
      <c r="F77" s="12">
        <f>IF(D$12=0,0,D77/D$12)</f>
        <v>0</v>
      </c>
      <c r="G77" s="4"/>
      <c r="H77" s="4"/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/>
      <c r="Q77" s="4"/>
      <c r="R77" s="12">
        <f>IF(P$12=0,0,P77/P$12)</f>
        <v>0</v>
      </c>
      <c r="S77" s="4"/>
      <c r="T77" s="4"/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3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" thickBot="1" x14ac:dyDescent="0.35">
      <c r="A79" s="10"/>
      <c r="B79" s="26" t="s">
        <v>126</v>
      </c>
      <c r="C79" s="26"/>
      <c r="D79" s="32">
        <f>+D75-D77</f>
        <v>-117409.44</v>
      </c>
      <c r="E79" s="13"/>
      <c r="F79" s="31">
        <f>IF(D$12=0,0,D79/D$12)</f>
        <v>0</v>
      </c>
      <c r="G79" s="13"/>
      <c r="H79" s="32">
        <f>+H75-H77</f>
        <v>-58900.411211538492</v>
      </c>
      <c r="I79" s="13"/>
      <c r="J79" s="31">
        <f>IF(H$12=0,0,H79/H$12)</f>
        <v>0</v>
      </c>
      <c r="K79" s="15"/>
      <c r="L79" s="32">
        <f>D79-H79</f>
        <v>-58509.02878846151</v>
      </c>
      <c r="M79" s="15"/>
      <c r="N79" s="31">
        <f>IF(H79=0,0,L79/H79)</f>
        <v>0.99335518352034335</v>
      </c>
      <c r="O79" s="25"/>
      <c r="P79" s="32">
        <f>+P75-P77</f>
        <v>-356424.89</v>
      </c>
      <c r="Q79" s="13"/>
      <c r="R79" s="31">
        <f>IF(P$12=0,0,P79/P$12)</f>
        <v>0</v>
      </c>
      <c r="S79" s="13"/>
      <c r="T79" s="32">
        <f>+T75-T77</f>
        <v>-363495.9900884612</v>
      </c>
      <c r="U79" s="13"/>
      <c r="V79" s="31">
        <f>IF(T$12=0,0,T79/T$12)</f>
        <v>0</v>
      </c>
      <c r="W79" s="15"/>
      <c r="X79" s="32">
        <f>P79-T79</f>
        <v>7071.1000884611858</v>
      </c>
      <c r="Y79" s="15"/>
      <c r="Z79" s="31">
        <f>IF(T79=0,0,X79/T79)</f>
        <v>-1.9453034644867327E-2</v>
      </c>
    </row>
    <row r="80" spans="1:26" ht="15" thickTop="1" x14ac:dyDescent="0.3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3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" thickBot="1" x14ac:dyDescent="0.35">
      <c r="A82" s="10"/>
      <c r="B82" s="26" t="s">
        <v>294</v>
      </c>
      <c r="C82" s="26"/>
      <c r="D82" s="34">
        <f>SUM(D79:D81)</f>
        <v>-117409.44</v>
      </c>
      <c r="E82" s="13"/>
      <c r="F82" s="35">
        <f>IF(D$12=0,0,D82/D$12)</f>
        <v>0</v>
      </c>
      <c r="G82" s="13"/>
      <c r="H82" s="34">
        <f>SUM(H79:H81)</f>
        <v>-58900.411211538492</v>
      </c>
      <c r="I82" s="13"/>
      <c r="J82" s="35">
        <f>IF(H$12=0,0,H82/H$12)</f>
        <v>0</v>
      </c>
      <c r="K82" s="15"/>
      <c r="L82" s="34">
        <f>+D82-H82</f>
        <v>-58509.02878846151</v>
      </c>
      <c r="M82" s="15"/>
      <c r="N82" s="35">
        <f>IF(H82=0,0,L82/H82)</f>
        <v>0.99335518352034335</v>
      </c>
      <c r="O82" s="25"/>
      <c r="P82" s="34">
        <f>SUM(P79:P81)</f>
        <v>-356424.89</v>
      </c>
      <c r="Q82" s="13"/>
      <c r="R82" s="35">
        <f>IF(P$12=0,0,P82/P$12)</f>
        <v>0</v>
      </c>
      <c r="S82" s="13"/>
      <c r="T82" s="34">
        <f>SUM(T79:T81)</f>
        <v>-363495.9900884612</v>
      </c>
      <c r="U82" s="13"/>
      <c r="V82" s="35">
        <f>IF(T$12=0,0,T82/T$12)</f>
        <v>0</v>
      </c>
      <c r="W82" s="15"/>
      <c r="X82" s="34">
        <f>+P82-T82</f>
        <v>7071.1000884611858</v>
      </c>
      <c r="Y82" s="15"/>
      <c r="Z82" s="35">
        <f>IF(T82=0,0,X82/T82)</f>
        <v>-1.9453034644867327E-2</v>
      </c>
    </row>
    <row r="83" spans="1:26" ht="15" thickTop="1" x14ac:dyDescent="0.3">
      <c r="A83" s="9"/>
      <c r="C83" s="9"/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6" x14ac:dyDescent="0.3">
      <c r="A84" s="9"/>
      <c r="B84" s="53">
        <v>44604.019995405091</v>
      </c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6" x14ac:dyDescent="0.3">
      <c r="A85" s="9"/>
      <c r="B85" s="63" t="s">
        <v>56</v>
      </c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3">
      <c r="A86" s="9"/>
      <c r="B86" s="58"/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3"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outlinePr summaryBelow="0" summaryRight="0"/>
  </sheetPr>
  <dimension ref="A2:Z7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","202", " - ", "Accounting")</f>
        <v>Department 202 - Accounting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51286.95</v>
      </c>
      <c r="E18" s="20"/>
      <c r="F18" s="33">
        <f t="shared" ref="F18:F28" si="0">IF(D$12=0,0,D18/D$12)</f>
        <v>0</v>
      </c>
      <c r="G18" s="20"/>
      <c r="H18" s="20">
        <f>SUM(OSRRefH22x_0)</f>
        <v>52613.535630384591</v>
      </c>
      <c r="I18" s="20"/>
      <c r="J18" s="33">
        <f t="shared" ref="J18:J28" si="1">IF(H$12=0,0,H18/H$12)</f>
        <v>0</v>
      </c>
      <c r="K18" s="4"/>
      <c r="L18" s="20">
        <f t="shared" ref="L18:L28" si="2">+D18-H18</f>
        <v>-1326.585630384594</v>
      </c>
      <c r="M18" s="4"/>
      <c r="N18" s="33">
        <f t="shared" ref="N18:N28" si="3">IF(H18=0,0,L18/H18)</f>
        <v>-2.5213770838439602E-2</v>
      </c>
      <c r="O18" s="10"/>
      <c r="P18" s="20">
        <f>SUM(OSRRefP22x_0)</f>
        <v>294335.84000000008</v>
      </c>
      <c r="Q18" s="20"/>
      <c r="R18" s="33">
        <f t="shared" ref="R18:R28" si="4">IF(P$12=0,0,P18/P$12)</f>
        <v>0</v>
      </c>
      <c r="S18" s="20"/>
      <c r="T18" s="20">
        <f>SUM(OSRRefT22x_0)</f>
        <v>289001.83706838416</v>
      </c>
      <c r="U18" s="20"/>
      <c r="V18" s="33">
        <f t="shared" ref="V18:V28" si="5">IF(T$12=0,0,T18/T$12)</f>
        <v>0</v>
      </c>
      <c r="W18" s="4"/>
      <c r="X18" s="20">
        <f t="shared" ref="X18:X28" si="6">+P18-T18</f>
        <v>5334.0029316159198</v>
      </c>
      <c r="Y18" s="4"/>
      <c r="Z18" s="33">
        <f t="shared" ref="Z18:Z28" si="7">IF(T18=0,0,X18/T18)</f>
        <v>1.8456640226663257E-2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16767.609999999997</v>
      </c>
      <c r="E19" s="1"/>
      <c r="F19" s="5">
        <f t="shared" si="0"/>
        <v>0</v>
      </c>
      <c r="G19" s="1"/>
      <c r="H19" s="1">
        <f>SUM(OSRRefH22_0x_0)</f>
        <v>14247.8163996154</v>
      </c>
      <c r="I19" s="1"/>
      <c r="J19" s="5">
        <f t="shared" si="1"/>
        <v>0</v>
      </c>
      <c r="K19" s="1"/>
      <c r="L19" s="1">
        <f t="shared" si="2"/>
        <v>2519.7936003845971</v>
      </c>
      <c r="M19" s="1"/>
      <c r="N19" s="5">
        <f t="shared" si="3"/>
        <v>0.17685472143314646</v>
      </c>
      <c r="O19" s="14"/>
      <c r="P19" s="1">
        <f>SUM(OSRRefP22_0x_0)</f>
        <v>97723.55</v>
      </c>
      <c r="Q19" s="1"/>
      <c r="R19" s="5">
        <f t="shared" si="4"/>
        <v>0</v>
      </c>
      <c r="S19" s="1"/>
      <c r="T19" s="1">
        <f>SUM(OSRRefT22_0x_0)</f>
        <v>93581.577837615449</v>
      </c>
      <c r="U19" s="1"/>
      <c r="V19" s="5">
        <f t="shared" si="5"/>
        <v>0</v>
      </c>
      <c r="W19" s="1"/>
      <c r="X19" s="1">
        <f t="shared" si="6"/>
        <v>4141.9721623845544</v>
      </c>
      <c r="Y19" s="1"/>
      <c r="Z19" s="5">
        <f t="shared" si="7"/>
        <v>4.4260550613623807E-2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7">
        <v>1695.1</v>
      </c>
      <c r="E20" s="2"/>
      <c r="F20" s="6">
        <f t="shared" si="0"/>
        <v>0</v>
      </c>
      <c r="G20" s="2"/>
      <c r="H20" s="7">
        <v>2092.2212919230801</v>
      </c>
      <c r="I20" s="2"/>
      <c r="J20" s="6">
        <f t="shared" si="1"/>
        <v>0</v>
      </c>
      <c r="K20" s="2"/>
      <c r="L20" s="7">
        <f t="shared" si="2"/>
        <v>-397.12129192308021</v>
      </c>
      <c r="M20" s="2"/>
      <c r="N20" s="6">
        <f t="shared" si="3"/>
        <v>-0.18980845547081845</v>
      </c>
      <c r="O20" s="11"/>
      <c r="P20" s="7">
        <v>12431.24</v>
      </c>
      <c r="Q20" s="2"/>
      <c r="R20" s="6">
        <f t="shared" si="4"/>
        <v>0</v>
      </c>
      <c r="S20" s="2"/>
      <c r="T20" s="7">
        <v>12971.772009923099</v>
      </c>
      <c r="U20" s="2"/>
      <c r="V20" s="6">
        <f t="shared" si="5"/>
        <v>0</v>
      </c>
      <c r="W20" s="2"/>
      <c r="X20" s="7">
        <f t="shared" si="6"/>
        <v>-540.53200992309939</v>
      </c>
      <c r="Y20" s="2"/>
      <c r="Z20" s="6">
        <f t="shared" si="7"/>
        <v>-4.1669866654270915E-2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285.83999999999997</v>
      </c>
      <c r="E21" s="2"/>
      <c r="F21" s="6">
        <f t="shared" si="0"/>
        <v>0</v>
      </c>
      <c r="G21" s="2"/>
      <c r="H21" s="7">
        <v>94.037188461538506</v>
      </c>
      <c r="I21" s="2"/>
      <c r="J21" s="6">
        <f t="shared" si="1"/>
        <v>0</v>
      </c>
      <c r="K21" s="2"/>
      <c r="L21" s="7">
        <f t="shared" si="2"/>
        <v>191.80281153846147</v>
      </c>
      <c r="M21" s="2"/>
      <c r="N21" s="6">
        <f t="shared" si="3"/>
        <v>2.039648512215031</v>
      </c>
      <c r="O21" s="11"/>
      <c r="P21" s="7">
        <v>2131.8200000000002</v>
      </c>
      <c r="Q21" s="2"/>
      <c r="R21" s="6">
        <f t="shared" si="4"/>
        <v>0</v>
      </c>
      <c r="S21" s="2"/>
      <c r="T21" s="7">
        <v>564.24704846153895</v>
      </c>
      <c r="U21" s="2"/>
      <c r="V21" s="6">
        <f t="shared" si="5"/>
        <v>0</v>
      </c>
      <c r="W21" s="2"/>
      <c r="X21" s="7">
        <f t="shared" si="6"/>
        <v>1567.5729515384612</v>
      </c>
      <c r="Y21" s="2"/>
      <c r="Z21" s="6">
        <f t="shared" si="7"/>
        <v>2.7781677472882915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7">
        <v>5721.83</v>
      </c>
      <c r="E22" s="2"/>
      <c r="F22" s="6">
        <f t="shared" si="0"/>
        <v>0</v>
      </c>
      <c r="G22" s="2"/>
      <c r="H22" s="7">
        <v>6123</v>
      </c>
      <c r="I22" s="2"/>
      <c r="J22" s="6">
        <f t="shared" si="1"/>
        <v>0</v>
      </c>
      <c r="K22" s="2"/>
      <c r="L22" s="7">
        <f t="shared" si="2"/>
        <v>-401.17000000000007</v>
      </c>
      <c r="M22" s="2"/>
      <c r="N22" s="6">
        <f t="shared" si="3"/>
        <v>-6.5518536665033489E-2</v>
      </c>
      <c r="O22" s="11"/>
      <c r="P22" s="7">
        <v>43096.79</v>
      </c>
      <c r="Q22" s="2"/>
      <c r="R22" s="6">
        <f t="shared" si="4"/>
        <v>0</v>
      </c>
      <c r="S22" s="2"/>
      <c r="T22" s="7">
        <v>42861</v>
      </c>
      <c r="U22" s="2"/>
      <c r="V22" s="6">
        <f t="shared" si="5"/>
        <v>0</v>
      </c>
      <c r="W22" s="2"/>
      <c r="X22" s="7">
        <f t="shared" si="6"/>
        <v>235.79000000000087</v>
      </c>
      <c r="Y22" s="2"/>
      <c r="Z22" s="6">
        <f t="shared" si="7"/>
        <v>5.5012715522269866E-3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57.61</v>
      </c>
      <c r="E23" s="2"/>
      <c r="F23" s="6">
        <f t="shared" si="0"/>
        <v>0</v>
      </c>
      <c r="G23" s="2"/>
      <c r="H23" s="7">
        <v>63.702611538461497</v>
      </c>
      <c r="I23" s="2"/>
      <c r="J23" s="6">
        <f t="shared" si="1"/>
        <v>0</v>
      </c>
      <c r="K23" s="2"/>
      <c r="L23" s="7">
        <f t="shared" si="2"/>
        <v>-6.0926115384614974</v>
      </c>
      <c r="M23" s="2"/>
      <c r="N23" s="6">
        <f t="shared" si="3"/>
        <v>-9.5641472010656634E-2</v>
      </c>
      <c r="O23" s="11"/>
      <c r="P23" s="7">
        <v>429.67</v>
      </c>
      <c r="Q23" s="2"/>
      <c r="R23" s="6">
        <f t="shared" si="4"/>
        <v>0</v>
      </c>
      <c r="S23" s="2"/>
      <c r="T23" s="7">
        <v>382.23187153846101</v>
      </c>
      <c r="U23" s="2"/>
      <c r="V23" s="6">
        <f t="shared" si="5"/>
        <v>0</v>
      </c>
      <c r="W23" s="2"/>
      <c r="X23" s="7">
        <f t="shared" si="6"/>
        <v>47.438128461539009</v>
      </c>
      <c r="Y23" s="2"/>
      <c r="Z23" s="6">
        <f t="shared" si="7"/>
        <v>0.12410824945236332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7">
        <v>2025.83</v>
      </c>
      <c r="E24" s="2"/>
      <c r="F24" s="6">
        <f t="shared" si="0"/>
        <v>0</v>
      </c>
      <c r="G24" s="2"/>
      <c r="H24" s="7">
        <v>2351.11761538462</v>
      </c>
      <c r="I24" s="2"/>
      <c r="J24" s="6">
        <f t="shared" si="1"/>
        <v>0</v>
      </c>
      <c r="K24" s="2"/>
      <c r="L24" s="7">
        <f t="shared" si="2"/>
        <v>-325.28761538462004</v>
      </c>
      <c r="M24" s="2"/>
      <c r="N24" s="6">
        <f t="shared" si="3"/>
        <v>-0.13835446310983729</v>
      </c>
      <c r="O24" s="11"/>
      <c r="P24" s="7">
        <v>14843.01</v>
      </c>
      <c r="Q24" s="2"/>
      <c r="R24" s="6">
        <f t="shared" si="4"/>
        <v>0</v>
      </c>
      <c r="S24" s="2"/>
      <c r="T24" s="7">
        <v>14576.9292153846</v>
      </c>
      <c r="U24" s="2"/>
      <c r="V24" s="6">
        <f t="shared" si="5"/>
        <v>0</v>
      </c>
      <c r="W24" s="2"/>
      <c r="X24" s="7">
        <f t="shared" si="6"/>
        <v>266.08078461540026</v>
      </c>
      <c r="Y24" s="2"/>
      <c r="Z24" s="6">
        <f t="shared" si="7"/>
        <v>1.8253555373965637E-2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7">
        <v>3060.55</v>
      </c>
      <c r="E26" s="2"/>
      <c r="F26" s="6">
        <f t="shared" si="0"/>
        <v>0</v>
      </c>
      <c r="G26" s="2"/>
      <c r="H26" s="7">
        <v>1366.9288461538499</v>
      </c>
      <c r="I26" s="2"/>
      <c r="J26" s="6">
        <f t="shared" si="1"/>
        <v>0</v>
      </c>
      <c r="K26" s="2"/>
      <c r="L26" s="7">
        <f t="shared" si="2"/>
        <v>1693.6211538461503</v>
      </c>
      <c r="M26" s="2"/>
      <c r="N26" s="6">
        <f t="shared" si="3"/>
        <v>1.2389973030502062</v>
      </c>
      <c r="O26" s="11"/>
      <c r="P26" s="7">
        <v>11248.53</v>
      </c>
      <c r="Q26" s="2"/>
      <c r="R26" s="6">
        <f t="shared" si="4"/>
        <v>0</v>
      </c>
      <c r="S26" s="2"/>
      <c r="T26" s="7">
        <v>8474.9588461538697</v>
      </c>
      <c r="U26" s="2"/>
      <c r="V26" s="6">
        <f t="shared" si="5"/>
        <v>0</v>
      </c>
      <c r="W26" s="2"/>
      <c r="X26" s="7">
        <f t="shared" si="6"/>
        <v>2773.571153846131</v>
      </c>
      <c r="Y26" s="2"/>
      <c r="Z26" s="6">
        <f t="shared" si="7"/>
        <v>0.32726662207980411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7">
        <v>3462.99</v>
      </c>
      <c r="E27" s="2"/>
      <c r="F27" s="6">
        <f t="shared" si="0"/>
        <v>0</v>
      </c>
      <c r="G27" s="2"/>
      <c r="H27" s="7">
        <v>1456.80884615385</v>
      </c>
      <c r="I27" s="2"/>
      <c r="J27" s="6">
        <f t="shared" si="1"/>
        <v>0</v>
      </c>
      <c r="K27" s="2"/>
      <c r="L27" s="7">
        <f t="shared" si="2"/>
        <v>2006.1811538461498</v>
      </c>
      <c r="M27" s="2"/>
      <c r="N27" s="6">
        <f t="shared" si="3"/>
        <v>1.3771066527655351</v>
      </c>
      <c r="O27" s="11"/>
      <c r="P27" s="7">
        <v>9907.5400000000009</v>
      </c>
      <c r="Q27" s="2"/>
      <c r="R27" s="6">
        <f t="shared" si="4"/>
        <v>0</v>
      </c>
      <c r="S27" s="2"/>
      <c r="T27" s="7">
        <v>8850.4388461538692</v>
      </c>
      <c r="U27" s="2"/>
      <c r="V27" s="6">
        <f t="shared" si="5"/>
        <v>0</v>
      </c>
      <c r="W27" s="2"/>
      <c r="X27" s="7">
        <f t="shared" si="6"/>
        <v>1057.1011538461316</v>
      </c>
      <c r="Y27" s="2"/>
      <c r="Z27" s="6">
        <f t="shared" si="7"/>
        <v>0.11944053534763596</v>
      </c>
    </row>
    <row r="28" spans="1:26" s="24" customFormat="1" hidden="1" outlineLevel="2" x14ac:dyDescent="0.3">
      <c r="A28" s="27"/>
      <c r="B28" s="11" t="str">
        <f>CONCATENATE("          ", "6156", " - ", "EMPLOYEE MEALS")</f>
        <v xml:space="preserve">          6156 - EMPLOYEE MEALS</v>
      </c>
      <c r="C28" s="11"/>
      <c r="D28" s="7">
        <v>457.86</v>
      </c>
      <c r="E28" s="2"/>
      <c r="F28" s="6">
        <f t="shared" si="0"/>
        <v>0</v>
      </c>
      <c r="G28" s="2"/>
      <c r="H28" s="7">
        <v>700</v>
      </c>
      <c r="I28" s="2"/>
      <c r="J28" s="6">
        <f t="shared" si="1"/>
        <v>0</v>
      </c>
      <c r="K28" s="2"/>
      <c r="L28" s="7">
        <f t="shared" si="2"/>
        <v>-242.14</v>
      </c>
      <c r="M28" s="2"/>
      <c r="N28" s="6">
        <f t="shared" si="3"/>
        <v>-0.34591428571428567</v>
      </c>
      <c r="O28" s="11"/>
      <c r="P28" s="7">
        <v>3634.95</v>
      </c>
      <c r="Q28" s="2"/>
      <c r="R28" s="6">
        <f t="shared" si="4"/>
        <v>0</v>
      </c>
      <c r="S28" s="2"/>
      <c r="T28" s="7">
        <v>4900</v>
      </c>
      <c r="U28" s="2"/>
      <c r="V28" s="6">
        <f t="shared" si="5"/>
        <v>0</v>
      </c>
      <c r="W28" s="2"/>
      <c r="X28" s="7">
        <f t="shared" si="6"/>
        <v>-1265.0500000000002</v>
      </c>
      <c r="Y28" s="2"/>
      <c r="Z28" s="6">
        <f t="shared" si="7"/>
        <v>-0.25817346938775515</v>
      </c>
    </row>
    <row r="29" spans="1:26" s="28" customFormat="1" outlineLevel="1" collapsed="1" x14ac:dyDescent="0.3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25655.439999999999</v>
      </c>
      <c r="E29" s="1"/>
      <c r="F29" s="5">
        <f t="shared" ref="F29:F39" si="8">IF(D$12=0,0,D29/D$12)</f>
        <v>0</v>
      </c>
      <c r="G29" s="1"/>
      <c r="H29" s="1">
        <f>SUM(OSRRefH22_1x_0)</f>
        <v>27600.719230769188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-1945.2792307691889</v>
      </c>
      <c r="M29" s="1"/>
      <c r="N29" s="5">
        <f t="shared" ref="N29:N39" si="11">IF(H29=0,0,L29/H29)</f>
        <v>-7.0479294923611921E-2</v>
      </c>
      <c r="O29" s="14"/>
      <c r="P29" s="1">
        <f>SUM(OSRRefP22_1x_0)</f>
        <v>165208.9</v>
      </c>
      <c r="Q29" s="1"/>
      <c r="R29" s="5">
        <f t="shared" ref="R29:R39" si="12">IF(P$12=0,0,P29/P$12)</f>
        <v>0</v>
      </c>
      <c r="S29" s="1"/>
      <c r="T29" s="1">
        <f>SUM(OSRRefT22_1x_0)</f>
        <v>165065.25923076872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143.64076923127868</v>
      </c>
      <c r="Y29" s="1"/>
      <c r="Z29" s="5">
        <f t="shared" ref="Z29:Z39" si="15">IF(T29=0,0,X29/T29)</f>
        <v>8.7020594097551667E-4</v>
      </c>
    </row>
    <row r="30" spans="1:26" s="24" customFormat="1" hidden="1" outlineLevel="2" x14ac:dyDescent="0.3">
      <c r="A30" s="27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6977.4576923076902</v>
      </c>
      <c r="I30" s="2"/>
      <c r="J30" s="6">
        <f t="shared" si="9"/>
        <v>0</v>
      </c>
      <c r="K30" s="2"/>
      <c r="L30" s="7">
        <f t="shared" si="10"/>
        <v>-6977.4576923076902</v>
      </c>
      <c r="M30" s="2"/>
      <c r="N30" s="6">
        <f t="shared" si="11"/>
        <v>-1</v>
      </c>
      <c r="O30" s="11"/>
      <c r="P30" s="7"/>
      <c r="Q30" s="2"/>
      <c r="R30" s="6">
        <f t="shared" si="12"/>
        <v>0</v>
      </c>
      <c r="S30" s="2"/>
      <c r="T30" s="7">
        <v>43260.237692307703</v>
      </c>
      <c r="U30" s="2"/>
      <c r="V30" s="6">
        <f t="shared" si="13"/>
        <v>0</v>
      </c>
      <c r="W30" s="2"/>
      <c r="X30" s="7">
        <f t="shared" si="14"/>
        <v>-43260.237692307703</v>
      </c>
      <c r="Y30" s="2"/>
      <c r="Z30" s="6">
        <f t="shared" si="15"/>
        <v>-1</v>
      </c>
    </row>
    <row r="31" spans="1:26" s="24" customFormat="1" hidden="1" outlineLevel="2" x14ac:dyDescent="0.3">
      <c r="A31" s="27"/>
      <c r="B31" s="11" t="str">
        <f>CONCATENATE("          ", "6002", " - ", "STAFF SALARIES")</f>
        <v xml:space="preserve">          6002 - STAFF SALARIES</v>
      </c>
      <c r="C31" s="11"/>
      <c r="D31" s="7">
        <v>25655.439999999999</v>
      </c>
      <c r="E31" s="2"/>
      <c r="F31" s="6">
        <f t="shared" si="8"/>
        <v>0</v>
      </c>
      <c r="G31" s="2"/>
      <c r="H31" s="7">
        <v>17627.261538461498</v>
      </c>
      <c r="I31" s="2"/>
      <c r="J31" s="6">
        <f t="shared" si="9"/>
        <v>0</v>
      </c>
      <c r="K31" s="2"/>
      <c r="L31" s="7">
        <f t="shared" si="10"/>
        <v>8028.1784615385004</v>
      </c>
      <c r="M31" s="2"/>
      <c r="N31" s="6">
        <f t="shared" si="11"/>
        <v>0.45544104760807885</v>
      </c>
      <c r="O31" s="11"/>
      <c r="P31" s="7">
        <v>162202.5</v>
      </c>
      <c r="Q31" s="2"/>
      <c r="R31" s="6">
        <f t="shared" si="12"/>
        <v>0</v>
      </c>
      <c r="S31" s="2"/>
      <c r="T31" s="7">
        <v>109289.02153846101</v>
      </c>
      <c r="U31" s="2"/>
      <c r="V31" s="6">
        <f t="shared" si="13"/>
        <v>0</v>
      </c>
      <c r="W31" s="2"/>
      <c r="X31" s="7">
        <f t="shared" si="14"/>
        <v>52913.478461538994</v>
      </c>
      <c r="Y31" s="2"/>
      <c r="Z31" s="6">
        <f t="shared" si="15"/>
        <v>0.4841609680155996</v>
      </c>
    </row>
    <row r="32" spans="1:26" s="24" customFormat="1" hidden="1" outlineLevel="2" x14ac:dyDescent="0.3">
      <c r="A32" s="27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3">
      <c r="A33" s="27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3">
      <c r="A34" s="27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3">
      <c r="A35" s="27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3">
      <c r="A36" s="27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>
        <v>3006.4</v>
      </c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3006.4</v>
      </c>
      <c r="Y36" s="2"/>
      <c r="Z36" s="6">
        <f t="shared" si="15"/>
        <v>0</v>
      </c>
    </row>
    <row r="37" spans="1:26" s="24" customFormat="1" hidden="1" outlineLevel="2" x14ac:dyDescent="0.3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2996</v>
      </c>
      <c r="I37" s="2"/>
      <c r="J37" s="6">
        <f t="shared" si="9"/>
        <v>0</v>
      </c>
      <c r="K37" s="2"/>
      <c r="L37" s="7">
        <f t="shared" si="10"/>
        <v>-2996</v>
      </c>
      <c r="M37" s="2"/>
      <c r="N37" s="6">
        <f t="shared" si="11"/>
        <v>-1</v>
      </c>
      <c r="O37" s="11"/>
      <c r="P37" s="7"/>
      <c r="Q37" s="2"/>
      <c r="R37" s="6">
        <f t="shared" si="12"/>
        <v>0</v>
      </c>
      <c r="S37" s="2"/>
      <c r="T37" s="7">
        <v>12516</v>
      </c>
      <c r="U37" s="2"/>
      <c r="V37" s="6">
        <f t="shared" si="13"/>
        <v>0</v>
      </c>
      <c r="W37" s="2"/>
      <c r="X37" s="7">
        <f t="shared" si="14"/>
        <v>-12516</v>
      </c>
      <c r="Y37" s="2"/>
      <c r="Z37" s="6">
        <f t="shared" si="15"/>
        <v>-1</v>
      </c>
    </row>
    <row r="38" spans="1:26" s="24" customFormat="1" hidden="1" outlineLevel="2" x14ac:dyDescent="0.3">
      <c r="A38" s="27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3">
      <c r="A39" s="27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3">
      <c r="A40" s="29"/>
      <c r="B40" s="14" t="str">
        <f>CONCATENATE("     ","Depreciation                                      ")</f>
        <v xml:space="preserve">     Depreciation                                      </v>
      </c>
      <c r="C40" s="14"/>
      <c r="D40" s="1">
        <f>SUM(OSRRefD22_2x_0)</f>
        <v>1558.88</v>
      </c>
      <c r="E40" s="1"/>
      <c r="F40" s="5">
        <f t="shared" ref="F40:F53" si="16">IF(D$12=0,0,D40/D$12)</f>
        <v>0</v>
      </c>
      <c r="G40" s="1"/>
      <c r="H40" s="1">
        <f>SUM(OSRRefH22_2x_0)</f>
        <v>1559</v>
      </c>
      <c r="I40" s="1"/>
      <c r="J40" s="5">
        <f t="shared" ref="J40:J53" si="17">IF(H$12=0,0,H40/H$12)</f>
        <v>0</v>
      </c>
      <c r="K40" s="1"/>
      <c r="L40" s="1">
        <f t="shared" ref="L40:L53" si="18">+D40-H40</f>
        <v>-0.11999999999989086</v>
      </c>
      <c r="M40" s="1"/>
      <c r="N40" s="5">
        <f t="shared" ref="N40:N53" si="19">IF(H40=0,0,L40/H40)</f>
        <v>-7.6972418216735637E-5</v>
      </c>
      <c r="O40" s="14"/>
      <c r="P40" s="1">
        <f>SUM(OSRRefP22_2x_0)</f>
        <v>10912.16</v>
      </c>
      <c r="Q40" s="1"/>
      <c r="R40" s="5">
        <f t="shared" ref="R40:R53" si="20">IF(P$12=0,0,P40/P$12)</f>
        <v>0</v>
      </c>
      <c r="S40" s="1"/>
      <c r="T40" s="1">
        <f>SUM(OSRRefT22_2x_0)</f>
        <v>10913</v>
      </c>
      <c r="U40" s="1"/>
      <c r="V40" s="5">
        <f t="shared" ref="V40:V53" si="21">IF(T$12=0,0,T40/T$12)</f>
        <v>0</v>
      </c>
      <c r="W40" s="1"/>
      <c r="X40" s="1">
        <f t="shared" ref="X40:X53" si="22">+P40-T40</f>
        <v>-0.84000000000014552</v>
      </c>
      <c r="Y40" s="1"/>
      <c r="Z40" s="5">
        <f t="shared" ref="Z40:Z53" si="23">IF(T40=0,0,X40/T40)</f>
        <v>-7.6972418216818985E-5</v>
      </c>
    </row>
    <row r="41" spans="1:26" s="24" customFormat="1" hidden="1" outlineLevel="2" x14ac:dyDescent="0.3">
      <c r="A41" s="27"/>
      <c r="B41" s="11" t="str">
        <f>CONCATENATE("          ", "6322", " - ", "EQUIPMENT DEPRECIATION EXPENSE")</f>
        <v xml:space="preserve">          6322 - EQUIPMENT DEPRECIATION EXPENSE</v>
      </c>
      <c r="C41" s="11"/>
      <c r="D41" s="7">
        <v>1558.88</v>
      </c>
      <c r="E41" s="2"/>
      <c r="F41" s="6">
        <f t="shared" si="16"/>
        <v>0</v>
      </c>
      <c r="G41" s="2"/>
      <c r="H41" s="7">
        <v>1559</v>
      </c>
      <c r="I41" s="2"/>
      <c r="J41" s="6">
        <f t="shared" si="17"/>
        <v>0</v>
      </c>
      <c r="K41" s="2"/>
      <c r="L41" s="7">
        <f t="shared" si="18"/>
        <v>-0.11999999999989086</v>
      </c>
      <c r="M41" s="2"/>
      <c r="N41" s="6">
        <f t="shared" si="19"/>
        <v>-7.6972418216735637E-5</v>
      </c>
      <c r="O41" s="11"/>
      <c r="P41" s="7">
        <v>10912.16</v>
      </c>
      <c r="Q41" s="2"/>
      <c r="R41" s="6">
        <f t="shared" si="20"/>
        <v>0</v>
      </c>
      <c r="S41" s="2"/>
      <c r="T41" s="7">
        <v>10913</v>
      </c>
      <c r="U41" s="2"/>
      <c r="V41" s="6">
        <f t="shared" si="21"/>
        <v>0</v>
      </c>
      <c r="W41" s="2"/>
      <c r="X41" s="7">
        <f t="shared" si="22"/>
        <v>-0.84000000000014552</v>
      </c>
      <c r="Y41" s="2"/>
      <c r="Z41" s="6">
        <f t="shared" si="23"/>
        <v>-7.6972418216818985E-5</v>
      </c>
    </row>
    <row r="42" spans="1:26" s="28" customFormat="1" outlineLevel="1" collapsed="1" x14ac:dyDescent="0.3">
      <c r="A42" s="29"/>
      <c r="B42" s="14" t="str">
        <f>CONCATENATE("     ","Employees' Appreciation                           ")</f>
        <v xml:space="preserve">     Employees' Appreciation                           </v>
      </c>
      <c r="C42" s="14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4"/>
      <c r="P42" s="1">
        <f>SUM(OSRRefP22_3x_0)</f>
        <v>8.02</v>
      </c>
      <c r="Q42" s="1"/>
      <c r="R42" s="5">
        <f t="shared" si="20"/>
        <v>0</v>
      </c>
      <c r="S42" s="1"/>
      <c r="T42" s="1">
        <f>SUM(OSRRefT22_3x_0)</f>
        <v>0</v>
      </c>
      <c r="U42" s="1"/>
      <c r="V42" s="5">
        <f t="shared" si="21"/>
        <v>0</v>
      </c>
      <c r="W42" s="1"/>
      <c r="X42" s="1">
        <f t="shared" si="22"/>
        <v>8.02</v>
      </c>
      <c r="Y42" s="1"/>
      <c r="Z42" s="5">
        <f t="shared" si="23"/>
        <v>0</v>
      </c>
    </row>
    <row r="43" spans="1:26" s="24" customFormat="1" hidden="1" outlineLevel="2" x14ac:dyDescent="0.3">
      <c r="A43" s="27"/>
      <c r="B43" s="11" t="str">
        <f>CONCATENATE("          ", "6277", " - ", "EMPLOYEE APPRECIATION")</f>
        <v xml:space="preserve">          6277 - EMPLOYEE APPRECIATION</v>
      </c>
      <c r="C43" s="11"/>
      <c r="D43" s="7"/>
      <c r="E43" s="2"/>
      <c r="F43" s="6">
        <f t="shared" si="16"/>
        <v>0</v>
      </c>
      <c r="G43" s="2"/>
      <c r="H43" s="7"/>
      <c r="I43" s="2"/>
      <c r="J43" s="6">
        <f t="shared" si="17"/>
        <v>0</v>
      </c>
      <c r="K43" s="2"/>
      <c r="L43" s="7">
        <f t="shared" si="18"/>
        <v>0</v>
      </c>
      <c r="M43" s="2"/>
      <c r="N43" s="6">
        <f t="shared" si="19"/>
        <v>0</v>
      </c>
      <c r="O43" s="11"/>
      <c r="P43" s="7">
        <v>8.02</v>
      </c>
      <c r="Q43" s="2"/>
      <c r="R43" s="6">
        <f t="shared" si="20"/>
        <v>0</v>
      </c>
      <c r="S43" s="2"/>
      <c r="T43" s="7"/>
      <c r="U43" s="2"/>
      <c r="V43" s="6">
        <f t="shared" si="21"/>
        <v>0</v>
      </c>
      <c r="W43" s="2"/>
      <c r="X43" s="7">
        <f t="shared" si="22"/>
        <v>8.02</v>
      </c>
      <c r="Y43" s="2"/>
      <c r="Z43" s="6">
        <f t="shared" si="23"/>
        <v>0</v>
      </c>
    </row>
    <row r="44" spans="1:26" s="28" customFormat="1" outlineLevel="1" collapsed="1" x14ac:dyDescent="0.3">
      <c r="A44" s="29"/>
      <c r="B44" s="14" t="str">
        <f>CONCATENATE("     ","Equipment Rental                                  ")</f>
        <v xml:space="preserve">     Equipment Rental                                  </v>
      </c>
      <c r="C44" s="14"/>
      <c r="D44" s="1">
        <f>SUM(OSRRefD22_4x_0)</f>
        <v>91.26</v>
      </c>
      <c r="E44" s="1"/>
      <c r="F44" s="5">
        <f t="shared" si="16"/>
        <v>0</v>
      </c>
      <c r="G44" s="1"/>
      <c r="H44" s="1">
        <f>SUM(OSRRefH22_4x_0)</f>
        <v>91</v>
      </c>
      <c r="I44" s="1"/>
      <c r="J44" s="5">
        <f t="shared" si="17"/>
        <v>0</v>
      </c>
      <c r="K44" s="1"/>
      <c r="L44" s="1">
        <f t="shared" si="18"/>
        <v>0.26000000000000512</v>
      </c>
      <c r="M44" s="1"/>
      <c r="N44" s="5">
        <f t="shared" si="19"/>
        <v>2.8571428571429135E-3</v>
      </c>
      <c r="O44" s="14"/>
      <c r="P44" s="1">
        <f>SUM(OSRRefP22_4x_0)</f>
        <v>638.82000000000005</v>
      </c>
      <c r="Q44" s="1"/>
      <c r="R44" s="5">
        <f t="shared" si="20"/>
        <v>0</v>
      </c>
      <c r="S44" s="1"/>
      <c r="T44" s="1">
        <f>SUM(OSRRefT22_4x_0)</f>
        <v>637</v>
      </c>
      <c r="U44" s="1"/>
      <c r="V44" s="5">
        <f t="shared" si="21"/>
        <v>0</v>
      </c>
      <c r="W44" s="1"/>
      <c r="X44" s="1">
        <f t="shared" si="22"/>
        <v>1.82000000000005</v>
      </c>
      <c r="Y44" s="1"/>
      <c r="Z44" s="5">
        <f t="shared" si="23"/>
        <v>2.8571428571429356E-3</v>
      </c>
    </row>
    <row r="45" spans="1:26" s="24" customFormat="1" hidden="1" outlineLevel="2" x14ac:dyDescent="0.3">
      <c r="A45" s="27"/>
      <c r="B45" s="11" t="str">
        <f>CONCATENATE("          ", "6351", " - ", "EQUIPMENT RENTAL")</f>
        <v xml:space="preserve">          6351 - EQUIPMENT RENTAL</v>
      </c>
      <c r="C45" s="11"/>
      <c r="D45" s="7">
        <v>91.26</v>
      </c>
      <c r="E45" s="2"/>
      <c r="F45" s="6">
        <f t="shared" si="16"/>
        <v>0</v>
      </c>
      <c r="G45" s="2"/>
      <c r="H45" s="7">
        <v>91</v>
      </c>
      <c r="I45" s="2"/>
      <c r="J45" s="6">
        <f t="shared" si="17"/>
        <v>0</v>
      </c>
      <c r="K45" s="2"/>
      <c r="L45" s="7">
        <f t="shared" si="18"/>
        <v>0.26000000000000512</v>
      </c>
      <c r="M45" s="2"/>
      <c r="N45" s="6">
        <f t="shared" si="19"/>
        <v>2.8571428571429135E-3</v>
      </c>
      <c r="O45" s="11"/>
      <c r="P45" s="7">
        <v>638.82000000000005</v>
      </c>
      <c r="Q45" s="2"/>
      <c r="R45" s="6">
        <f t="shared" si="20"/>
        <v>0</v>
      </c>
      <c r="S45" s="2"/>
      <c r="T45" s="7">
        <v>637</v>
      </c>
      <c r="U45" s="2"/>
      <c r="V45" s="6">
        <f t="shared" si="21"/>
        <v>0</v>
      </c>
      <c r="W45" s="2"/>
      <c r="X45" s="7">
        <f t="shared" si="22"/>
        <v>1.82000000000005</v>
      </c>
      <c r="Y45" s="2"/>
      <c r="Z45" s="6">
        <f t="shared" si="23"/>
        <v>2.8571428571429356E-3</v>
      </c>
    </row>
    <row r="46" spans="1:26" s="28" customFormat="1" outlineLevel="1" collapsed="1" x14ac:dyDescent="0.3">
      <c r="A46" s="29"/>
      <c r="B46" s="14" t="str">
        <f>CONCATENATE("     ","Freight out/Postage                               ")</f>
        <v xml:space="preserve">     Freight out/Postage                               </v>
      </c>
      <c r="C46" s="14"/>
      <c r="D46" s="1">
        <f>SUM(OSRRefD22_5x_0)</f>
        <v>123.15</v>
      </c>
      <c r="E46" s="1"/>
      <c r="F46" s="5">
        <f t="shared" si="16"/>
        <v>0</v>
      </c>
      <c r="G46" s="1"/>
      <c r="H46" s="1">
        <f>SUM(OSRRefH22_5x_0)</f>
        <v>100</v>
      </c>
      <c r="I46" s="1"/>
      <c r="J46" s="5">
        <f t="shared" si="17"/>
        <v>0</v>
      </c>
      <c r="K46" s="1"/>
      <c r="L46" s="1">
        <f t="shared" si="18"/>
        <v>23.150000000000006</v>
      </c>
      <c r="M46" s="1"/>
      <c r="N46" s="5">
        <f t="shared" si="19"/>
        <v>0.23150000000000007</v>
      </c>
      <c r="O46" s="14"/>
      <c r="P46" s="1">
        <f>SUM(OSRRefP22_5x_0)</f>
        <v>916.49</v>
      </c>
      <c r="Q46" s="1"/>
      <c r="R46" s="5">
        <f t="shared" si="20"/>
        <v>0</v>
      </c>
      <c r="S46" s="1"/>
      <c r="T46" s="1">
        <f>SUM(OSRRefT22_5x_0)</f>
        <v>700</v>
      </c>
      <c r="U46" s="1"/>
      <c r="V46" s="5">
        <f t="shared" si="21"/>
        <v>0</v>
      </c>
      <c r="W46" s="1"/>
      <c r="X46" s="1">
        <f t="shared" si="22"/>
        <v>216.49</v>
      </c>
      <c r="Y46" s="1"/>
      <c r="Z46" s="5">
        <f t="shared" si="23"/>
        <v>0.30927142857142859</v>
      </c>
    </row>
    <row r="47" spans="1:26" s="24" customFormat="1" hidden="1" outlineLevel="2" x14ac:dyDescent="0.3">
      <c r="A47" s="27"/>
      <c r="B47" s="11" t="str">
        <f>CONCATENATE("          ", "6307", " - ", "POSTAGE")</f>
        <v xml:space="preserve">          6307 - POSTAGE</v>
      </c>
      <c r="C47" s="11"/>
      <c r="D47" s="7">
        <v>123.15</v>
      </c>
      <c r="E47" s="2"/>
      <c r="F47" s="6">
        <f t="shared" si="16"/>
        <v>0</v>
      </c>
      <c r="G47" s="2"/>
      <c r="H47" s="7">
        <v>100</v>
      </c>
      <c r="I47" s="2"/>
      <c r="J47" s="6">
        <f t="shared" si="17"/>
        <v>0</v>
      </c>
      <c r="K47" s="2"/>
      <c r="L47" s="7">
        <f t="shared" si="18"/>
        <v>23.150000000000006</v>
      </c>
      <c r="M47" s="2"/>
      <c r="N47" s="6">
        <f t="shared" si="19"/>
        <v>0.23150000000000007</v>
      </c>
      <c r="O47" s="11"/>
      <c r="P47" s="7">
        <v>916.49</v>
      </c>
      <c r="Q47" s="2"/>
      <c r="R47" s="6">
        <f t="shared" si="20"/>
        <v>0</v>
      </c>
      <c r="S47" s="2"/>
      <c r="T47" s="7">
        <v>700</v>
      </c>
      <c r="U47" s="2"/>
      <c r="V47" s="6">
        <f t="shared" si="21"/>
        <v>0</v>
      </c>
      <c r="W47" s="2"/>
      <c r="X47" s="7">
        <f t="shared" si="22"/>
        <v>216.49</v>
      </c>
      <c r="Y47" s="2"/>
      <c r="Z47" s="6">
        <f t="shared" si="23"/>
        <v>0.30927142857142859</v>
      </c>
    </row>
    <row r="48" spans="1:26" s="28" customFormat="1" outlineLevel="1" collapsed="1" x14ac:dyDescent="0.3">
      <c r="A48" s="29"/>
      <c r="B48" s="14" t="str">
        <f>CONCATENATE("     ","Insurance                                         ")</f>
        <v xml:space="preserve">     Insurance                                         </v>
      </c>
      <c r="C48" s="14"/>
      <c r="D48" s="1">
        <f>SUM(OSRRefD22_6x_0)</f>
        <v>179.64</v>
      </c>
      <c r="E48" s="1"/>
      <c r="F48" s="5">
        <f t="shared" si="16"/>
        <v>0</v>
      </c>
      <c r="G48" s="1"/>
      <c r="H48" s="1">
        <f>SUM(OSRRefH22_6x_0)</f>
        <v>180</v>
      </c>
      <c r="I48" s="1"/>
      <c r="J48" s="5">
        <f t="shared" si="17"/>
        <v>0</v>
      </c>
      <c r="K48" s="1"/>
      <c r="L48" s="1">
        <f t="shared" si="18"/>
        <v>-0.36000000000001364</v>
      </c>
      <c r="M48" s="1"/>
      <c r="N48" s="5">
        <f t="shared" si="19"/>
        <v>-2.0000000000000759E-3</v>
      </c>
      <c r="O48" s="14"/>
      <c r="P48" s="1">
        <f>SUM(OSRRefP22_6x_0)</f>
        <v>1257.48</v>
      </c>
      <c r="Q48" s="1"/>
      <c r="R48" s="5">
        <f t="shared" si="20"/>
        <v>0</v>
      </c>
      <c r="S48" s="1"/>
      <c r="T48" s="1">
        <f>SUM(OSRRefT22_6x_0)</f>
        <v>1260</v>
      </c>
      <c r="U48" s="1"/>
      <c r="V48" s="5">
        <f t="shared" si="21"/>
        <v>0</v>
      </c>
      <c r="W48" s="1"/>
      <c r="X48" s="1">
        <f t="shared" si="22"/>
        <v>-2.5199999999999818</v>
      </c>
      <c r="Y48" s="1"/>
      <c r="Z48" s="5">
        <f t="shared" si="23"/>
        <v>-1.9999999999999857E-3</v>
      </c>
    </row>
    <row r="49" spans="1:26" s="24" customFormat="1" hidden="1" outlineLevel="2" x14ac:dyDescent="0.3">
      <c r="A49" s="27"/>
      <c r="B49" s="11" t="str">
        <f>CONCATENATE("          ", "6314", " - ", "LIABILITY INSURANCE")</f>
        <v xml:space="preserve">          6314 - LIABILITY INSURANCE</v>
      </c>
      <c r="C49" s="11"/>
      <c r="D49" s="7">
        <v>179.64</v>
      </c>
      <c r="E49" s="2"/>
      <c r="F49" s="6">
        <f t="shared" si="16"/>
        <v>0</v>
      </c>
      <c r="G49" s="2"/>
      <c r="H49" s="7">
        <v>180</v>
      </c>
      <c r="I49" s="2"/>
      <c r="J49" s="6">
        <f t="shared" si="17"/>
        <v>0</v>
      </c>
      <c r="K49" s="2"/>
      <c r="L49" s="7">
        <f t="shared" si="18"/>
        <v>-0.36000000000001364</v>
      </c>
      <c r="M49" s="2"/>
      <c r="N49" s="6">
        <f t="shared" si="19"/>
        <v>-2.0000000000000759E-3</v>
      </c>
      <c r="O49" s="11"/>
      <c r="P49" s="7">
        <v>1257.48</v>
      </c>
      <c r="Q49" s="2"/>
      <c r="R49" s="6">
        <f t="shared" si="20"/>
        <v>0</v>
      </c>
      <c r="S49" s="2"/>
      <c r="T49" s="7">
        <v>1260</v>
      </c>
      <c r="U49" s="2"/>
      <c r="V49" s="6">
        <f t="shared" si="21"/>
        <v>0</v>
      </c>
      <c r="W49" s="2"/>
      <c r="X49" s="7">
        <f t="shared" si="22"/>
        <v>-2.5199999999999818</v>
      </c>
      <c r="Y49" s="2"/>
      <c r="Z49" s="6">
        <f t="shared" si="23"/>
        <v>-1.9999999999999857E-3</v>
      </c>
    </row>
    <row r="50" spans="1:26" s="28" customFormat="1" outlineLevel="1" collapsed="1" x14ac:dyDescent="0.3">
      <c r="A50" s="29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SUM(OSRRefD22_7x_0)</f>
        <v>5233.91</v>
      </c>
      <c r="E50" s="1"/>
      <c r="F50" s="5">
        <f t="shared" si="16"/>
        <v>0</v>
      </c>
      <c r="G50" s="1"/>
      <c r="H50" s="1">
        <f>SUM(OSRRefH22_7x_0)</f>
        <v>4710</v>
      </c>
      <c r="I50" s="1"/>
      <c r="J50" s="5">
        <f t="shared" si="17"/>
        <v>0</v>
      </c>
      <c r="K50" s="1"/>
      <c r="L50" s="1">
        <f t="shared" si="18"/>
        <v>523.90999999999985</v>
      </c>
      <c r="M50" s="1"/>
      <c r="N50" s="5">
        <f t="shared" si="19"/>
        <v>0.11123354564755836</v>
      </c>
      <c r="O50" s="14"/>
      <c r="P50" s="1">
        <f>SUM(OSRRefP22_7x_0)</f>
        <v>7202.4499999999989</v>
      </c>
      <c r="Q50" s="1"/>
      <c r="R50" s="5">
        <f t="shared" si="20"/>
        <v>0</v>
      </c>
      <c r="S50" s="1"/>
      <c r="T50" s="1">
        <f>SUM(OSRRefT22_7x_0)</f>
        <v>5970</v>
      </c>
      <c r="U50" s="1"/>
      <c r="V50" s="5">
        <f t="shared" si="21"/>
        <v>0</v>
      </c>
      <c r="W50" s="1"/>
      <c r="X50" s="1">
        <f t="shared" si="22"/>
        <v>1232.4499999999989</v>
      </c>
      <c r="Y50" s="1"/>
      <c r="Z50" s="5">
        <f t="shared" si="23"/>
        <v>0.20644053601340015</v>
      </c>
    </row>
    <row r="51" spans="1:26" s="24" customFormat="1" hidden="1" outlineLevel="2" x14ac:dyDescent="0.3">
      <c r="A51" s="27"/>
      <c r="B51" s="11" t="str">
        <f>CONCATENATE("          ", "6371", " - ", "COMPUTER SOFTWARE MAINTENANCE")</f>
        <v xml:space="preserve">          6371 - COMPUTER SOFTWARE MAINTENANCE</v>
      </c>
      <c r="C51" s="11"/>
      <c r="D51" s="7">
        <v>59.95</v>
      </c>
      <c r="E51" s="2"/>
      <c r="F51" s="6">
        <f t="shared" si="16"/>
        <v>0</v>
      </c>
      <c r="G51" s="2"/>
      <c r="H51" s="7"/>
      <c r="I51" s="2"/>
      <c r="J51" s="6">
        <f t="shared" si="17"/>
        <v>0</v>
      </c>
      <c r="K51" s="2"/>
      <c r="L51" s="7">
        <f t="shared" si="18"/>
        <v>59.95</v>
      </c>
      <c r="M51" s="2"/>
      <c r="N51" s="6">
        <f t="shared" si="19"/>
        <v>0</v>
      </c>
      <c r="O51" s="11"/>
      <c r="P51" s="7">
        <v>419.65</v>
      </c>
      <c r="Q51" s="2"/>
      <c r="R51" s="6">
        <f t="shared" si="20"/>
        <v>0</v>
      </c>
      <c r="S51" s="2"/>
      <c r="T51" s="7"/>
      <c r="U51" s="2"/>
      <c r="V51" s="6">
        <f t="shared" si="21"/>
        <v>0</v>
      </c>
      <c r="W51" s="2"/>
      <c r="X51" s="7">
        <f t="shared" si="22"/>
        <v>419.65</v>
      </c>
      <c r="Y51" s="2"/>
      <c r="Z51" s="6">
        <f t="shared" si="23"/>
        <v>0</v>
      </c>
    </row>
    <row r="52" spans="1:26" s="24" customFormat="1" hidden="1" outlineLevel="2" x14ac:dyDescent="0.3">
      <c r="A52" s="27"/>
      <c r="B52" s="11" t="str">
        <f>CONCATENATE("          ", "6373", " - ", "MAINTENANCE CONTRACTS")</f>
        <v xml:space="preserve">          6373 - MAINTENANCE CONTRACTS</v>
      </c>
      <c r="C52" s="11"/>
      <c r="D52" s="7">
        <v>5173.96</v>
      </c>
      <c r="E52" s="2"/>
      <c r="F52" s="6">
        <f t="shared" si="16"/>
        <v>0</v>
      </c>
      <c r="G52" s="2"/>
      <c r="H52" s="7">
        <v>4560</v>
      </c>
      <c r="I52" s="2"/>
      <c r="J52" s="6">
        <f t="shared" si="17"/>
        <v>0</v>
      </c>
      <c r="K52" s="2"/>
      <c r="L52" s="7">
        <f t="shared" si="18"/>
        <v>613.96</v>
      </c>
      <c r="M52" s="2"/>
      <c r="N52" s="6">
        <f t="shared" si="19"/>
        <v>0.13464035087719298</v>
      </c>
      <c r="O52" s="11"/>
      <c r="P52" s="7">
        <v>5225.24</v>
      </c>
      <c r="Q52" s="2"/>
      <c r="R52" s="6">
        <f t="shared" si="20"/>
        <v>0</v>
      </c>
      <c r="S52" s="2"/>
      <c r="T52" s="7">
        <v>4920</v>
      </c>
      <c r="U52" s="2"/>
      <c r="V52" s="6">
        <f t="shared" si="21"/>
        <v>0</v>
      </c>
      <c r="W52" s="2"/>
      <c r="X52" s="7">
        <f t="shared" si="22"/>
        <v>305.23999999999978</v>
      </c>
      <c r="Y52" s="2"/>
      <c r="Z52" s="6">
        <f t="shared" si="23"/>
        <v>6.2040650406504021E-2</v>
      </c>
    </row>
    <row r="53" spans="1:26" s="24" customFormat="1" hidden="1" outlineLevel="2" x14ac:dyDescent="0.3">
      <c r="A53" s="27"/>
      <c r="B53" s="11" t="str">
        <f>CONCATENATE("          ", "6375", " - ", "OUTSIDE REPAIRS &amp; MAINTENANCE")</f>
        <v xml:space="preserve">          6375 - OUTSIDE REPAIRS &amp; MAINTENANCE</v>
      </c>
      <c r="C53" s="11"/>
      <c r="D53" s="7"/>
      <c r="E53" s="2"/>
      <c r="F53" s="6">
        <f t="shared" si="16"/>
        <v>0</v>
      </c>
      <c r="G53" s="2"/>
      <c r="H53" s="7">
        <v>150</v>
      </c>
      <c r="I53" s="2"/>
      <c r="J53" s="6">
        <f t="shared" si="17"/>
        <v>0</v>
      </c>
      <c r="K53" s="2"/>
      <c r="L53" s="7">
        <f t="shared" si="18"/>
        <v>-150</v>
      </c>
      <c r="M53" s="2"/>
      <c r="N53" s="6">
        <f t="shared" si="19"/>
        <v>-1</v>
      </c>
      <c r="O53" s="11"/>
      <c r="P53" s="7">
        <v>1557.56</v>
      </c>
      <c r="Q53" s="2"/>
      <c r="R53" s="6">
        <f t="shared" si="20"/>
        <v>0</v>
      </c>
      <c r="S53" s="2"/>
      <c r="T53" s="7">
        <v>1050</v>
      </c>
      <c r="U53" s="2"/>
      <c r="V53" s="6">
        <f t="shared" si="21"/>
        <v>0</v>
      </c>
      <c r="W53" s="2"/>
      <c r="X53" s="7">
        <f t="shared" si="22"/>
        <v>507.55999999999995</v>
      </c>
      <c r="Y53" s="2"/>
      <c r="Z53" s="6">
        <f t="shared" si="23"/>
        <v>0.48339047619047615</v>
      </c>
    </row>
    <row r="54" spans="1:26" s="28" customFormat="1" outlineLevel="1" collapsed="1" x14ac:dyDescent="0.3">
      <c r="A54" s="29"/>
      <c r="B54" s="14" t="str">
        <f>CONCATENATE("     ","Services                                          ")</f>
        <v xml:space="preserve">     Services                                          </v>
      </c>
      <c r="C54" s="14"/>
      <c r="D54" s="1">
        <f>SUM(OSRRefD22_8x_0)</f>
        <v>1208.05</v>
      </c>
      <c r="E54" s="1"/>
      <c r="F54" s="5">
        <f t="shared" ref="F54:F63" si="24">IF(D$12=0,0,D54/D$12)</f>
        <v>0</v>
      </c>
      <c r="G54" s="1"/>
      <c r="H54" s="1">
        <f>SUM(OSRRefH22_8x_0)</f>
        <v>625</v>
      </c>
      <c r="I54" s="1"/>
      <c r="J54" s="5">
        <f t="shared" ref="J54:J63" si="25">IF(H$12=0,0,H54/H$12)</f>
        <v>0</v>
      </c>
      <c r="K54" s="1"/>
      <c r="L54" s="1">
        <f t="shared" ref="L54:L63" si="26">+D54-H54</f>
        <v>583.04999999999995</v>
      </c>
      <c r="M54" s="1"/>
      <c r="N54" s="5">
        <f t="shared" ref="N54:N63" si="27">IF(H54=0,0,L54/H54)</f>
        <v>0.93287999999999993</v>
      </c>
      <c r="O54" s="14"/>
      <c r="P54" s="1">
        <f>SUM(OSRRefP22_8x_0)</f>
        <v>5205.46</v>
      </c>
      <c r="Q54" s="1"/>
      <c r="R54" s="5">
        <f t="shared" ref="R54:R63" si="28">IF(P$12=0,0,P54/P$12)</f>
        <v>0</v>
      </c>
      <c r="S54" s="1"/>
      <c r="T54" s="1">
        <f>SUM(OSRRefT22_8x_0)</f>
        <v>4375</v>
      </c>
      <c r="U54" s="1"/>
      <c r="V54" s="5">
        <f t="shared" ref="V54:V63" si="29">IF(T$12=0,0,T54/T$12)</f>
        <v>0</v>
      </c>
      <c r="W54" s="1"/>
      <c r="X54" s="1">
        <f t="shared" ref="X54:X63" si="30">+P54-T54</f>
        <v>830.46</v>
      </c>
      <c r="Y54" s="1"/>
      <c r="Z54" s="5">
        <f t="shared" ref="Z54:Z63" si="31">IF(T54=0,0,X54/T54)</f>
        <v>0.18981942857142858</v>
      </c>
    </row>
    <row r="55" spans="1:26" s="24" customFormat="1" hidden="1" outlineLevel="2" x14ac:dyDescent="0.3">
      <c r="A55" s="27"/>
      <c r="B55" s="11" t="str">
        <f>CONCATENATE("          ", "6281", " - ", "STORAGE FEE")</f>
        <v xml:space="preserve">          6281 - STORAGE FEE</v>
      </c>
      <c r="C55" s="11"/>
      <c r="D55" s="7">
        <v>1208.05</v>
      </c>
      <c r="E55" s="2"/>
      <c r="F55" s="6">
        <f t="shared" si="24"/>
        <v>0</v>
      </c>
      <c r="G55" s="2"/>
      <c r="H55" s="7">
        <v>625</v>
      </c>
      <c r="I55" s="2"/>
      <c r="J55" s="6">
        <f t="shared" si="25"/>
        <v>0</v>
      </c>
      <c r="K55" s="2"/>
      <c r="L55" s="7">
        <f t="shared" si="26"/>
        <v>583.04999999999995</v>
      </c>
      <c r="M55" s="2"/>
      <c r="N55" s="6">
        <f t="shared" si="27"/>
        <v>0.93287999999999993</v>
      </c>
      <c r="O55" s="11"/>
      <c r="P55" s="7">
        <v>5205.46</v>
      </c>
      <c r="Q55" s="2"/>
      <c r="R55" s="6">
        <f t="shared" si="28"/>
        <v>0</v>
      </c>
      <c r="S55" s="2"/>
      <c r="T55" s="7">
        <v>4375</v>
      </c>
      <c r="U55" s="2"/>
      <c r="V55" s="6">
        <f t="shared" si="29"/>
        <v>0</v>
      </c>
      <c r="W55" s="2"/>
      <c r="X55" s="7">
        <f t="shared" si="30"/>
        <v>830.46</v>
      </c>
      <c r="Y55" s="2"/>
      <c r="Z55" s="6">
        <f t="shared" si="31"/>
        <v>0.18981942857142858</v>
      </c>
    </row>
    <row r="56" spans="1:26" s="28" customFormat="1" outlineLevel="1" collapsed="1" x14ac:dyDescent="0.3">
      <c r="A56" s="29"/>
      <c r="B56" s="14" t="str">
        <f>CONCATENATE("     ","Supplies                                          ")</f>
        <v xml:space="preserve">     Supplies                                          </v>
      </c>
      <c r="C56" s="14"/>
      <c r="D56" s="1">
        <f>SUM(OSRRefD22_9x_0)</f>
        <v>46.21</v>
      </c>
      <c r="E56" s="1"/>
      <c r="F56" s="5">
        <f t="shared" si="24"/>
        <v>0</v>
      </c>
      <c r="G56" s="1"/>
      <c r="H56" s="1">
        <f>SUM(OSRRefH22_9x_0)</f>
        <v>100</v>
      </c>
      <c r="I56" s="1"/>
      <c r="J56" s="5">
        <f t="shared" si="25"/>
        <v>0</v>
      </c>
      <c r="K56" s="1"/>
      <c r="L56" s="1">
        <f t="shared" si="26"/>
        <v>-53.79</v>
      </c>
      <c r="M56" s="1"/>
      <c r="N56" s="5">
        <f t="shared" si="27"/>
        <v>-0.53790000000000004</v>
      </c>
      <c r="O56" s="14"/>
      <c r="P56" s="1">
        <f>SUM(OSRRefP22_9x_0)</f>
        <v>1656.46</v>
      </c>
      <c r="Q56" s="1"/>
      <c r="R56" s="5">
        <f t="shared" si="28"/>
        <v>0</v>
      </c>
      <c r="S56" s="1"/>
      <c r="T56" s="1">
        <f>SUM(OSRRefT22_9x_0)</f>
        <v>700</v>
      </c>
      <c r="U56" s="1"/>
      <c r="V56" s="5">
        <f t="shared" si="29"/>
        <v>0</v>
      </c>
      <c r="W56" s="1"/>
      <c r="X56" s="1">
        <f t="shared" si="30"/>
        <v>956.46</v>
      </c>
      <c r="Y56" s="1"/>
      <c r="Z56" s="5">
        <f t="shared" si="31"/>
        <v>1.3663714285714286</v>
      </c>
    </row>
    <row r="57" spans="1:26" s="24" customFormat="1" hidden="1" outlineLevel="2" x14ac:dyDescent="0.3">
      <c r="A57" s="27"/>
      <c r="B57" s="11" t="str">
        <f>CONCATENATE("          ", "6241", " - ", "OFFICE EXPENSE")</f>
        <v xml:space="preserve">          6241 - OFFICE EXPENSE</v>
      </c>
      <c r="C57" s="11"/>
      <c r="D57" s="7">
        <v>46.21</v>
      </c>
      <c r="E57" s="2"/>
      <c r="F57" s="6">
        <f t="shared" si="24"/>
        <v>0</v>
      </c>
      <c r="G57" s="2"/>
      <c r="H57" s="7">
        <v>100</v>
      </c>
      <c r="I57" s="2"/>
      <c r="J57" s="6">
        <f t="shared" si="25"/>
        <v>0</v>
      </c>
      <c r="K57" s="2"/>
      <c r="L57" s="7">
        <f t="shared" si="26"/>
        <v>-53.79</v>
      </c>
      <c r="M57" s="2"/>
      <c r="N57" s="6">
        <f t="shared" si="27"/>
        <v>-0.53790000000000004</v>
      </c>
      <c r="O57" s="11"/>
      <c r="P57" s="7">
        <v>1656.46</v>
      </c>
      <c r="Q57" s="2"/>
      <c r="R57" s="6">
        <f t="shared" si="28"/>
        <v>0</v>
      </c>
      <c r="S57" s="2"/>
      <c r="T57" s="7">
        <v>700</v>
      </c>
      <c r="U57" s="2"/>
      <c r="V57" s="6">
        <f t="shared" si="29"/>
        <v>0</v>
      </c>
      <c r="W57" s="2"/>
      <c r="X57" s="7">
        <f t="shared" si="30"/>
        <v>956.46</v>
      </c>
      <c r="Y57" s="2"/>
      <c r="Z57" s="6">
        <f t="shared" si="31"/>
        <v>1.3663714285714286</v>
      </c>
    </row>
    <row r="58" spans="1:26" s="28" customFormat="1" outlineLevel="1" collapsed="1" x14ac:dyDescent="0.3">
      <c r="A58" s="29"/>
      <c r="B58" s="14" t="str">
        <f>CONCATENATE("     ","Telephone/Data Lines                              ")</f>
        <v xml:space="preserve">     Telephone/Data Lines                              </v>
      </c>
      <c r="C58" s="14"/>
      <c r="D58" s="1">
        <f>SUM(OSRRefD22_10x_0)</f>
        <v>422.8</v>
      </c>
      <c r="E58" s="1"/>
      <c r="F58" s="5">
        <f t="shared" si="24"/>
        <v>0</v>
      </c>
      <c r="G58" s="1"/>
      <c r="H58" s="1">
        <f>SUM(OSRRefH22_10x_0)</f>
        <v>400</v>
      </c>
      <c r="I58" s="1"/>
      <c r="J58" s="5">
        <f t="shared" si="25"/>
        <v>0</v>
      </c>
      <c r="K58" s="1"/>
      <c r="L58" s="1">
        <f t="shared" si="26"/>
        <v>22.800000000000011</v>
      </c>
      <c r="M58" s="1"/>
      <c r="N58" s="5">
        <f t="shared" si="27"/>
        <v>5.700000000000003E-2</v>
      </c>
      <c r="O58" s="14"/>
      <c r="P58" s="1">
        <f>SUM(OSRRefP22_10x_0)</f>
        <v>2980.65</v>
      </c>
      <c r="Q58" s="1"/>
      <c r="R58" s="5">
        <f t="shared" si="28"/>
        <v>0</v>
      </c>
      <c r="S58" s="1"/>
      <c r="T58" s="1">
        <f>SUM(OSRRefT22_10x_0)</f>
        <v>2800</v>
      </c>
      <c r="U58" s="1"/>
      <c r="V58" s="5">
        <f t="shared" si="29"/>
        <v>0</v>
      </c>
      <c r="W58" s="1"/>
      <c r="X58" s="1">
        <f t="shared" si="30"/>
        <v>180.65000000000009</v>
      </c>
      <c r="Y58" s="1"/>
      <c r="Z58" s="5">
        <f t="shared" si="31"/>
        <v>6.4517857142857168E-2</v>
      </c>
    </row>
    <row r="59" spans="1:26" s="24" customFormat="1" hidden="1" outlineLevel="2" x14ac:dyDescent="0.3">
      <c r="A59" s="27"/>
      <c r="B59" s="11" t="str">
        <f>CONCATENATE("          ", "6309", " - ", "TELEPHONE")</f>
        <v xml:space="preserve">          6309 - TELEPHONE</v>
      </c>
      <c r="C59" s="11"/>
      <c r="D59" s="7">
        <v>422.8</v>
      </c>
      <c r="E59" s="2"/>
      <c r="F59" s="6">
        <f t="shared" si="24"/>
        <v>0</v>
      </c>
      <c r="G59" s="2"/>
      <c r="H59" s="7">
        <v>400</v>
      </c>
      <c r="I59" s="2"/>
      <c r="J59" s="6">
        <f t="shared" si="25"/>
        <v>0</v>
      </c>
      <c r="K59" s="2"/>
      <c r="L59" s="7">
        <f t="shared" si="26"/>
        <v>22.800000000000011</v>
      </c>
      <c r="M59" s="2"/>
      <c r="N59" s="6">
        <f t="shared" si="27"/>
        <v>5.700000000000003E-2</v>
      </c>
      <c r="O59" s="11"/>
      <c r="P59" s="7">
        <v>2980.65</v>
      </c>
      <c r="Q59" s="2"/>
      <c r="R59" s="6">
        <f t="shared" si="28"/>
        <v>0</v>
      </c>
      <c r="S59" s="2"/>
      <c r="T59" s="7">
        <v>2800</v>
      </c>
      <c r="U59" s="2"/>
      <c r="V59" s="6">
        <f t="shared" si="29"/>
        <v>0</v>
      </c>
      <c r="W59" s="2"/>
      <c r="X59" s="7">
        <f t="shared" si="30"/>
        <v>180.65000000000009</v>
      </c>
      <c r="Y59" s="2"/>
      <c r="Z59" s="6">
        <f t="shared" si="31"/>
        <v>6.4517857142857168E-2</v>
      </c>
    </row>
    <row r="60" spans="1:26" s="28" customFormat="1" outlineLevel="1" collapsed="1" x14ac:dyDescent="0.3">
      <c r="A60" s="29"/>
      <c r="B60" s="14" t="str">
        <f>CONCATENATE("     ","Training                                          ")</f>
        <v xml:space="preserve">     Training                                          </v>
      </c>
      <c r="C60" s="14"/>
      <c r="D60" s="1">
        <f>SUM(OSRRefD22_11x_0)</f>
        <v>0</v>
      </c>
      <c r="E60" s="1"/>
      <c r="F60" s="5">
        <f t="shared" si="24"/>
        <v>0</v>
      </c>
      <c r="G60" s="1"/>
      <c r="H60" s="1">
        <f>SUM(OSRRefH22_11x_0)</f>
        <v>3000</v>
      </c>
      <c r="I60" s="1"/>
      <c r="J60" s="5">
        <f t="shared" si="25"/>
        <v>0</v>
      </c>
      <c r="K60" s="1"/>
      <c r="L60" s="1">
        <f t="shared" si="26"/>
        <v>-3000</v>
      </c>
      <c r="M60" s="1"/>
      <c r="N60" s="5">
        <f t="shared" si="27"/>
        <v>-1</v>
      </c>
      <c r="O60" s="14"/>
      <c r="P60" s="1">
        <f>SUM(OSRRefP22_11x_0)</f>
        <v>595</v>
      </c>
      <c r="Q60" s="1"/>
      <c r="R60" s="5">
        <f t="shared" si="28"/>
        <v>0</v>
      </c>
      <c r="S60" s="1"/>
      <c r="T60" s="1">
        <f>SUM(OSRRefT22_11x_0)</f>
        <v>3000</v>
      </c>
      <c r="U60" s="1"/>
      <c r="V60" s="5">
        <f t="shared" si="29"/>
        <v>0</v>
      </c>
      <c r="W60" s="1"/>
      <c r="X60" s="1">
        <f t="shared" si="30"/>
        <v>-2405</v>
      </c>
      <c r="Y60" s="1"/>
      <c r="Z60" s="5">
        <f t="shared" si="31"/>
        <v>-0.80166666666666664</v>
      </c>
    </row>
    <row r="61" spans="1:26" s="24" customFormat="1" hidden="1" outlineLevel="2" x14ac:dyDescent="0.3">
      <c r="A61" s="27"/>
      <c r="B61" s="11" t="str">
        <f>CONCATENATE("          ", "6376", " - ", "TRAINING")</f>
        <v xml:space="preserve">          6376 - TRAINING</v>
      </c>
      <c r="C61" s="11"/>
      <c r="D61" s="7"/>
      <c r="E61" s="2"/>
      <c r="F61" s="6">
        <f t="shared" si="24"/>
        <v>0</v>
      </c>
      <c r="G61" s="2"/>
      <c r="H61" s="7">
        <v>3000</v>
      </c>
      <c r="I61" s="2"/>
      <c r="J61" s="6">
        <f t="shared" si="25"/>
        <v>0</v>
      </c>
      <c r="K61" s="2"/>
      <c r="L61" s="7">
        <f t="shared" si="26"/>
        <v>-3000</v>
      </c>
      <c r="M61" s="2"/>
      <c r="N61" s="6">
        <f t="shared" si="27"/>
        <v>-1</v>
      </c>
      <c r="O61" s="11"/>
      <c r="P61" s="7">
        <v>595</v>
      </c>
      <c r="Q61" s="2"/>
      <c r="R61" s="6">
        <f t="shared" si="28"/>
        <v>0</v>
      </c>
      <c r="S61" s="2"/>
      <c r="T61" s="7">
        <v>3000</v>
      </c>
      <c r="U61" s="2"/>
      <c r="V61" s="6">
        <f t="shared" si="29"/>
        <v>0</v>
      </c>
      <c r="W61" s="2"/>
      <c r="X61" s="7">
        <f t="shared" si="30"/>
        <v>-2405</v>
      </c>
      <c r="Y61" s="2"/>
      <c r="Z61" s="6">
        <f t="shared" si="31"/>
        <v>-0.80166666666666664</v>
      </c>
    </row>
    <row r="62" spans="1:26" s="28" customFormat="1" outlineLevel="1" collapsed="1" x14ac:dyDescent="0.3">
      <c r="A62" s="29"/>
      <c r="B62" s="14" t="str">
        <f>CONCATENATE("     ","Travel                                            ")</f>
        <v xml:space="preserve">     Travel                                            </v>
      </c>
      <c r="C62" s="14"/>
      <c r="D62" s="1">
        <f>SUM(OSRRefD22_12x_0)</f>
        <v>0</v>
      </c>
      <c r="E62" s="1"/>
      <c r="F62" s="5">
        <f t="shared" si="24"/>
        <v>0</v>
      </c>
      <c r="G62" s="1"/>
      <c r="H62" s="1">
        <f>SUM(OSRRefH22_12x_0)</f>
        <v>0</v>
      </c>
      <c r="I62" s="1"/>
      <c r="J62" s="5">
        <f t="shared" si="25"/>
        <v>0</v>
      </c>
      <c r="K62" s="1"/>
      <c r="L62" s="1">
        <f t="shared" si="26"/>
        <v>0</v>
      </c>
      <c r="M62" s="1"/>
      <c r="N62" s="5">
        <f t="shared" si="27"/>
        <v>0</v>
      </c>
      <c r="O62" s="14"/>
      <c r="P62" s="1">
        <f>SUM(OSRRefP22_12x_0)</f>
        <v>30.4</v>
      </c>
      <c r="Q62" s="1"/>
      <c r="R62" s="5">
        <f t="shared" si="28"/>
        <v>0</v>
      </c>
      <c r="S62" s="1"/>
      <c r="T62" s="1">
        <f>SUM(OSRRefT22_12x_0)</f>
        <v>0</v>
      </c>
      <c r="U62" s="1"/>
      <c r="V62" s="5">
        <f t="shared" si="29"/>
        <v>0</v>
      </c>
      <c r="W62" s="1"/>
      <c r="X62" s="1">
        <f t="shared" si="30"/>
        <v>30.4</v>
      </c>
      <c r="Y62" s="1"/>
      <c r="Z62" s="5">
        <f t="shared" si="31"/>
        <v>0</v>
      </c>
    </row>
    <row r="63" spans="1:26" s="24" customFormat="1" hidden="1" outlineLevel="2" x14ac:dyDescent="0.3">
      <c r="A63" s="27"/>
      <c r="B63" s="11" t="str">
        <f>CONCATENATE("          ", "6294", " - ", "TRAVEL OPERATIONAL")</f>
        <v xml:space="preserve">          6294 - TRAVEL OPERATIONAL</v>
      </c>
      <c r="C63" s="11"/>
      <c r="D63" s="7"/>
      <c r="E63" s="2"/>
      <c r="F63" s="6">
        <f t="shared" si="24"/>
        <v>0</v>
      </c>
      <c r="G63" s="2"/>
      <c r="H63" s="7"/>
      <c r="I63" s="2"/>
      <c r="J63" s="6">
        <f t="shared" si="25"/>
        <v>0</v>
      </c>
      <c r="K63" s="2"/>
      <c r="L63" s="7">
        <f t="shared" si="26"/>
        <v>0</v>
      </c>
      <c r="M63" s="2"/>
      <c r="N63" s="6">
        <f t="shared" si="27"/>
        <v>0</v>
      </c>
      <c r="O63" s="11"/>
      <c r="P63" s="7">
        <v>30.4</v>
      </c>
      <c r="Q63" s="2"/>
      <c r="R63" s="6">
        <f t="shared" si="28"/>
        <v>0</v>
      </c>
      <c r="S63" s="2"/>
      <c r="T63" s="7"/>
      <c r="U63" s="2"/>
      <c r="V63" s="6">
        <f t="shared" si="29"/>
        <v>0</v>
      </c>
      <c r="W63" s="2"/>
      <c r="X63" s="7">
        <f t="shared" si="30"/>
        <v>30.4</v>
      </c>
      <c r="Y63" s="2"/>
      <c r="Z63" s="6">
        <f t="shared" si="31"/>
        <v>0</v>
      </c>
    </row>
    <row r="64" spans="1:26" s="55" customFormat="1" x14ac:dyDescent="0.3">
      <c r="A64" s="36"/>
      <c r="B64" s="36"/>
      <c r="C64" s="36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6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3" customFormat="1" x14ac:dyDescent="0.3">
      <c r="A65" s="10"/>
      <c r="B65" s="25" t="s">
        <v>293</v>
      </c>
      <c r="C65" s="10"/>
      <c r="D65" s="4">
        <f>SUM(0)</f>
        <v>0</v>
      </c>
      <c r="E65" s="4"/>
      <c r="F65" s="12">
        <f>IF(D$12=0,0,D65/D$12)</f>
        <v>0</v>
      </c>
      <c r="G65" s="4"/>
      <c r="H65" s="4">
        <f>SUM(0)</f>
        <v>0</v>
      </c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>
        <f>SUM(0)</f>
        <v>0</v>
      </c>
      <c r="Q65" s="4"/>
      <c r="R65" s="12">
        <f>IF(P$12=0,0,P65/P$12)</f>
        <v>0</v>
      </c>
      <c r="S65" s="4"/>
      <c r="T65" s="4">
        <f>SUM(0)</f>
        <v>0</v>
      </c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3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3">
      <c r="A67" s="10"/>
      <c r="B67" s="26" t="s">
        <v>277</v>
      </c>
      <c r="C67" s="26"/>
      <c r="D67" s="21">
        <f>+D16-D18+D65</f>
        <v>-51286.95</v>
      </c>
      <c r="E67" s="13"/>
      <c r="F67" s="22">
        <f>IF(D$12=0,0,D67/D$12)</f>
        <v>0</v>
      </c>
      <c r="G67" s="13"/>
      <c r="H67" s="21">
        <f>+H16-H18+H65</f>
        <v>-52613.535630384591</v>
      </c>
      <c r="I67" s="13"/>
      <c r="J67" s="22">
        <f>IF(H$12=0,0,H67/H$12)</f>
        <v>0</v>
      </c>
      <c r="K67" s="15"/>
      <c r="L67" s="21">
        <f>+D67-H67</f>
        <v>1326.585630384594</v>
      </c>
      <c r="M67" s="15"/>
      <c r="N67" s="22">
        <f>IF(H67=0,0,L67/H67)</f>
        <v>-2.5213770838439602E-2</v>
      </c>
      <c r="O67" s="25"/>
      <c r="P67" s="21">
        <f>+P16-P18+P65</f>
        <v>-294335.84000000008</v>
      </c>
      <c r="Q67" s="13"/>
      <c r="R67" s="22">
        <f>IF(P$12=0,0,P67/P$12)</f>
        <v>0</v>
      </c>
      <c r="S67" s="13"/>
      <c r="T67" s="21">
        <f>+T16-T18+T65</f>
        <v>-289001.83706838416</v>
      </c>
      <c r="U67" s="13"/>
      <c r="V67" s="22">
        <f>IF(T$12=0,0,T67/T$12)</f>
        <v>0</v>
      </c>
      <c r="W67" s="15"/>
      <c r="X67" s="21">
        <f>+P67-T67</f>
        <v>-5334.0029316159198</v>
      </c>
      <c r="Y67" s="15"/>
      <c r="Z67" s="22">
        <f>IF(T67=0,0,X67/T67)</f>
        <v>1.8456640226663257E-2</v>
      </c>
    </row>
    <row r="68" spans="1:26" x14ac:dyDescent="0.3">
      <c r="A68" s="9"/>
      <c r="B68" s="10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3">
      <c r="A69" s="52"/>
      <c r="B69" s="10" t="s">
        <v>128</v>
      </c>
      <c r="C69" s="10"/>
      <c r="D69" s="4"/>
      <c r="E69" s="4"/>
      <c r="F69" s="12">
        <f>IF(D$12=0,0,D69/D$12)</f>
        <v>0</v>
      </c>
      <c r="G69" s="4"/>
      <c r="H69" s="4"/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/>
      <c r="Q69" s="4"/>
      <c r="R69" s="12">
        <f>IF(P$12=0,0,P69/P$12)</f>
        <v>0</v>
      </c>
      <c r="S69" s="4"/>
      <c r="T69" s="4"/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3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" thickBot="1" x14ac:dyDescent="0.35">
      <c r="A71" s="10"/>
      <c r="B71" s="26" t="s">
        <v>126</v>
      </c>
      <c r="C71" s="26"/>
      <c r="D71" s="32">
        <f>+D67-D69</f>
        <v>-51286.95</v>
      </c>
      <c r="E71" s="13"/>
      <c r="F71" s="31">
        <f>IF(D$12=0,0,D71/D$12)</f>
        <v>0</v>
      </c>
      <c r="G71" s="13"/>
      <c r="H71" s="32">
        <f>+H67-H69</f>
        <v>-52613.535630384591</v>
      </c>
      <c r="I71" s="13"/>
      <c r="J71" s="31">
        <f>IF(H$12=0,0,H71/H$12)</f>
        <v>0</v>
      </c>
      <c r="K71" s="15"/>
      <c r="L71" s="32">
        <f>D71-H71</f>
        <v>1326.585630384594</v>
      </c>
      <c r="M71" s="15"/>
      <c r="N71" s="31">
        <f>IF(H71=0,0,L71/H71)</f>
        <v>-2.5213770838439602E-2</v>
      </c>
      <c r="O71" s="25"/>
      <c r="P71" s="32">
        <f>+P67-P69</f>
        <v>-294335.84000000008</v>
      </c>
      <c r="Q71" s="13"/>
      <c r="R71" s="31">
        <f>IF(P$12=0,0,P71/P$12)</f>
        <v>0</v>
      </c>
      <c r="S71" s="13"/>
      <c r="T71" s="32">
        <f>+T67-T69</f>
        <v>-289001.83706838416</v>
      </c>
      <c r="U71" s="13"/>
      <c r="V71" s="31">
        <f>IF(T$12=0,0,T71/T$12)</f>
        <v>0</v>
      </c>
      <c r="W71" s="15"/>
      <c r="X71" s="32">
        <f>P71-T71</f>
        <v>-5334.0029316159198</v>
      </c>
      <c r="Y71" s="15"/>
      <c r="Z71" s="31">
        <f>IF(T71=0,0,X71/T71)</f>
        <v>1.8456640226663257E-2</v>
      </c>
    </row>
    <row r="72" spans="1:26" ht="15" thickTop="1" x14ac:dyDescent="0.3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x14ac:dyDescent="0.3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" thickBot="1" x14ac:dyDescent="0.35">
      <c r="A74" s="10"/>
      <c r="B74" s="26" t="s">
        <v>294</v>
      </c>
      <c r="C74" s="26"/>
      <c r="D74" s="34">
        <f>SUM(D71:D73)</f>
        <v>-51286.95</v>
      </c>
      <c r="E74" s="13"/>
      <c r="F74" s="35">
        <f>IF(D$12=0,0,D74/D$12)</f>
        <v>0</v>
      </c>
      <c r="G74" s="13"/>
      <c r="H74" s="34">
        <f>SUM(H71:H73)</f>
        <v>-52613.535630384591</v>
      </c>
      <c r="I74" s="13"/>
      <c r="J74" s="35">
        <f>IF(H$12=0,0,H74/H$12)</f>
        <v>0</v>
      </c>
      <c r="K74" s="15"/>
      <c r="L74" s="34">
        <f>+D74-H74</f>
        <v>1326.585630384594</v>
      </c>
      <c r="M74" s="15"/>
      <c r="N74" s="35">
        <f>IF(H74=0,0,L74/H74)</f>
        <v>-2.5213770838439602E-2</v>
      </c>
      <c r="O74" s="25"/>
      <c r="P74" s="34">
        <f>SUM(P71:P73)</f>
        <v>-294335.84000000008</v>
      </c>
      <c r="Q74" s="13"/>
      <c r="R74" s="35">
        <f>IF(P$12=0,0,P74/P$12)</f>
        <v>0</v>
      </c>
      <c r="S74" s="13"/>
      <c r="T74" s="34">
        <f>SUM(T71:T73)</f>
        <v>-289001.83706838416</v>
      </c>
      <c r="U74" s="13"/>
      <c r="V74" s="35">
        <f>IF(T$12=0,0,T74/T$12)</f>
        <v>0</v>
      </c>
      <c r="W74" s="15"/>
      <c r="X74" s="34">
        <f>+P74-T74</f>
        <v>-5334.0029316159198</v>
      </c>
      <c r="Y74" s="15"/>
      <c r="Z74" s="35">
        <f>IF(T74=0,0,X74/T74)</f>
        <v>1.8456640226663257E-2</v>
      </c>
    </row>
    <row r="75" spans="1:26" ht="15" thickTop="1" x14ac:dyDescent="0.3">
      <c r="A75" s="9"/>
      <c r="C75" s="9"/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3">
      <c r="A76" s="9"/>
      <c r="B76" s="53">
        <v>44604.019995405091</v>
      </c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3">
      <c r="A77" s="9"/>
      <c r="B77" s="63" t="s">
        <v>56</v>
      </c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  <row r="78" spans="1:26" x14ac:dyDescent="0.3">
      <c r="A78" s="9"/>
      <c r="B78" s="58"/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3"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","203", " - ", "Human Resources")</f>
        <v>Department 203 - Human Resources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65576.820000000007</v>
      </c>
      <c r="E18" s="20"/>
      <c r="F18" s="33">
        <f t="shared" ref="F18:F29" si="0">IF(D$12=0,0,D18/D$12)</f>
        <v>0</v>
      </c>
      <c r="G18" s="20"/>
      <c r="H18" s="20">
        <f>SUM(OSRRefH22x_0)</f>
        <v>54327.831462107686</v>
      </c>
      <c r="I18" s="20"/>
      <c r="J18" s="33">
        <f t="shared" ref="J18:J29" si="1">IF(H$12=0,0,H18/H$12)</f>
        <v>0</v>
      </c>
      <c r="K18" s="4"/>
      <c r="L18" s="20">
        <f t="shared" ref="L18:L29" si="2">+D18-H18</f>
        <v>11248.988537892321</v>
      </c>
      <c r="M18" s="4"/>
      <c r="N18" s="33">
        <f t="shared" ref="N18:N29" si="3">IF(H18=0,0,L18/H18)</f>
        <v>0.207057565802865</v>
      </c>
      <c r="O18" s="10"/>
      <c r="P18" s="20">
        <f>SUM(OSRRefP22x_0)</f>
        <v>385311.72000000003</v>
      </c>
      <c r="Q18" s="20"/>
      <c r="R18" s="33">
        <f t="shared" ref="R18:R29" si="4">IF(P$12=0,0,P18/P$12)</f>
        <v>0</v>
      </c>
      <c r="S18" s="20"/>
      <c r="T18" s="20">
        <f>SUM(OSRRefT22x_0)</f>
        <v>350100.55506506772</v>
      </c>
      <c r="U18" s="20"/>
      <c r="V18" s="33">
        <f t="shared" ref="V18:V29" si="5">IF(T$12=0,0,T18/T$12)</f>
        <v>0</v>
      </c>
      <c r="W18" s="4"/>
      <c r="X18" s="20">
        <f t="shared" ref="X18:X29" si="6">+P18-T18</f>
        <v>35211.164934932312</v>
      </c>
      <c r="Y18" s="4"/>
      <c r="Z18" s="33">
        <f t="shared" ref="Z18:Z29" si="7">IF(T18=0,0,X18/T18)</f>
        <v>0.10057443333212701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20905.59</v>
      </c>
      <c r="E19" s="1"/>
      <c r="F19" s="5">
        <f t="shared" si="0"/>
        <v>0</v>
      </c>
      <c r="G19" s="1"/>
      <c r="H19" s="1">
        <f>SUM(OSRRefH22_0x_0)</f>
        <v>13249.599262107689</v>
      </c>
      <c r="I19" s="1"/>
      <c r="J19" s="5">
        <f t="shared" si="1"/>
        <v>0</v>
      </c>
      <c r="K19" s="1"/>
      <c r="L19" s="1">
        <f t="shared" si="2"/>
        <v>7655.9907378923108</v>
      </c>
      <c r="M19" s="1"/>
      <c r="N19" s="5">
        <f t="shared" si="3"/>
        <v>0.57782809777406274</v>
      </c>
      <c r="O19" s="14"/>
      <c r="P19" s="1">
        <f>SUM(OSRRefP22_0x_0)</f>
        <v>108992.53000000001</v>
      </c>
      <c r="Q19" s="1"/>
      <c r="R19" s="5">
        <f t="shared" si="4"/>
        <v>0</v>
      </c>
      <c r="S19" s="1"/>
      <c r="T19" s="1">
        <f>SUM(OSRRefT22_0x_0)</f>
        <v>84622.715425067712</v>
      </c>
      <c r="U19" s="1"/>
      <c r="V19" s="5">
        <f t="shared" si="5"/>
        <v>0</v>
      </c>
      <c r="W19" s="1"/>
      <c r="X19" s="1">
        <f t="shared" si="6"/>
        <v>24369.814574932301</v>
      </c>
      <c r="Y19" s="1"/>
      <c r="Z19" s="5">
        <f t="shared" si="7"/>
        <v>0.28798194967533802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7">
        <v>2328.75</v>
      </c>
      <c r="E20" s="2"/>
      <c r="F20" s="6">
        <f t="shared" si="0"/>
        <v>0</v>
      </c>
      <c r="G20" s="2"/>
      <c r="H20" s="7">
        <v>1950.3104178000001</v>
      </c>
      <c r="I20" s="2"/>
      <c r="J20" s="6">
        <f t="shared" si="1"/>
        <v>0</v>
      </c>
      <c r="K20" s="2"/>
      <c r="L20" s="7">
        <f t="shared" si="2"/>
        <v>378.4395821999999</v>
      </c>
      <c r="M20" s="2"/>
      <c r="N20" s="6">
        <f t="shared" si="3"/>
        <v>0.19404069154636902</v>
      </c>
      <c r="O20" s="11"/>
      <c r="P20" s="7">
        <v>16367.73</v>
      </c>
      <c r="Q20" s="2"/>
      <c r="R20" s="6">
        <f t="shared" si="4"/>
        <v>0</v>
      </c>
      <c r="S20" s="2"/>
      <c r="T20" s="7">
        <v>12091.92459036</v>
      </c>
      <c r="U20" s="2"/>
      <c r="V20" s="6">
        <f t="shared" si="5"/>
        <v>0</v>
      </c>
      <c r="W20" s="2"/>
      <c r="X20" s="7">
        <f t="shared" si="6"/>
        <v>4275.8054096399992</v>
      </c>
      <c r="Y20" s="2"/>
      <c r="Z20" s="6">
        <f t="shared" si="7"/>
        <v>0.35360834230216615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389.69</v>
      </c>
      <c r="E21" s="2"/>
      <c r="F21" s="6">
        <f t="shared" si="0"/>
        <v>0</v>
      </c>
      <c r="G21" s="2"/>
      <c r="H21" s="7">
        <v>102.251206</v>
      </c>
      <c r="I21" s="2"/>
      <c r="J21" s="6">
        <f t="shared" si="1"/>
        <v>0</v>
      </c>
      <c r="K21" s="2"/>
      <c r="L21" s="7">
        <f t="shared" si="2"/>
        <v>287.43879400000003</v>
      </c>
      <c r="M21" s="2"/>
      <c r="N21" s="6">
        <f t="shared" si="3"/>
        <v>2.8111041937246202</v>
      </c>
      <c r="O21" s="11"/>
      <c r="P21" s="7">
        <v>2740.4</v>
      </c>
      <c r="Q21" s="2"/>
      <c r="R21" s="6">
        <f t="shared" si="4"/>
        <v>0</v>
      </c>
      <c r="S21" s="2"/>
      <c r="T21" s="7">
        <v>633.95747719999997</v>
      </c>
      <c r="U21" s="2"/>
      <c r="V21" s="6">
        <f t="shared" si="5"/>
        <v>0</v>
      </c>
      <c r="W21" s="2"/>
      <c r="X21" s="7">
        <f t="shared" si="6"/>
        <v>2106.4425228</v>
      </c>
      <c r="Y21" s="2"/>
      <c r="Z21" s="6">
        <f t="shared" si="7"/>
        <v>3.3226874018483459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7">
        <v>5574.36</v>
      </c>
      <c r="E22" s="2"/>
      <c r="F22" s="6">
        <f t="shared" si="0"/>
        <v>0</v>
      </c>
      <c r="G22" s="2"/>
      <c r="H22" s="7">
        <v>7304.3076923076896</v>
      </c>
      <c r="I22" s="2"/>
      <c r="J22" s="6">
        <f t="shared" si="1"/>
        <v>0</v>
      </c>
      <c r="K22" s="2"/>
      <c r="L22" s="7">
        <f t="shared" si="2"/>
        <v>-1729.94769230769</v>
      </c>
      <c r="M22" s="2"/>
      <c r="N22" s="6">
        <f t="shared" si="3"/>
        <v>-0.23683937823834172</v>
      </c>
      <c r="O22" s="11"/>
      <c r="P22" s="7">
        <v>41901.75</v>
      </c>
      <c r="Q22" s="2"/>
      <c r="R22" s="6">
        <f t="shared" si="4"/>
        <v>0</v>
      </c>
      <c r="S22" s="2"/>
      <c r="T22" s="7">
        <v>46868.307692307702</v>
      </c>
      <c r="U22" s="2"/>
      <c r="V22" s="6">
        <f t="shared" si="5"/>
        <v>0</v>
      </c>
      <c r="W22" s="2"/>
      <c r="X22" s="7">
        <f t="shared" si="6"/>
        <v>-4966.5576923077024</v>
      </c>
      <c r="Y22" s="2"/>
      <c r="Z22" s="6">
        <f t="shared" si="7"/>
        <v>-0.10596835979044412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78.540000000000006</v>
      </c>
      <c r="E23" s="2"/>
      <c r="F23" s="6">
        <f t="shared" si="0"/>
        <v>0</v>
      </c>
      <c r="G23" s="2"/>
      <c r="H23" s="7">
        <v>69.266946000000004</v>
      </c>
      <c r="I23" s="2"/>
      <c r="J23" s="6">
        <f t="shared" si="1"/>
        <v>0</v>
      </c>
      <c r="K23" s="2"/>
      <c r="L23" s="7">
        <f t="shared" si="2"/>
        <v>9.2730540000000019</v>
      </c>
      <c r="M23" s="2"/>
      <c r="N23" s="6">
        <f t="shared" si="3"/>
        <v>0.13387415694637383</v>
      </c>
      <c r="O23" s="11"/>
      <c r="P23" s="7">
        <v>552.33000000000004</v>
      </c>
      <c r="Q23" s="2"/>
      <c r="R23" s="6">
        <f t="shared" si="4"/>
        <v>0</v>
      </c>
      <c r="S23" s="2"/>
      <c r="T23" s="7">
        <v>429.45506519999998</v>
      </c>
      <c r="U23" s="2"/>
      <c r="V23" s="6">
        <f t="shared" si="5"/>
        <v>0</v>
      </c>
      <c r="W23" s="2"/>
      <c r="X23" s="7">
        <f t="shared" si="6"/>
        <v>122.87493480000006</v>
      </c>
      <c r="Y23" s="2"/>
      <c r="Z23" s="6">
        <f t="shared" si="7"/>
        <v>0.28611825719828549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7">
        <v>1287.54</v>
      </c>
      <c r="E24" s="2"/>
      <c r="F24" s="6">
        <f t="shared" si="0"/>
        <v>0</v>
      </c>
      <c r="G24" s="2"/>
      <c r="H24" s="7">
        <v>1107.25</v>
      </c>
      <c r="I24" s="2"/>
      <c r="J24" s="6">
        <f t="shared" si="1"/>
        <v>0</v>
      </c>
      <c r="K24" s="2"/>
      <c r="L24" s="7">
        <f t="shared" si="2"/>
        <v>180.28999999999996</v>
      </c>
      <c r="M24" s="2"/>
      <c r="N24" s="6">
        <f t="shared" si="3"/>
        <v>0.162826823210657</v>
      </c>
      <c r="O24" s="11"/>
      <c r="P24" s="7">
        <v>9433.7099999999991</v>
      </c>
      <c r="Q24" s="2"/>
      <c r="R24" s="6">
        <f t="shared" si="4"/>
        <v>0</v>
      </c>
      <c r="S24" s="2"/>
      <c r="T24" s="7">
        <v>6864.95</v>
      </c>
      <c r="U24" s="2"/>
      <c r="V24" s="6">
        <f t="shared" si="5"/>
        <v>0</v>
      </c>
      <c r="W24" s="2"/>
      <c r="X24" s="7">
        <f t="shared" si="6"/>
        <v>2568.7599999999993</v>
      </c>
      <c r="Y24" s="2"/>
      <c r="Z24" s="6">
        <f t="shared" si="7"/>
        <v>0.37418480833800671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417</v>
      </c>
      <c r="I25" s="2"/>
      <c r="J25" s="6">
        <f t="shared" si="1"/>
        <v>0</v>
      </c>
      <c r="K25" s="2"/>
      <c r="L25" s="7">
        <f t="shared" si="2"/>
        <v>-417</v>
      </c>
      <c r="M25" s="2"/>
      <c r="N25" s="6">
        <f t="shared" si="3"/>
        <v>-1</v>
      </c>
      <c r="O25" s="11"/>
      <c r="P25" s="7">
        <v>2636</v>
      </c>
      <c r="Q25" s="2"/>
      <c r="R25" s="6">
        <f t="shared" si="4"/>
        <v>0</v>
      </c>
      <c r="S25" s="2"/>
      <c r="T25" s="7">
        <v>2919</v>
      </c>
      <c r="U25" s="2"/>
      <c r="V25" s="6">
        <f t="shared" si="5"/>
        <v>0</v>
      </c>
      <c r="W25" s="2"/>
      <c r="X25" s="7">
        <f t="shared" si="6"/>
        <v>-283</v>
      </c>
      <c r="Y25" s="2"/>
      <c r="Z25" s="6">
        <f t="shared" si="7"/>
        <v>-9.695101062007537E-2</v>
      </c>
    </row>
    <row r="26" spans="1:26" s="24" customFormat="1" hidden="1" outlineLevel="2" x14ac:dyDescent="0.3">
      <c r="A26" s="27"/>
      <c r="B26" s="11" t="str">
        <f>CONCATENATE("          ", "6117", " - ", "RETIREMENT STAFF HOURLY")</f>
        <v xml:space="preserve">          6117 - RETIREMENT STAFF HOURLY</v>
      </c>
      <c r="C26" s="11"/>
      <c r="D26" s="7">
        <v>4180.92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4180.92</v>
      </c>
      <c r="M26" s="2"/>
      <c r="N26" s="6">
        <f t="shared" si="3"/>
        <v>0</v>
      </c>
      <c r="O26" s="11"/>
      <c r="P26" s="7">
        <v>7962.28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7962.28</v>
      </c>
      <c r="Y26" s="2"/>
      <c r="Z26" s="6">
        <f t="shared" si="7"/>
        <v>0</v>
      </c>
    </row>
    <row r="27" spans="1:26" s="24" customFormat="1" hidden="1" outlineLevel="2" x14ac:dyDescent="0.3">
      <c r="A27" s="27"/>
      <c r="B27" s="11" t="str">
        <f>CONCATENATE("          ", "6118", " - ", "VACATION")</f>
        <v xml:space="preserve">          6118 - VACATION</v>
      </c>
      <c r="C27" s="11"/>
      <c r="D27" s="7">
        <v>3549.95</v>
      </c>
      <c r="E27" s="2"/>
      <c r="F27" s="6">
        <f t="shared" si="0"/>
        <v>0</v>
      </c>
      <c r="G27" s="2"/>
      <c r="H27" s="7">
        <v>914.52779999999996</v>
      </c>
      <c r="I27" s="2"/>
      <c r="J27" s="6">
        <f t="shared" si="1"/>
        <v>0</v>
      </c>
      <c r="K27" s="2"/>
      <c r="L27" s="7">
        <f t="shared" si="2"/>
        <v>2635.4222</v>
      </c>
      <c r="M27" s="2"/>
      <c r="N27" s="6">
        <f t="shared" si="3"/>
        <v>2.8817300031775961</v>
      </c>
      <c r="O27" s="11"/>
      <c r="P27" s="7">
        <v>14852.5</v>
      </c>
      <c r="Q27" s="2"/>
      <c r="R27" s="6">
        <f t="shared" si="4"/>
        <v>0</v>
      </c>
      <c r="S27" s="2"/>
      <c r="T27" s="7">
        <v>5670.0723600000001</v>
      </c>
      <c r="U27" s="2"/>
      <c r="V27" s="6">
        <f t="shared" si="5"/>
        <v>0</v>
      </c>
      <c r="W27" s="2"/>
      <c r="X27" s="7">
        <f t="shared" si="6"/>
        <v>9182.4276399999999</v>
      </c>
      <c r="Y27" s="2"/>
      <c r="Z27" s="6">
        <f t="shared" si="7"/>
        <v>1.6194551069186003</v>
      </c>
    </row>
    <row r="28" spans="1:26" s="24" customFormat="1" hidden="1" outlineLevel="2" x14ac:dyDescent="0.3">
      <c r="A28" s="27"/>
      <c r="B28" s="11" t="str">
        <f>CONCATENATE("          ", "6119", " - ", "SICK LEAVE")</f>
        <v xml:space="preserve">          6119 - SICK LEAVE</v>
      </c>
      <c r="C28" s="11"/>
      <c r="D28" s="7">
        <v>3341.16</v>
      </c>
      <c r="E28" s="2"/>
      <c r="F28" s="6">
        <f t="shared" si="0"/>
        <v>0</v>
      </c>
      <c r="G28" s="2"/>
      <c r="H28" s="7">
        <v>684.68520000000001</v>
      </c>
      <c r="I28" s="2"/>
      <c r="J28" s="6">
        <f t="shared" si="1"/>
        <v>0</v>
      </c>
      <c r="K28" s="2"/>
      <c r="L28" s="7">
        <f t="shared" si="2"/>
        <v>2656.4748</v>
      </c>
      <c r="M28" s="2"/>
      <c r="N28" s="6">
        <f t="shared" si="3"/>
        <v>3.8798484325351268</v>
      </c>
      <c r="O28" s="11"/>
      <c r="P28" s="7">
        <v>11103.28</v>
      </c>
      <c r="Q28" s="2"/>
      <c r="R28" s="6">
        <f t="shared" si="4"/>
        <v>0</v>
      </c>
      <c r="S28" s="2"/>
      <c r="T28" s="7">
        <v>4245.0482400000001</v>
      </c>
      <c r="U28" s="2"/>
      <c r="V28" s="6">
        <f t="shared" si="5"/>
        <v>0</v>
      </c>
      <c r="W28" s="2"/>
      <c r="X28" s="7">
        <f t="shared" si="6"/>
        <v>6858.2317600000006</v>
      </c>
      <c r="Y28" s="2"/>
      <c r="Z28" s="6">
        <f t="shared" si="7"/>
        <v>1.6155839397481147</v>
      </c>
    </row>
    <row r="29" spans="1:26" s="24" customFormat="1" hidden="1" outlineLevel="2" x14ac:dyDescent="0.3">
      <c r="A29" s="27"/>
      <c r="B29" s="11" t="str">
        <f>CONCATENATE("          ", "6156", " - ", "EMPLOYEE MEALS")</f>
        <v xml:space="preserve">          6156 - EMPLOYEE MEALS</v>
      </c>
      <c r="C29" s="11"/>
      <c r="D29" s="7">
        <v>174.68</v>
      </c>
      <c r="E29" s="2"/>
      <c r="F29" s="6">
        <f t="shared" si="0"/>
        <v>0</v>
      </c>
      <c r="G29" s="2"/>
      <c r="H29" s="7">
        <v>700</v>
      </c>
      <c r="I29" s="2"/>
      <c r="J29" s="6">
        <f t="shared" si="1"/>
        <v>0</v>
      </c>
      <c r="K29" s="2"/>
      <c r="L29" s="7">
        <f t="shared" si="2"/>
        <v>-525.31999999999994</v>
      </c>
      <c r="M29" s="2"/>
      <c r="N29" s="6">
        <f t="shared" si="3"/>
        <v>-0.75045714285714271</v>
      </c>
      <c r="O29" s="11"/>
      <c r="P29" s="7">
        <v>1442.55</v>
      </c>
      <c r="Q29" s="2"/>
      <c r="R29" s="6">
        <f t="shared" si="4"/>
        <v>0</v>
      </c>
      <c r="S29" s="2"/>
      <c r="T29" s="7">
        <v>4900</v>
      </c>
      <c r="U29" s="2"/>
      <c r="V29" s="6">
        <f t="shared" si="5"/>
        <v>0</v>
      </c>
      <c r="W29" s="2"/>
      <c r="X29" s="7">
        <f t="shared" si="6"/>
        <v>-3457.45</v>
      </c>
      <c r="Y29" s="2"/>
      <c r="Z29" s="6">
        <f t="shared" si="7"/>
        <v>-0.70560204081632649</v>
      </c>
    </row>
    <row r="30" spans="1:26" s="28" customFormat="1" outlineLevel="1" collapsed="1" x14ac:dyDescent="0.3">
      <c r="A30" s="29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36366.44</v>
      </c>
      <c r="E30" s="1"/>
      <c r="F30" s="5">
        <f t="shared" ref="F30:F40" si="8">IF(D$12=0,0,D30/D$12)</f>
        <v>0</v>
      </c>
      <c r="G30" s="1"/>
      <c r="H30" s="1">
        <f>SUM(OSRRefH22_1x_0)</f>
        <v>29312.232199999999</v>
      </c>
      <c r="I30" s="1"/>
      <c r="J30" s="5">
        <f t="shared" ref="J30:J40" si="9">IF(H$12=0,0,H30/H$12)</f>
        <v>0</v>
      </c>
      <c r="K30" s="1"/>
      <c r="L30" s="1">
        <f t="shared" ref="L30:L40" si="10">+D30-H30</f>
        <v>7054.2078000000038</v>
      </c>
      <c r="M30" s="1"/>
      <c r="N30" s="5">
        <f t="shared" ref="N30:N40" si="11">IF(H30=0,0,L30/H30)</f>
        <v>0.24065747541396743</v>
      </c>
      <c r="O30" s="14"/>
      <c r="P30" s="1">
        <f>SUM(OSRRefP22_1x_0)</f>
        <v>206865.13999999998</v>
      </c>
      <c r="Q30" s="1"/>
      <c r="R30" s="5">
        <f t="shared" ref="R30:R40" si="12">IF(P$12=0,0,P30/P$12)</f>
        <v>0</v>
      </c>
      <c r="S30" s="1"/>
      <c r="T30" s="1">
        <f>SUM(OSRRefT22_1x_0)</f>
        <v>181735.83964000002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25129.300359999965</v>
      </c>
      <c r="Y30" s="1"/>
      <c r="Z30" s="5">
        <f t="shared" ref="Z30:Z40" si="15">IF(T30=0,0,X30/T30)</f>
        <v>0.13827377368040625</v>
      </c>
    </row>
    <row r="31" spans="1:26" s="24" customFormat="1" hidden="1" outlineLevel="2" x14ac:dyDescent="0.3">
      <c r="A31" s="27"/>
      <c r="B31" s="11" t="str">
        <f>CONCATENATE("          ", "6001", " - ", "ADMINISTRATIVE SALARIES")</f>
        <v xml:space="preserve">          6001 - ADMINISTRATIVE SALARIES</v>
      </c>
      <c r="C31" s="11"/>
      <c r="D31" s="7">
        <v>14793.04</v>
      </c>
      <c r="E31" s="2"/>
      <c r="F31" s="6">
        <f t="shared" si="8"/>
        <v>0</v>
      </c>
      <c r="G31" s="2"/>
      <c r="H31" s="7">
        <v>12231.25</v>
      </c>
      <c r="I31" s="2"/>
      <c r="J31" s="6">
        <f t="shared" si="9"/>
        <v>0</v>
      </c>
      <c r="K31" s="2"/>
      <c r="L31" s="7">
        <f t="shared" si="10"/>
        <v>2561.7900000000009</v>
      </c>
      <c r="M31" s="2"/>
      <c r="N31" s="6">
        <f t="shared" si="11"/>
        <v>0.20944629535002562</v>
      </c>
      <c r="O31" s="11"/>
      <c r="P31" s="7">
        <v>81518.8</v>
      </c>
      <c r="Q31" s="2"/>
      <c r="R31" s="6">
        <f t="shared" si="12"/>
        <v>0</v>
      </c>
      <c r="S31" s="2"/>
      <c r="T31" s="7">
        <v>75833.75</v>
      </c>
      <c r="U31" s="2"/>
      <c r="V31" s="6">
        <f t="shared" si="13"/>
        <v>0</v>
      </c>
      <c r="W31" s="2"/>
      <c r="X31" s="7">
        <f t="shared" si="14"/>
        <v>5685.0500000000029</v>
      </c>
      <c r="Y31" s="2"/>
      <c r="Z31" s="6">
        <f t="shared" si="15"/>
        <v>7.4967280399558286E-2</v>
      </c>
    </row>
    <row r="32" spans="1:26" s="24" customFormat="1" hidden="1" outlineLevel="2" x14ac:dyDescent="0.3">
      <c r="A32" s="27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>
        <v>18.5</v>
      </c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18.5</v>
      </c>
      <c r="Y32" s="2"/>
      <c r="Z32" s="6">
        <f t="shared" si="15"/>
        <v>0</v>
      </c>
    </row>
    <row r="33" spans="1:26" s="24" customFormat="1" hidden="1" outlineLevel="2" x14ac:dyDescent="0.3">
      <c r="A33" s="27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3">
      <c r="A34" s="27"/>
      <c r="B34" s="11" t="str">
        <f>CONCATENATE("          ", "6004", " - ", "STAFF HOURLY")</f>
        <v xml:space="preserve">          6004 - STAFF HOURLY</v>
      </c>
      <c r="C34" s="11"/>
      <c r="D34" s="7">
        <v>15273.15</v>
      </c>
      <c r="E34" s="2"/>
      <c r="F34" s="6">
        <f t="shared" si="8"/>
        <v>0</v>
      </c>
      <c r="G34" s="2"/>
      <c r="H34" s="7">
        <v>12230.9822</v>
      </c>
      <c r="I34" s="2"/>
      <c r="J34" s="6">
        <f t="shared" si="9"/>
        <v>0</v>
      </c>
      <c r="K34" s="2"/>
      <c r="L34" s="7">
        <f t="shared" si="10"/>
        <v>3042.1677999999993</v>
      </c>
      <c r="M34" s="2"/>
      <c r="N34" s="6">
        <f t="shared" si="11"/>
        <v>0.24872636966146505</v>
      </c>
      <c r="O34" s="11"/>
      <c r="P34" s="7">
        <v>106805.43</v>
      </c>
      <c r="Q34" s="2"/>
      <c r="R34" s="6">
        <f t="shared" si="12"/>
        <v>0</v>
      </c>
      <c r="S34" s="2"/>
      <c r="T34" s="7">
        <v>75832.089640000006</v>
      </c>
      <c r="U34" s="2"/>
      <c r="V34" s="6">
        <f t="shared" si="13"/>
        <v>0</v>
      </c>
      <c r="W34" s="2"/>
      <c r="X34" s="7">
        <f t="shared" si="14"/>
        <v>30973.340359999987</v>
      </c>
      <c r="Y34" s="2"/>
      <c r="Z34" s="6">
        <f t="shared" si="15"/>
        <v>0.40844635176269928</v>
      </c>
    </row>
    <row r="35" spans="1:26" s="24" customFormat="1" hidden="1" outlineLevel="2" x14ac:dyDescent="0.3">
      <c r="A35" s="27"/>
      <c r="B35" s="11" t="str">
        <f>CONCATENATE("          ", "6005", " - ", "TEMPORARY WAGES-HOURLY")</f>
        <v xml:space="preserve">          6005 - TEMPORARY WAGES-HOURLY</v>
      </c>
      <c r="C35" s="11"/>
      <c r="D35" s="7">
        <v>2005.25</v>
      </c>
      <c r="E35" s="2"/>
      <c r="F35" s="6">
        <f t="shared" si="8"/>
        <v>0</v>
      </c>
      <c r="G35" s="2"/>
      <c r="H35" s="7">
        <v>4850</v>
      </c>
      <c r="I35" s="2"/>
      <c r="J35" s="6">
        <f t="shared" si="9"/>
        <v>0</v>
      </c>
      <c r="K35" s="2"/>
      <c r="L35" s="7">
        <f t="shared" si="10"/>
        <v>-2844.75</v>
      </c>
      <c r="M35" s="2"/>
      <c r="N35" s="6">
        <f t="shared" si="11"/>
        <v>-0.58654639175257728</v>
      </c>
      <c r="O35" s="11"/>
      <c r="P35" s="7">
        <v>14227.41</v>
      </c>
      <c r="Q35" s="2"/>
      <c r="R35" s="6">
        <f t="shared" si="12"/>
        <v>0</v>
      </c>
      <c r="S35" s="2"/>
      <c r="T35" s="7">
        <v>30070</v>
      </c>
      <c r="U35" s="2"/>
      <c r="V35" s="6">
        <f t="shared" si="13"/>
        <v>0</v>
      </c>
      <c r="W35" s="2"/>
      <c r="X35" s="7">
        <f t="shared" si="14"/>
        <v>-15842.59</v>
      </c>
      <c r="Y35" s="2"/>
      <c r="Z35" s="6">
        <f t="shared" si="15"/>
        <v>-0.52685700033255733</v>
      </c>
    </row>
    <row r="36" spans="1:26" s="24" customFormat="1" hidden="1" outlineLevel="2" x14ac:dyDescent="0.3">
      <c r="A36" s="27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3">
      <c r="A37" s="27"/>
      <c r="B37" s="11" t="str">
        <f>CONCATENATE("          ", "6007", " - ", "STUDENT HOURLY")</f>
        <v xml:space="preserve">          6007 - STUDENT HOURLY</v>
      </c>
      <c r="C37" s="11"/>
      <c r="D37" s="7">
        <v>4295</v>
      </c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4295</v>
      </c>
      <c r="M37" s="2"/>
      <c r="N37" s="6">
        <f t="shared" si="11"/>
        <v>0</v>
      </c>
      <c r="O37" s="11"/>
      <c r="P37" s="7">
        <v>4295</v>
      </c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4295</v>
      </c>
      <c r="Y37" s="2"/>
      <c r="Z37" s="6">
        <f t="shared" si="15"/>
        <v>0</v>
      </c>
    </row>
    <row r="38" spans="1:26" s="24" customFormat="1" hidden="1" outlineLevel="2" x14ac:dyDescent="0.3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3">
      <c r="A39" s="27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4" customFormat="1" hidden="1" outlineLevel="2" x14ac:dyDescent="0.3">
      <c r="A40" s="27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8" customFormat="1" outlineLevel="1" collapsed="1" x14ac:dyDescent="0.3">
      <c r="A41" s="29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56" si="16">IF(D$12=0,0,D41/D$12)</f>
        <v>0</v>
      </c>
      <c r="G41" s="1"/>
      <c r="H41" s="1">
        <f>SUM(OSRRefH22_2x_0)</f>
        <v>150</v>
      </c>
      <c r="I41" s="1"/>
      <c r="J41" s="5">
        <f t="shared" ref="J41:J56" si="17">IF(H$12=0,0,H41/H$12)</f>
        <v>0</v>
      </c>
      <c r="K41" s="1"/>
      <c r="L41" s="1">
        <f t="shared" ref="L41:L56" si="18">+D41-H41</f>
        <v>-150</v>
      </c>
      <c r="M41" s="1"/>
      <c r="N41" s="5">
        <f t="shared" ref="N41:N56" si="19">IF(H41=0,0,L41/H41)</f>
        <v>-1</v>
      </c>
      <c r="O41" s="14"/>
      <c r="P41" s="1">
        <f>SUM(OSRRefP22_2x_0)</f>
        <v>343.26</v>
      </c>
      <c r="Q41" s="1"/>
      <c r="R41" s="5">
        <f t="shared" ref="R41:R56" si="20">IF(P$12=0,0,P41/P$12)</f>
        <v>0</v>
      </c>
      <c r="S41" s="1"/>
      <c r="T41" s="1">
        <f>SUM(OSRRefT22_2x_0)</f>
        <v>1050</v>
      </c>
      <c r="U41" s="1"/>
      <c r="V41" s="5">
        <f t="shared" ref="V41:V56" si="21">IF(T$12=0,0,T41/T$12)</f>
        <v>0</v>
      </c>
      <c r="W41" s="1"/>
      <c r="X41" s="1">
        <f t="shared" ref="X41:X56" si="22">+P41-T41</f>
        <v>-706.74</v>
      </c>
      <c r="Y41" s="1"/>
      <c r="Z41" s="5">
        <f t="shared" ref="Z41:Z56" si="23">IF(T41=0,0,X41/T41)</f>
        <v>-0.67308571428571429</v>
      </c>
    </row>
    <row r="42" spans="1:26" s="24" customFormat="1" hidden="1" outlineLevel="2" x14ac:dyDescent="0.3">
      <c r="A42" s="27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16"/>
        <v>0</v>
      </c>
      <c r="G42" s="2"/>
      <c r="H42" s="7">
        <v>150</v>
      </c>
      <c r="I42" s="2"/>
      <c r="J42" s="6">
        <f t="shared" si="17"/>
        <v>0</v>
      </c>
      <c r="K42" s="2"/>
      <c r="L42" s="7">
        <f t="shared" si="18"/>
        <v>-150</v>
      </c>
      <c r="M42" s="2"/>
      <c r="N42" s="6">
        <f t="shared" si="19"/>
        <v>-1</v>
      </c>
      <c r="O42" s="11"/>
      <c r="P42" s="7">
        <v>343.26</v>
      </c>
      <c r="Q42" s="2"/>
      <c r="R42" s="6">
        <f t="shared" si="20"/>
        <v>0</v>
      </c>
      <c r="S42" s="2"/>
      <c r="T42" s="7">
        <v>1050</v>
      </c>
      <c r="U42" s="2"/>
      <c r="V42" s="6">
        <f t="shared" si="21"/>
        <v>0</v>
      </c>
      <c r="W42" s="2"/>
      <c r="X42" s="7">
        <f t="shared" si="22"/>
        <v>-706.74</v>
      </c>
      <c r="Y42" s="2"/>
      <c r="Z42" s="6">
        <f t="shared" si="23"/>
        <v>-0.67308571428571429</v>
      </c>
    </row>
    <row r="43" spans="1:26" s="28" customFormat="1" outlineLevel="1" collapsed="1" x14ac:dyDescent="0.3">
      <c r="A43" s="29"/>
      <c r="B43" s="14" t="str">
        <f>CONCATENATE("     ","Employees' Appreciation                           ")</f>
        <v xml:space="preserve">     Employees' Appreciation                           </v>
      </c>
      <c r="C43" s="14"/>
      <c r="D43" s="1">
        <f>SUM(OSRRefD22_3x_0)</f>
        <v>0</v>
      </c>
      <c r="E43" s="1"/>
      <c r="F43" s="5">
        <f t="shared" si="16"/>
        <v>0</v>
      </c>
      <c r="G43" s="1"/>
      <c r="H43" s="1">
        <f>SUM(OSRRefH22_3x_0)</f>
        <v>250</v>
      </c>
      <c r="I43" s="1"/>
      <c r="J43" s="5">
        <f t="shared" si="17"/>
        <v>0</v>
      </c>
      <c r="K43" s="1"/>
      <c r="L43" s="1">
        <f t="shared" si="18"/>
        <v>-250</v>
      </c>
      <c r="M43" s="1"/>
      <c r="N43" s="5">
        <f t="shared" si="19"/>
        <v>-1</v>
      </c>
      <c r="O43" s="14"/>
      <c r="P43" s="1">
        <f>SUM(OSRRefP22_3x_0)</f>
        <v>0</v>
      </c>
      <c r="Q43" s="1"/>
      <c r="R43" s="5">
        <f t="shared" si="20"/>
        <v>0</v>
      </c>
      <c r="S43" s="1"/>
      <c r="T43" s="1">
        <f>SUM(OSRRefT22_3x_0)</f>
        <v>1750</v>
      </c>
      <c r="U43" s="1"/>
      <c r="V43" s="5">
        <f t="shared" si="21"/>
        <v>0</v>
      </c>
      <c r="W43" s="1"/>
      <c r="X43" s="1">
        <f t="shared" si="22"/>
        <v>-1750</v>
      </c>
      <c r="Y43" s="1"/>
      <c r="Z43" s="5">
        <f t="shared" si="23"/>
        <v>-1</v>
      </c>
    </row>
    <row r="44" spans="1:26" s="24" customFormat="1" hidden="1" outlineLevel="2" x14ac:dyDescent="0.3">
      <c r="A44" s="27"/>
      <c r="B44" s="11" t="str">
        <f>CONCATENATE("          ", "6277", " - ", "EMPLOYEE APPRECIATION")</f>
        <v xml:space="preserve">          6277 - EMPLOYEE APPRECIATION</v>
      </c>
      <c r="C44" s="11"/>
      <c r="D44" s="7"/>
      <c r="E44" s="2"/>
      <c r="F44" s="6">
        <f t="shared" si="16"/>
        <v>0</v>
      </c>
      <c r="G44" s="2"/>
      <c r="H44" s="7">
        <v>250</v>
      </c>
      <c r="I44" s="2"/>
      <c r="J44" s="6">
        <f t="shared" si="17"/>
        <v>0</v>
      </c>
      <c r="K44" s="2"/>
      <c r="L44" s="7">
        <f t="shared" si="18"/>
        <v>-250</v>
      </c>
      <c r="M44" s="2"/>
      <c r="N44" s="6">
        <f t="shared" si="19"/>
        <v>-1</v>
      </c>
      <c r="O44" s="11"/>
      <c r="P44" s="7"/>
      <c r="Q44" s="2"/>
      <c r="R44" s="6">
        <f t="shared" si="20"/>
        <v>0</v>
      </c>
      <c r="S44" s="2"/>
      <c r="T44" s="7">
        <v>1750</v>
      </c>
      <c r="U44" s="2"/>
      <c r="V44" s="6">
        <f t="shared" si="21"/>
        <v>0</v>
      </c>
      <c r="W44" s="2"/>
      <c r="X44" s="7">
        <f t="shared" si="22"/>
        <v>-1750</v>
      </c>
      <c r="Y44" s="2"/>
      <c r="Z44" s="6">
        <f t="shared" si="23"/>
        <v>-1</v>
      </c>
    </row>
    <row r="45" spans="1:26" s="28" customFormat="1" outlineLevel="1" collapsed="1" x14ac:dyDescent="0.3">
      <c r="A45" s="29"/>
      <c r="B45" s="14" t="str">
        <f>CONCATENATE("     ","Equipment Rental                                  ")</f>
        <v xml:space="preserve">     Equipment Rental                                  </v>
      </c>
      <c r="C45" s="14"/>
      <c r="D45" s="1">
        <f>SUM(OSRRefD22_4x_0)</f>
        <v>0</v>
      </c>
      <c r="E45" s="1"/>
      <c r="F45" s="5">
        <f t="shared" si="16"/>
        <v>0</v>
      </c>
      <c r="G45" s="1"/>
      <c r="H45" s="1">
        <f>SUM(OSRRefH22_4x_0)</f>
        <v>75</v>
      </c>
      <c r="I45" s="1"/>
      <c r="J45" s="5">
        <f t="shared" si="17"/>
        <v>0</v>
      </c>
      <c r="K45" s="1"/>
      <c r="L45" s="1">
        <f t="shared" si="18"/>
        <v>-75</v>
      </c>
      <c r="M45" s="1"/>
      <c r="N45" s="5">
        <f t="shared" si="19"/>
        <v>-1</v>
      </c>
      <c r="O45" s="14"/>
      <c r="P45" s="1">
        <f>SUM(OSRRefP22_4x_0)</f>
        <v>0</v>
      </c>
      <c r="Q45" s="1"/>
      <c r="R45" s="5">
        <f t="shared" si="20"/>
        <v>0</v>
      </c>
      <c r="S45" s="1"/>
      <c r="T45" s="1">
        <f>SUM(OSRRefT22_4x_0)</f>
        <v>525</v>
      </c>
      <c r="U45" s="1"/>
      <c r="V45" s="5">
        <f t="shared" si="21"/>
        <v>0</v>
      </c>
      <c r="W45" s="1"/>
      <c r="X45" s="1">
        <f t="shared" si="22"/>
        <v>-525</v>
      </c>
      <c r="Y45" s="1"/>
      <c r="Z45" s="5">
        <f t="shared" si="23"/>
        <v>-1</v>
      </c>
    </row>
    <row r="46" spans="1:26" s="24" customFormat="1" hidden="1" outlineLevel="2" x14ac:dyDescent="0.3">
      <c r="A46" s="27"/>
      <c r="B46" s="11" t="str">
        <f>CONCATENATE("          ", "6351", " - ", "EQUIPMENT RENTAL")</f>
        <v xml:space="preserve">          6351 - EQUIPMENT RENTAL</v>
      </c>
      <c r="C46" s="11"/>
      <c r="D46" s="7"/>
      <c r="E46" s="2"/>
      <c r="F46" s="6">
        <f t="shared" si="16"/>
        <v>0</v>
      </c>
      <c r="G46" s="2"/>
      <c r="H46" s="7">
        <v>75</v>
      </c>
      <c r="I46" s="2"/>
      <c r="J46" s="6">
        <f t="shared" si="17"/>
        <v>0</v>
      </c>
      <c r="K46" s="2"/>
      <c r="L46" s="7">
        <f t="shared" si="18"/>
        <v>-75</v>
      </c>
      <c r="M46" s="2"/>
      <c r="N46" s="6">
        <f t="shared" si="19"/>
        <v>-1</v>
      </c>
      <c r="O46" s="11"/>
      <c r="P46" s="7"/>
      <c r="Q46" s="2"/>
      <c r="R46" s="6">
        <f t="shared" si="20"/>
        <v>0</v>
      </c>
      <c r="S46" s="2"/>
      <c r="T46" s="7">
        <v>525</v>
      </c>
      <c r="U46" s="2"/>
      <c r="V46" s="6">
        <f t="shared" si="21"/>
        <v>0</v>
      </c>
      <c r="W46" s="2"/>
      <c r="X46" s="7">
        <f t="shared" si="22"/>
        <v>-525</v>
      </c>
      <c r="Y46" s="2"/>
      <c r="Z46" s="6">
        <f t="shared" si="23"/>
        <v>-1</v>
      </c>
    </row>
    <row r="47" spans="1:26" s="28" customFormat="1" outlineLevel="1" collapsed="1" x14ac:dyDescent="0.3">
      <c r="A47" s="29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SUM(OSRRefD22_5x_0)</f>
        <v>2.65</v>
      </c>
      <c r="E47" s="1"/>
      <c r="F47" s="5">
        <f t="shared" si="16"/>
        <v>0</v>
      </c>
      <c r="G47" s="1"/>
      <c r="H47" s="1">
        <f>SUM(OSRRefH22_5x_0)</f>
        <v>85</v>
      </c>
      <c r="I47" s="1"/>
      <c r="J47" s="5">
        <f t="shared" si="17"/>
        <v>0</v>
      </c>
      <c r="K47" s="1"/>
      <c r="L47" s="1">
        <f t="shared" si="18"/>
        <v>-82.35</v>
      </c>
      <c r="M47" s="1"/>
      <c r="N47" s="5">
        <f t="shared" si="19"/>
        <v>-0.96882352941176464</v>
      </c>
      <c r="O47" s="14"/>
      <c r="P47" s="1">
        <f>SUM(OSRRefP22_5x_0)</f>
        <v>197.8</v>
      </c>
      <c r="Q47" s="1"/>
      <c r="R47" s="5">
        <f t="shared" si="20"/>
        <v>0</v>
      </c>
      <c r="S47" s="1"/>
      <c r="T47" s="1">
        <f>SUM(OSRRefT22_5x_0)</f>
        <v>255</v>
      </c>
      <c r="U47" s="1"/>
      <c r="V47" s="5">
        <f t="shared" si="21"/>
        <v>0</v>
      </c>
      <c r="W47" s="1"/>
      <c r="X47" s="1">
        <f t="shared" si="22"/>
        <v>-57.199999999999989</v>
      </c>
      <c r="Y47" s="1"/>
      <c r="Z47" s="5">
        <f t="shared" si="23"/>
        <v>-0.22431372549019604</v>
      </c>
    </row>
    <row r="48" spans="1:26" s="24" customFormat="1" hidden="1" outlineLevel="2" x14ac:dyDescent="0.3">
      <c r="A48" s="27"/>
      <c r="B48" s="11" t="str">
        <f>CONCATENATE("          ", "6307", " - ", "POSTAGE")</f>
        <v xml:space="preserve">          6307 - POSTAGE</v>
      </c>
      <c r="C48" s="11"/>
      <c r="D48" s="7">
        <v>2.65</v>
      </c>
      <c r="E48" s="2"/>
      <c r="F48" s="6">
        <f t="shared" si="16"/>
        <v>0</v>
      </c>
      <c r="G48" s="2"/>
      <c r="H48" s="7">
        <v>85</v>
      </c>
      <c r="I48" s="2"/>
      <c r="J48" s="6">
        <f t="shared" si="17"/>
        <v>0</v>
      </c>
      <c r="K48" s="2"/>
      <c r="L48" s="7">
        <f t="shared" si="18"/>
        <v>-82.35</v>
      </c>
      <c r="M48" s="2"/>
      <c r="N48" s="6">
        <f t="shared" si="19"/>
        <v>-0.96882352941176464</v>
      </c>
      <c r="O48" s="11"/>
      <c r="P48" s="7">
        <v>197.8</v>
      </c>
      <c r="Q48" s="2"/>
      <c r="R48" s="6">
        <f t="shared" si="20"/>
        <v>0</v>
      </c>
      <c r="S48" s="2"/>
      <c r="T48" s="7">
        <v>255</v>
      </c>
      <c r="U48" s="2"/>
      <c r="V48" s="6">
        <f t="shared" si="21"/>
        <v>0</v>
      </c>
      <c r="W48" s="2"/>
      <c r="X48" s="7">
        <f t="shared" si="22"/>
        <v>-57.199999999999989</v>
      </c>
      <c r="Y48" s="2"/>
      <c r="Z48" s="6">
        <f t="shared" si="23"/>
        <v>-0.22431372549019604</v>
      </c>
    </row>
    <row r="49" spans="1:26" s="28" customFormat="1" outlineLevel="1" collapsed="1" x14ac:dyDescent="0.3">
      <c r="A49" s="29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53.5</v>
      </c>
      <c r="E49" s="1"/>
      <c r="F49" s="5">
        <f t="shared" si="16"/>
        <v>0</v>
      </c>
      <c r="G49" s="1"/>
      <c r="H49" s="1">
        <f>SUM(OSRRefH22_6x_0)</f>
        <v>0</v>
      </c>
      <c r="I49" s="1"/>
      <c r="J49" s="5">
        <f t="shared" si="17"/>
        <v>0</v>
      </c>
      <c r="K49" s="1"/>
      <c r="L49" s="1">
        <f t="shared" si="18"/>
        <v>53.5</v>
      </c>
      <c r="M49" s="1"/>
      <c r="N49" s="5">
        <f t="shared" si="19"/>
        <v>0</v>
      </c>
      <c r="O49" s="14"/>
      <c r="P49" s="1">
        <f>SUM(OSRRefP22_6x_0)</f>
        <v>2733.75</v>
      </c>
      <c r="Q49" s="1"/>
      <c r="R49" s="5">
        <f t="shared" si="20"/>
        <v>0</v>
      </c>
      <c r="S49" s="1"/>
      <c r="T49" s="1">
        <f>SUM(OSRRefT22_6x_0)</f>
        <v>0</v>
      </c>
      <c r="U49" s="1"/>
      <c r="V49" s="5">
        <f t="shared" si="21"/>
        <v>0</v>
      </c>
      <c r="W49" s="1"/>
      <c r="X49" s="1">
        <f t="shared" si="22"/>
        <v>2733.75</v>
      </c>
      <c r="Y49" s="1"/>
      <c r="Z49" s="5">
        <f t="shared" si="23"/>
        <v>0</v>
      </c>
    </row>
    <row r="50" spans="1:26" s="24" customFormat="1" hidden="1" outlineLevel="2" x14ac:dyDescent="0.3">
      <c r="A50" s="27"/>
      <c r="B50" s="11" t="str">
        <f>CONCATENATE("          ", "6279", " - ", "GENERAL EXPENSE")</f>
        <v xml:space="preserve">          6279 - GENERAL EXPENSE</v>
      </c>
      <c r="C50" s="11"/>
      <c r="D50" s="7">
        <v>53.5</v>
      </c>
      <c r="E50" s="2"/>
      <c r="F50" s="6">
        <f t="shared" si="16"/>
        <v>0</v>
      </c>
      <c r="G50" s="2"/>
      <c r="H50" s="7"/>
      <c r="I50" s="2"/>
      <c r="J50" s="6">
        <f t="shared" si="17"/>
        <v>0</v>
      </c>
      <c r="K50" s="2"/>
      <c r="L50" s="7">
        <f t="shared" si="18"/>
        <v>53.5</v>
      </c>
      <c r="M50" s="2"/>
      <c r="N50" s="6">
        <f t="shared" si="19"/>
        <v>0</v>
      </c>
      <c r="O50" s="11"/>
      <c r="P50" s="7">
        <v>2733.75</v>
      </c>
      <c r="Q50" s="2"/>
      <c r="R50" s="6">
        <f t="shared" si="20"/>
        <v>0</v>
      </c>
      <c r="S50" s="2"/>
      <c r="T50" s="7"/>
      <c r="U50" s="2"/>
      <c r="V50" s="6">
        <f t="shared" si="21"/>
        <v>0</v>
      </c>
      <c r="W50" s="2"/>
      <c r="X50" s="7">
        <f t="shared" si="22"/>
        <v>2733.75</v>
      </c>
      <c r="Y50" s="2"/>
      <c r="Z50" s="6">
        <f t="shared" si="23"/>
        <v>0</v>
      </c>
    </row>
    <row r="51" spans="1:26" s="28" customFormat="1" outlineLevel="1" collapsed="1" x14ac:dyDescent="0.3">
      <c r="A51" s="29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SUM(OSRRefD22_7x_0)</f>
        <v>88.99</v>
      </c>
      <c r="E51" s="1"/>
      <c r="F51" s="5">
        <f t="shared" si="16"/>
        <v>0</v>
      </c>
      <c r="G51" s="1"/>
      <c r="H51" s="1">
        <f>SUM(OSRRefH22_7x_0)</f>
        <v>90</v>
      </c>
      <c r="I51" s="1"/>
      <c r="J51" s="5">
        <f t="shared" si="17"/>
        <v>0</v>
      </c>
      <c r="K51" s="1"/>
      <c r="L51" s="1">
        <f t="shared" si="18"/>
        <v>-1.0100000000000051</v>
      </c>
      <c r="M51" s="1"/>
      <c r="N51" s="5">
        <f t="shared" si="19"/>
        <v>-1.1222222222222279E-2</v>
      </c>
      <c r="O51" s="14"/>
      <c r="P51" s="1">
        <f>SUM(OSRRefP22_7x_0)</f>
        <v>622.92999999999995</v>
      </c>
      <c r="Q51" s="1"/>
      <c r="R51" s="5">
        <f t="shared" si="20"/>
        <v>0</v>
      </c>
      <c r="S51" s="1"/>
      <c r="T51" s="1">
        <f>SUM(OSRRefT22_7x_0)</f>
        <v>630</v>
      </c>
      <c r="U51" s="1"/>
      <c r="V51" s="5">
        <f t="shared" si="21"/>
        <v>0</v>
      </c>
      <c r="W51" s="1"/>
      <c r="X51" s="1">
        <f t="shared" si="22"/>
        <v>-7.07000000000005</v>
      </c>
      <c r="Y51" s="1"/>
      <c r="Z51" s="5">
        <f t="shared" si="23"/>
        <v>-1.1222222222222302E-2</v>
      </c>
    </row>
    <row r="52" spans="1:26" s="24" customFormat="1" hidden="1" outlineLevel="2" x14ac:dyDescent="0.3">
      <c r="A52" s="27"/>
      <c r="B52" s="11" t="str">
        <f>CONCATENATE("          ", "6314", " - ", "LIABILITY INSURANCE")</f>
        <v xml:space="preserve">          6314 - LIABILITY INSURANCE</v>
      </c>
      <c r="C52" s="11"/>
      <c r="D52" s="7">
        <v>88.99</v>
      </c>
      <c r="E52" s="2"/>
      <c r="F52" s="6">
        <f t="shared" si="16"/>
        <v>0</v>
      </c>
      <c r="G52" s="2"/>
      <c r="H52" s="7">
        <v>90</v>
      </c>
      <c r="I52" s="2"/>
      <c r="J52" s="6">
        <f t="shared" si="17"/>
        <v>0</v>
      </c>
      <c r="K52" s="2"/>
      <c r="L52" s="7">
        <f t="shared" si="18"/>
        <v>-1.0100000000000051</v>
      </c>
      <c r="M52" s="2"/>
      <c r="N52" s="6">
        <f t="shared" si="19"/>
        <v>-1.1222222222222279E-2</v>
      </c>
      <c r="O52" s="11"/>
      <c r="P52" s="7">
        <v>622.92999999999995</v>
      </c>
      <c r="Q52" s="2"/>
      <c r="R52" s="6">
        <f t="shared" si="20"/>
        <v>0</v>
      </c>
      <c r="S52" s="2"/>
      <c r="T52" s="7">
        <v>630</v>
      </c>
      <c r="U52" s="2"/>
      <c r="V52" s="6">
        <f t="shared" si="21"/>
        <v>0</v>
      </c>
      <c r="W52" s="2"/>
      <c r="X52" s="7">
        <f t="shared" si="22"/>
        <v>-7.07000000000005</v>
      </c>
      <c r="Y52" s="2"/>
      <c r="Z52" s="6">
        <f t="shared" si="23"/>
        <v>-1.1222222222222302E-2</v>
      </c>
    </row>
    <row r="53" spans="1:26" s="28" customFormat="1" outlineLevel="1" collapsed="1" x14ac:dyDescent="0.3">
      <c r="A53" s="29"/>
      <c r="B53" s="14" t="str">
        <f>CONCATENATE("     ","Professional Services                             ")</f>
        <v xml:space="preserve">     Professional Services                             </v>
      </c>
      <c r="C53" s="14"/>
      <c r="D53" s="1">
        <f>SUM(OSRRefD22_8x_0)</f>
        <v>251.1</v>
      </c>
      <c r="E53" s="1"/>
      <c r="F53" s="5">
        <f t="shared" si="16"/>
        <v>0</v>
      </c>
      <c r="G53" s="1"/>
      <c r="H53" s="1">
        <f>SUM(OSRRefH22_8x_0)</f>
        <v>1666</v>
      </c>
      <c r="I53" s="1"/>
      <c r="J53" s="5">
        <f t="shared" si="17"/>
        <v>0</v>
      </c>
      <c r="K53" s="1"/>
      <c r="L53" s="1">
        <f t="shared" si="18"/>
        <v>-1414.9</v>
      </c>
      <c r="M53" s="1"/>
      <c r="N53" s="5">
        <f t="shared" si="19"/>
        <v>-0.84927971188475393</v>
      </c>
      <c r="O53" s="14"/>
      <c r="P53" s="1">
        <f>SUM(OSRRefP22_8x_0)</f>
        <v>10558.68</v>
      </c>
      <c r="Q53" s="1"/>
      <c r="R53" s="5">
        <f t="shared" si="20"/>
        <v>0</v>
      </c>
      <c r="S53" s="1"/>
      <c r="T53" s="1">
        <f>SUM(OSRRefT22_8x_0)</f>
        <v>11662</v>
      </c>
      <c r="U53" s="1"/>
      <c r="V53" s="5">
        <f t="shared" si="21"/>
        <v>0</v>
      </c>
      <c r="W53" s="1"/>
      <c r="X53" s="1">
        <f t="shared" si="22"/>
        <v>-1103.3199999999997</v>
      </c>
      <c r="Y53" s="1"/>
      <c r="Z53" s="5">
        <f t="shared" si="23"/>
        <v>-9.4608128965872035E-2</v>
      </c>
    </row>
    <row r="54" spans="1:26" s="24" customFormat="1" hidden="1" outlineLevel="2" x14ac:dyDescent="0.3">
      <c r="A54" s="27"/>
      <c r="B54" s="11" t="str">
        <f>CONCATENATE("          ", "6332", " - ", "CONSULTANT FEES")</f>
        <v xml:space="preserve">          6332 - CONSULTANT FEES</v>
      </c>
      <c r="C54" s="11"/>
      <c r="D54" s="7"/>
      <c r="E54" s="2"/>
      <c r="F54" s="6">
        <f t="shared" si="16"/>
        <v>0</v>
      </c>
      <c r="G54" s="2"/>
      <c r="H54" s="7">
        <v>0</v>
      </c>
      <c r="I54" s="2"/>
      <c r="J54" s="6">
        <f t="shared" si="17"/>
        <v>0</v>
      </c>
      <c r="K54" s="2"/>
      <c r="L54" s="7">
        <f t="shared" si="18"/>
        <v>0</v>
      </c>
      <c r="M54" s="2"/>
      <c r="N54" s="6">
        <f t="shared" si="19"/>
        <v>0</v>
      </c>
      <c r="O54" s="11"/>
      <c r="P54" s="7"/>
      <c r="Q54" s="2"/>
      <c r="R54" s="6">
        <f t="shared" si="20"/>
        <v>0</v>
      </c>
      <c r="S54" s="2"/>
      <c r="T54" s="7">
        <v>0</v>
      </c>
      <c r="U54" s="2"/>
      <c r="V54" s="6">
        <f t="shared" si="21"/>
        <v>0</v>
      </c>
      <c r="W54" s="2"/>
      <c r="X54" s="7">
        <f t="shared" si="22"/>
        <v>0</v>
      </c>
      <c r="Y54" s="2"/>
      <c r="Z54" s="6">
        <f t="shared" si="23"/>
        <v>0</v>
      </c>
    </row>
    <row r="55" spans="1:26" s="24" customFormat="1" hidden="1" outlineLevel="2" x14ac:dyDescent="0.3">
      <c r="A55" s="27"/>
      <c r="B55" s="11" t="str">
        <f>CONCATENATE("          ", "6334", " - ", "LEGAL COUNCIL EXPENSE")</f>
        <v xml:space="preserve">          6334 - LEGAL COUNCIL EXPENSE</v>
      </c>
      <c r="C55" s="11"/>
      <c r="D55" s="7"/>
      <c r="E55" s="2"/>
      <c r="F55" s="6">
        <f t="shared" si="16"/>
        <v>0</v>
      </c>
      <c r="G55" s="2"/>
      <c r="H55" s="7">
        <v>833</v>
      </c>
      <c r="I55" s="2"/>
      <c r="J55" s="6">
        <f t="shared" si="17"/>
        <v>0</v>
      </c>
      <c r="K55" s="2"/>
      <c r="L55" s="7">
        <f t="shared" si="18"/>
        <v>-833</v>
      </c>
      <c r="M55" s="2"/>
      <c r="N55" s="6">
        <f t="shared" si="19"/>
        <v>-1</v>
      </c>
      <c r="O55" s="11"/>
      <c r="P55" s="7">
        <v>3255</v>
      </c>
      <c r="Q55" s="2"/>
      <c r="R55" s="6">
        <f t="shared" si="20"/>
        <v>0</v>
      </c>
      <c r="S55" s="2"/>
      <c r="T55" s="7">
        <v>5831</v>
      </c>
      <c r="U55" s="2"/>
      <c r="V55" s="6">
        <f t="shared" si="21"/>
        <v>0</v>
      </c>
      <c r="W55" s="2"/>
      <c r="X55" s="7">
        <f t="shared" si="22"/>
        <v>-2576</v>
      </c>
      <c r="Y55" s="2"/>
      <c r="Z55" s="6">
        <f t="shared" si="23"/>
        <v>-0.44177671068427371</v>
      </c>
    </row>
    <row r="56" spans="1:26" s="24" customFormat="1" hidden="1" outlineLevel="2" x14ac:dyDescent="0.3">
      <c r="A56" s="27"/>
      <c r="B56" s="11" t="str">
        <f>CONCATENATE("          ", "6336", " - ", "PROFESSIONAL SERVICES")</f>
        <v xml:space="preserve">          6336 - PROFESSIONAL SERVICES</v>
      </c>
      <c r="C56" s="11"/>
      <c r="D56" s="7">
        <v>251.1</v>
      </c>
      <c r="E56" s="2"/>
      <c r="F56" s="6">
        <f t="shared" si="16"/>
        <v>0</v>
      </c>
      <c r="G56" s="2"/>
      <c r="H56" s="7">
        <v>833</v>
      </c>
      <c r="I56" s="2"/>
      <c r="J56" s="6">
        <f t="shared" si="17"/>
        <v>0</v>
      </c>
      <c r="K56" s="2"/>
      <c r="L56" s="7">
        <f t="shared" si="18"/>
        <v>-581.9</v>
      </c>
      <c r="M56" s="2"/>
      <c r="N56" s="6">
        <f t="shared" si="19"/>
        <v>-0.69855942376950775</v>
      </c>
      <c r="O56" s="11"/>
      <c r="P56" s="7">
        <v>7303.68</v>
      </c>
      <c r="Q56" s="2"/>
      <c r="R56" s="6">
        <f t="shared" si="20"/>
        <v>0</v>
      </c>
      <c r="S56" s="2"/>
      <c r="T56" s="7">
        <v>5831</v>
      </c>
      <c r="U56" s="2"/>
      <c r="V56" s="6">
        <f t="shared" si="21"/>
        <v>0</v>
      </c>
      <c r="W56" s="2"/>
      <c r="X56" s="7">
        <f t="shared" si="22"/>
        <v>1472.6800000000003</v>
      </c>
      <c r="Y56" s="2"/>
      <c r="Z56" s="6">
        <f t="shared" si="23"/>
        <v>0.25256045275252964</v>
      </c>
    </row>
    <row r="57" spans="1:26" s="28" customFormat="1" outlineLevel="1" collapsed="1" x14ac:dyDescent="0.3">
      <c r="A57" s="29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SUM(OSRRefD22_9x_0)</f>
        <v>7050.61</v>
      </c>
      <c r="E57" s="1"/>
      <c r="F57" s="5">
        <f t="shared" ref="F57:F59" si="24">IF(D$12=0,0,D57/D$12)</f>
        <v>0</v>
      </c>
      <c r="G57" s="1"/>
      <c r="H57" s="1">
        <f>SUM(OSRRefH22_9x_0)</f>
        <v>7000</v>
      </c>
      <c r="I57" s="1"/>
      <c r="J57" s="5">
        <f t="shared" ref="J57:J59" si="25">IF(H$12=0,0,H57/H$12)</f>
        <v>0</v>
      </c>
      <c r="K57" s="1"/>
      <c r="L57" s="1">
        <f t="shared" ref="L57:L59" si="26">+D57-H57</f>
        <v>50.609999999999673</v>
      </c>
      <c r="M57" s="1"/>
      <c r="N57" s="5">
        <f t="shared" ref="N57:N59" si="27">IF(H57=0,0,L57/H57)</f>
        <v>7.2299999999999535E-3</v>
      </c>
      <c r="O57" s="14"/>
      <c r="P57" s="1">
        <f>SUM(OSRRefP22_9x_0)</f>
        <v>41567.579999999994</v>
      </c>
      <c r="Q57" s="1"/>
      <c r="R57" s="5">
        <f t="shared" ref="R57:R59" si="28">IF(P$12=0,0,P57/P$12)</f>
        <v>0</v>
      </c>
      <c r="S57" s="1"/>
      <c r="T57" s="1">
        <f>SUM(OSRRefT22_9x_0)</f>
        <v>49000</v>
      </c>
      <c r="U57" s="1"/>
      <c r="V57" s="5">
        <f t="shared" ref="V57:V59" si="29">IF(T$12=0,0,T57/T$12)</f>
        <v>0</v>
      </c>
      <c r="W57" s="1"/>
      <c r="X57" s="1">
        <f t="shared" ref="X57:X59" si="30">+P57-T57</f>
        <v>-7432.4200000000055</v>
      </c>
      <c r="Y57" s="1"/>
      <c r="Z57" s="5">
        <f t="shared" ref="Z57:Z59" si="31">IF(T57=0,0,X57/T57)</f>
        <v>-0.15168204081632664</v>
      </c>
    </row>
    <row r="58" spans="1:26" s="24" customFormat="1" hidden="1" outlineLevel="2" x14ac:dyDescent="0.3">
      <c r="A58" s="27"/>
      <c r="B58" s="11" t="str">
        <f>CONCATENATE("          ", "6371", " - ", "COMPUTER SOFTWARE MAINTENANCE")</f>
        <v xml:space="preserve">          6371 - COMPUTER SOFTWARE MAINTENANCE</v>
      </c>
      <c r="C58" s="11"/>
      <c r="D58" s="7">
        <v>7050.61</v>
      </c>
      <c r="E58" s="2"/>
      <c r="F58" s="6">
        <f t="shared" si="24"/>
        <v>0</v>
      </c>
      <c r="G58" s="2"/>
      <c r="H58" s="7">
        <v>7000</v>
      </c>
      <c r="I58" s="2"/>
      <c r="J58" s="6">
        <f t="shared" si="25"/>
        <v>0</v>
      </c>
      <c r="K58" s="2"/>
      <c r="L58" s="7">
        <f t="shared" si="26"/>
        <v>50.609999999999673</v>
      </c>
      <c r="M58" s="2"/>
      <c r="N58" s="6">
        <f t="shared" si="27"/>
        <v>7.2299999999999535E-3</v>
      </c>
      <c r="O58" s="11"/>
      <c r="P58" s="7">
        <v>41269.24</v>
      </c>
      <c r="Q58" s="2"/>
      <c r="R58" s="6">
        <f t="shared" si="28"/>
        <v>0</v>
      </c>
      <c r="S58" s="2"/>
      <c r="T58" s="7">
        <v>49000</v>
      </c>
      <c r="U58" s="2"/>
      <c r="V58" s="6">
        <f t="shared" si="29"/>
        <v>0</v>
      </c>
      <c r="W58" s="2"/>
      <c r="X58" s="7">
        <f t="shared" si="30"/>
        <v>-7730.760000000002</v>
      </c>
      <c r="Y58" s="2"/>
      <c r="Z58" s="6">
        <f t="shared" si="31"/>
        <v>-0.157770612244898</v>
      </c>
    </row>
    <row r="59" spans="1:26" s="24" customFormat="1" hidden="1" outlineLevel="2" x14ac:dyDescent="0.3">
      <c r="A59" s="27"/>
      <c r="B59" s="11" t="str">
        <f>CONCATENATE("          ", "6373", " - ", "MAINTENANCE CONTRACTS")</f>
        <v xml:space="preserve">          6373 - MAINTENANCE CONTRACTS</v>
      </c>
      <c r="C59" s="11"/>
      <c r="D59" s="7"/>
      <c r="E59" s="2"/>
      <c r="F59" s="6">
        <f t="shared" si="24"/>
        <v>0</v>
      </c>
      <c r="G59" s="2"/>
      <c r="H59" s="7"/>
      <c r="I59" s="2"/>
      <c r="J59" s="6">
        <f t="shared" si="25"/>
        <v>0</v>
      </c>
      <c r="K59" s="2"/>
      <c r="L59" s="7">
        <f t="shared" si="26"/>
        <v>0</v>
      </c>
      <c r="M59" s="2"/>
      <c r="N59" s="6">
        <f t="shared" si="27"/>
        <v>0</v>
      </c>
      <c r="O59" s="11"/>
      <c r="P59" s="7">
        <v>298.33999999999997</v>
      </c>
      <c r="Q59" s="2"/>
      <c r="R59" s="6">
        <f t="shared" si="28"/>
        <v>0</v>
      </c>
      <c r="S59" s="2"/>
      <c r="T59" s="7"/>
      <c r="U59" s="2"/>
      <c r="V59" s="6">
        <f t="shared" si="29"/>
        <v>0</v>
      </c>
      <c r="W59" s="2"/>
      <c r="X59" s="7">
        <f t="shared" si="30"/>
        <v>298.33999999999997</v>
      </c>
      <c r="Y59" s="2"/>
      <c r="Z59" s="6">
        <f t="shared" si="31"/>
        <v>0</v>
      </c>
    </row>
    <row r="60" spans="1:26" s="28" customFormat="1" outlineLevel="1" collapsed="1" x14ac:dyDescent="0.3">
      <c r="A60" s="29"/>
      <c r="B60" s="14" t="str">
        <f>CONCATENATE("     ","Subscriptions &amp; Dues                              ")</f>
        <v xml:space="preserve">     Subscriptions &amp; Dues                              </v>
      </c>
      <c r="C60" s="14"/>
      <c r="D60" s="1">
        <f>SUM(OSRRefD22_10x_0)</f>
        <v>0</v>
      </c>
      <c r="E60" s="1"/>
      <c r="F60" s="5">
        <f t="shared" ref="F60:F66" si="32">IF(D$12=0,0,D60/D$12)</f>
        <v>0</v>
      </c>
      <c r="G60" s="1"/>
      <c r="H60" s="1">
        <f>SUM(OSRRefH22_10x_0)</f>
        <v>0</v>
      </c>
      <c r="I60" s="1"/>
      <c r="J60" s="5">
        <f t="shared" ref="J60:J66" si="33">IF(H$12=0,0,H60/H$12)</f>
        <v>0</v>
      </c>
      <c r="K60" s="1"/>
      <c r="L60" s="1">
        <f t="shared" ref="L60:L66" si="34">+D60-H60</f>
        <v>0</v>
      </c>
      <c r="M60" s="1"/>
      <c r="N60" s="5">
        <f t="shared" ref="N60:N66" si="35">IF(H60=0,0,L60/H60)</f>
        <v>0</v>
      </c>
      <c r="O60" s="14"/>
      <c r="P60" s="1">
        <f>SUM(OSRRefP22_10x_0)</f>
        <v>1452</v>
      </c>
      <c r="Q60" s="1"/>
      <c r="R60" s="5">
        <f t="shared" ref="R60:R66" si="36">IF(P$12=0,0,P60/P$12)</f>
        <v>0</v>
      </c>
      <c r="S60" s="1"/>
      <c r="T60" s="1">
        <f>SUM(OSRRefT22_10x_0)</f>
        <v>1000</v>
      </c>
      <c r="U60" s="1"/>
      <c r="V60" s="5">
        <f t="shared" ref="V60:V66" si="37">IF(T$12=0,0,T60/T$12)</f>
        <v>0</v>
      </c>
      <c r="W60" s="1"/>
      <c r="X60" s="1">
        <f t="shared" ref="X60:X66" si="38">+P60-T60</f>
        <v>452</v>
      </c>
      <c r="Y60" s="1"/>
      <c r="Z60" s="5">
        <f t="shared" ref="Z60:Z66" si="39">IF(T60=0,0,X60/T60)</f>
        <v>0.45200000000000001</v>
      </c>
    </row>
    <row r="61" spans="1:26" s="24" customFormat="1" hidden="1" outlineLevel="2" x14ac:dyDescent="0.3">
      <c r="A61" s="27"/>
      <c r="B61" s="11" t="str">
        <f>CONCATENATE("          ", "6258", " - ", "MEMBERSHIP DUES")</f>
        <v xml:space="preserve">          6258 - MEMBERSHIP DUES</v>
      </c>
      <c r="C61" s="11"/>
      <c r="D61" s="7"/>
      <c r="E61" s="2"/>
      <c r="F61" s="6">
        <f t="shared" si="32"/>
        <v>0</v>
      </c>
      <c r="G61" s="2"/>
      <c r="H61" s="7"/>
      <c r="I61" s="2"/>
      <c r="J61" s="6">
        <f t="shared" si="33"/>
        <v>0</v>
      </c>
      <c r="K61" s="2"/>
      <c r="L61" s="7">
        <f t="shared" si="34"/>
        <v>0</v>
      </c>
      <c r="M61" s="2"/>
      <c r="N61" s="6">
        <f t="shared" si="35"/>
        <v>0</v>
      </c>
      <c r="O61" s="11"/>
      <c r="P61" s="7">
        <v>1452</v>
      </c>
      <c r="Q61" s="2"/>
      <c r="R61" s="6">
        <f t="shared" si="36"/>
        <v>0</v>
      </c>
      <c r="S61" s="2"/>
      <c r="T61" s="7">
        <v>1000</v>
      </c>
      <c r="U61" s="2"/>
      <c r="V61" s="6">
        <f t="shared" si="37"/>
        <v>0</v>
      </c>
      <c r="W61" s="2"/>
      <c r="X61" s="7">
        <f t="shared" si="38"/>
        <v>452</v>
      </c>
      <c r="Y61" s="2"/>
      <c r="Z61" s="6">
        <f t="shared" si="39"/>
        <v>0.45200000000000001</v>
      </c>
    </row>
    <row r="62" spans="1:26" s="28" customFormat="1" outlineLevel="1" collapsed="1" x14ac:dyDescent="0.3">
      <c r="A62" s="29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SUM(OSRRefD22_11x_0)</f>
        <v>280.08999999999997</v>
      </c>
      <c r="E62" s="1"/>
      <c r="F62" s="5">
        <f t="shared" si="32"/>
        <v>0</v>
      </c>
      <c r="G62" s="1"/>
      <c r="H62" s="1">
        <f>SUM(OSRRefH22_11x_0)</f>
        <v>1834</v>
      </c>
      <c r="I62" s="1"/>
      <c r="J62" s="5">
        <f t="shared" si="33"/>
        <v>0</v>
      </c>
      <c r="K62" s="1"/>
      <c r="L62" s="1">
        <f t="shared" si="34"/>
        <v>-1553.91</v>
      </c>
      <c r="M62" s="1"/>
      <c r="N62" s="5">
        <f t="shared" si="35"/>
        <v>-0.84727917121046892</v>
      </c>
      <c r="O62" s="14"/>
      <c r="P62" s="1">
        <f>SUM(OSRRefP22_11x_0)</f>
        <v>8103.85</v>
      </c>
      <c r="Q62" s="1"/>
      <c r="R62" s="5">
        <f t="shared" si="36"/>
        <v>0</v>
      </c>
      <c r="S62" s="1"/>
      <c r="T62" s="1">
        <f>SUM(OSRRefT22_11x_0)</f>
        <v>12838</v>
      </c>
      <c r="U62" s="1"/>
      <c r="V62" s="5">
        <f t="shared" si="37"/>
        <v>0</v>
      </c>
      <c r="W62" s="1"/>
      <c r="X62" s="1">
        <f t="shared" si="38"/>
        <v>-4734.1499999999996</v>
      </c>
      <c r="Y62" s="1"/>
      <c r="Z62" s="5">
        <f t="shared" si="39"/>
        <v>-0.36876071039102659</v>
      </c>
    </row>
    <row r="63" spans="1:26" s="24" customFormat="1" hidden="1" outlineLevel="2" x14ac:dyDescent="0.3">
      <c r="A63" s="27"/>
      <c r="B63" s="11" t="str">
        <f>CONCATENATE("          ", "6235", " - ", "COVID-19 EXPENSES")</f>
        <v xml:space="preserve">          6235 - COVID-19 EXPENSES</v>
      </c>
      <c r="C63" s="11"/>
      <c r="D63" s="7"/>
      <c r="E63" s="2"/>
      <c r="F63" s="6">
        <f t="shared" si="32"/>
        <v>0</v>
      </c>
      <c r="G63" s="2"/>
      <c r="H63" s="7"/>
      <c r="I63" s="2"/>
      <c r="J63" s="6">
        <f t="shared" si="33"/>
        <v>0</v>
      </c>
      <c r="K63" s="2"/>
      <c r="L63" s="7">
        <f t="shared" si="34"/>
        <v>0</v>
      </c>
      <c r="M63" s="2"/>
      <c r="N63" s="6">
        <f t="shared" si="35"/>
        <v>0</v>
      </c>
      <c r="O63" s="11"/>
      <c r="P63" s="7">
        <v>2447.77</v>
      </c>
      <c r="Q63" s="2"/>
      <c r="R63" s="6">
        <f t="shared" si="36"/>
        <v>0</v>
      </c>
      <c r="S63" s="2"/>
      <c r="T63" s="7"/>
      <c r="U63" s="2"/>
      <c r="V63" s="6">
        <f t="shared" si="37"/>
        <v>0</v>
      </c>
      <c r="W63" s="2"/>
      <c r="X63" s="7">
        <f t="shared" si="38"/>
        <v>2447.77</v>
      </c>
      <c r="Y63" s="2"/>
      <c r="Z63" s="6">
        <f t="shared" si="39"/>
        <v>0</v>
      </c>
    </row>
    <row r="64" spans="1:26" s="24" customFormat="1" hidden="1" outlineLevel="2" x14ac:dyDescent="0.3">
      <c r="A64" s="27"/>
      <c r="B64" s="11" t="str">
        <f>CONCATENATE("          ", "6241", " - ", "OFFICE EXPENSE")</f>
        <v xml:space="preserve">          6241 - OFFICE EXPENSE</v>
      </c>
      <c r="C64" s="11"/>
      <c r="D64" s="7">
        <v>280.08999999999997</v>
      </c>
      <c r="E64" s="2"/>
      <c r="F64" s="6">
        <f t="shared" si="32"/>
        <v>0</v>
      </c>
      <c r="G64" s="2"/>
      <c r="H64" s="7">
        <v>1417</v>
      </c>
      <c r="I64" s="2"/>
      <c r="J64" s="6">
        <f t="shared" si="33"/>
        <v>0</v>
      </c>
      <c r="K64" s="2"/>
      <c r="L64" s="7">
        <f t="shared" si="34"/>
        <v>-1136.9100000000001</v>
      </c>
      <c r="M64" s="2"/>
      <c r="N64" s="6">
        <f t="shared" si="35"/>
        <v>-0.80233592095977424</v>
      </c>
      <c r="O64" s="11"/>
      <c r="P64" s="7">
        <v>2271.39</v>
      </c>
      <c r="Q64" s="2"/>
      <c r="R64" s="6">
        <f t="shared" si="36"/>
        <v>0</v>
      </c>
      <c r="S64" s="2"/>
      <c r="T64" s="7">
        <v>9919</v>
      </c>
      <c r="U64" s="2"/>
      <c r="V64" s="6">
        <f t="shared" si="37"/>
        <v>0</v>
      </c>
      <c r="W64" s="2"/>
      <c r="X64" s="7">
        <f t="shared" si="38"/>
        <v>-7647.6100000000006</v>
      </c>
      <c r="Y64" s="2"/>
      <c r="Z64" s="6">
        <f t="shared" si="39"/>
        <v>-0.77100614981348936</v>
      </c>
    </row>
    <row r="65" spans="1:26" s="24" customFormat="1" hidden="1" outlineLevel="2" x14ac:dyDescent="0.3">
      <c r="A65" s="27"/>
      <c r="B65" s="11" t="str">
        <f>CONCATENATE("          ", "6244", " - ", "SAFETY SUPPLY EXPENSE")</f>
        <v xml:space="preserve">          6244 - SAFETY SUPPLY EXPENSE</v>
      </c>
      <c r="C65" s="11"/>
      <c r="D65" s="7"/>
      <c r="E65" s="2"/>
      <c r="F65" s="6">
        <f t="shared" si="32"/>
        <v>0</v>
      </c>
      <c r="G65" s="2"/>
      <c r="H65" s="7">
        <v>417</v>
      </c>
      <c r="I65" s="2"/>
      <c r="J65" s="6">
        <f t="shared" si="33"/>
        <v>0</v>
      </c>
      <c r="K65" s="2"/>
      <c r="L65" s="7">
        <f t="shared" si="34"/>
        <v>-417</v>
      </c>
      <c r="M65" s="2"/>
      <c r="N65" s="6">
        <f t="shared" si="35"/>
        <v>-1</v>
      </c>
      <c r="O65" s="11"/>
      <c r="P65" s="7">
        <v>600</v>
      </c>
      <c r="Q65" s="2"/>
      <c r="R65" s="6">
        <f t="shared" si="36"/>
        <v>0</v>
      </c>
      <c r="S65" s="2"/>
      <c r="T65" s="7">
        <v>2919</v>
      </c>
      <c r="U65" s="2"/>
      <c r="V65" s="6">
        <f t="shared" si="37"/>
        <v>0</v>
      </c>
      <c r="W65" s="2"/>
      <c r="X65" s="7">
        <f t="shared" si="38"/>
        <v>-2319</v>
      </c>
      <c r="Y65" s="2"/>
      <c r="Z65" s="6">
        <f t="shared" si="39"/>
        <v>-0.7944501541623844</v>
      </c>
    </row>
    <row r="66" spans="1:26" s="24" customFormat="1" hidden="1" outlineLevel="2" x14ac:dyDescent="0.3">
      <c r="A66" s="27"/>
      <c r="B66" s="11" t="str">
        <f>CONCATENATE("          ", "6248", " - ", "UNIFORMS")</f>
        <v xml:space="preserve">          6248 - UNIFORMS</v>
      </c>
      <c r="C66" s="11"/>
      <c r="D66" s="7"/>
      <c r="E66" s="2"/>
      <c r="F66" s="6">
        <f t="shared" si="32"/>
        <v>0</v>
      </c>
      <c r="G66" s="2"/>
      <c r="H66" s="7"/>
      <c r="I66" s="2"/>
      <c r="J66" s="6">
        <f t="shared" si="33"/>
        <v>0</v>
      </c>
      <c r="K66" s="2"/>
      <c r="L66" s="7">
        <f t="shared" si="34"/>
        <v>0</v>
      </c>
      <c r="M66" s="2"/>
      <c r="N66" s="6">
        <f t="shared" si="35"/>
        <v>0</v>
      </c>
      <c r="O66" s="11"/>
      <c r="P66" s="7">
        <v>2784.69</v>
      </c>
      <c r="Q66" s="2"/>
      <c r="R66" s="6">
        <f t="shared" si="36"/>
        <v>0</v>
      </c>
      <c r="S66" s="2"/>
      <c r="T66" s="7"/>
      <c r="U66" s="2"/>
      <c r="V66" s="6">
        <f t="shared" si="37"/>
        <v>0</v>
      </c>
      <c r="W66" s="2"/>
      <c r="X66" s="7">
        <f t="shared" si="38"/>
        <v>2784.69</v>
      </c>
      <c r="Y66" s="2"/>
      <c r="Z66" s="6">
        <f t="shared" si="39"/>
        <v>0</v>
      </c>
    </row>
    <row r="67" spans="1:26" s="28" customFormat="1" outlineLevel="1" collapsed="1" x14ac:dyDescent="0.3">
      <c r="A67" s="29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SUM(OSRRefD22_12x_0)</f>
        <v>577.85</v>
      </c>
      <c r="E67" s="1"/>
      <c r="F67" s="5">
        <f t="shared" ref="F67:F72" si="40">IF(D$12=0,0,D67/D$12)</f>
        <v>0</v>
      </c>
      <c r="G67" s="1"/>
      <c r="H67" s="1">
        <f>SUM(OSRRefH22_12x_0)</f>
        <v>283</v>
      </c>
      <c r="I67" s="1"/>
      <c r="J67" s="5">
        <f t="shared" ref="J67:J72" si="41">IF(H$12=0,0,H67/H$12)</f>
        <v>0</v>
      </c>
      <c r="K67" s="1"/>
      <c r="L67" s="1">
        <f t="shared" ref="L67:L72" si="42">+D67-H67</f>
        <v>294.85000000000002</v>
      </c>
      <c r="M67" s="1"/>
      <c r="N67" s="5">
        <f t="shared" ref="N67:N72" si="43">IF(H67=0,0,L67/H67)</f>
        <v>1.0418727915194348</v>
      </c>
      <c r="O67" s="14"/>
      <c r="P67" s="1">
        <f>SUM(OSRRefP22_12x_0)</f>
        <v>3399.2</v>
      </c>
      <c r="Q67" s="1"/>
      <c r="R67" s="5">
        <f t="shared" ref="R67:R72" si="44">IF(P$12=0,0,P67/P$12)</f>
        <v>0</v>
      </c>
      <c r="S67" s="1"/>
      <c r="T67" s="1">
        <f>SUM(OSRRefT22_12x_0)</f>
        <v>1981</v>
      </c>
      <c r="U67" s="1"/>
      <c r="V67" s="5">
        <f t="shared" ref="V67:V72" si="45">IF(T$12=0,0,T67/T$12)</f>
        <v>0</v>
      </c>
      <c r="W67" s="1"/>
      <c r="X67" s="1">
        <f t="shared" ref="X67:X72" si="46">+P67-T67</f>
        <v>1418.1999999999998</v>
      </c>
      <c r="Y67" s="1"/>
      <c r="Z67" s="5">
        <f t="shared" ref="Z67:Z72" si="47">IF(T67=0,0,X67/T67)</f>
        <v>0.71590106007067134</v>
      </c>
    </row>
    <row r="68" spans="1:26" s="24" customFormat="1" hidden="1" outlineLevel="2" x14ac:dyDescent="0.3">
      <c r="A68" s="27"/>
      <c r="B68" s="11" t="str">
        <f>CONCATENATE("          ", "6309", " - ", "TELEPHONE")</f>
        <v xml:space="preserve">          6309 - TELEPHONE</v>
      </c>
      <c r="C68" s="11"/>
      <c r="D68" s="7">
        <v>577.85</v>
      </c>
      <c r="E68" s="2"/>
      <c r="F68" s="6">
        <f t="shared" si="40"/>
        <v>0</v>
      </c>
      <c r="G68" s="2"/>
      <c r="H68" s="7">
        <v>283</v>
      </c>
      <c r="I68" s="2"/>
      <c r="J68" s="6">
        <f t="shared" si="41"/>
        <v>0</v>
      </c>
      <c r="K68" s="2"/>
      <c r="L68" s="7">
        <f t="shared" si="42"/>
        <v>294.85000000000002</v>
      </c>
      <c r="M68" s="2"/>
      <c r="N68" s="6">
        <f t="shared" si="43"/>
        <v>1.0418727915194348</v>
      </c>
      <c r="O68" s="11"/>
      <c r="P68" s="7">
        <v>3399.2</v>
      </c>
      <c r="Q68" s="2"/>
      <c r="R68" s="6">
        <f t="shared" si="44"/>
        <v>0</v>
      </c>
      <c r="S68" s="2"/>
      <c r="T68" s="7">
        <v>1981</v>
      </c>
      <c r="U68" s="2"/>
      <c r="V68" s="6">
        <f t="shared" si="45"/>
        <v>0</v>
      </c>
      <c r="W68" s="2"/>
      <c r="X68" s="7">
        <f t="shared" si="46"/>
        <v>1418.1999999999998</v>
      </c>
      <c r="Y68" s="2"/>
      <c r="Z68" s="6">
        <f t="shared" si="47"/>
        <v>0.71590106007067134</v>
      </c>
    </row>
    <row r="69" spans="1:26" s="28" customFormat="1" outlineLevel="1" collapsed="1" x14ac:dyDescent="0.3">
      <c r="A69" s="29"/>
      <c r="B69" s="14" t="str">
        <f>CONCATENATE("     ","Training                                          ")</f>
        <v xml:space="preserve">     Training                                          </v>
      </c>
      <c r="C69" s="14"/>
      <c r="D69" s="1">
        <f>SUM(OSRRefD22_13x_0)</f>
        <v>0</v>
      </c>
      <c r="E69" s="1"/>
      <c r="F69" s="5">
        <f t="shared" si="40"/>
        <v>0</v>
      </c>
      <c r="G69" s="1"/>
      <c r="H69" s="1">
        <f>SUM(OSRRefH22_13x_0)</f>
        <v>333</v>
      </c>
      <c r="I69" s="1"/>
      <c r="J69" s="5">
        <f t="shared" si="41"/>
        <v>0</v>
      </c>
      <c r="K69" s="1"/>
      <c r="L69" s="1">
        <f t="shared" si="42"/>
        <v>-333</v>
      </c>
      <c r="M69" s="1"/>
      <c r="N69" s="5">
        <f t="shared" si="43"/>
        <v>-1</v>
      </c>
      <c r="O69" s="14"/>
      <c r="P69" s="1">
        <f>SUM(OSRRefP22_13x_0)</f>
        <v>475</v>
      </c>
      <c r="Q69" s="1"/>
      <c r="R69" s="5">
        <f t="shared" si="44"/>
        <v>0</v>
      </c>
      <c r="S69" s="1"/>
      <c r="T69" s="1">
        <f>SUM(OSRRefT22_13x_0)</f>
        <v>2331</v>
      </c>
      <c r="U69" s="1"/>
      <c r="V69" s="5">
        <f t="shared" si="45"/>
        <v>0</v>
      </c>
      <c r="W69" s="1"/>
      <c r="X69" s="1">
        <f t="shared" si="46"/>
        <v>-1856</v>
      </c>
      <c r="Y69" s="1"/>
      <c r="Z69" s="5">
        <f t="shared" si="47"/>
        <v>-0.79622479622479625</v>
      </c>
    </row>
    <row r="70" spans="1:26" s="24" customFormat="1" hidden="1" outlineLevel="2" x14ac:dyDescent="0.3">
      <c r="A70" s="27"/>
      <c r="B70" s="11" t="str">
        <f>CONCATENATE("          ", "6376", " - ", "TRAINING")</f>
        <v xml:space="preserve">          6376 - TRAINING</v>
      </c>
      <c r="C70" s="11"/>
      <c r="D70" s="7"/>
      <c r="E70" s="2"/>
      <c r="F70" s="6">
        <f t="shared" si="40"/>
        <v>0</v>
      </c>
      <c r="G70" s="2"/>
      <c r="H70" s="7">
        <v>333</v>
      </c>
      <c r="I70" s="2"/>
      <c r="J70" s="6">
        <f t="shared" si="41"/>
        <v>0</v>
      </c>
      <c r="K70" s="2"/>
      <c r="L70" s="7">
        <f t="shared" si="42"/>
        <v>-333</v>
      </c>
      <c r="M70" s="2"/>
      <c r="N70" s="6">
        <f t="shared" si="43"/>
        <v>-1</v>
      </c>
      <c r="O70" s="11"/>
      <c r="P70" s="7">
        <v>475</v>
      </c>
      <c r="Q70" s="2"/>
      <c r="R70" s="6">
        <f t="shared" si="44"/>
        <v>0</v>
      </c>
      <c r="S70" s="2"/>
      <c r="T70" s="7">
        <v>2331</v>
      </c>
      <c r="U70" s="2"/>
      <c r="V70" s="6">
        <f t="shared" si="45"/>
        <v>0</v>
      </c>
      <c r="W70" s="2"/>
      <c r="X70" s="7">
        <f t="shared" si="46"/>
        <v>-1856</v>
      </c>
      <c r="Y70" s="2"/>
      <c r="Z70" s="6">
        <f t="shared" si="47"/>
        <v>-0.79622479622479625</v>
      </c>
    </row>
    <row r="71" spans="1:26" s="28" customFormat="1" outlineLevel="1" collapsed="1" x14ac:dyDescent="0.3">
      <c r="A71" s="29"/>
      <c r="B71" s="14" t="str">
        <f>CONCATENATE("     ","Travel                                            ")</f>
        <v xml:space="preserve">     Travel                                            </v>
      </c>
      <c r="C71" s="14"/>
      <c r="D71" s="1">
        <f>SUM(OSRRefD22_14x_0)</f>
        <v>0</v>
      </c>
      <c r="E71" s="1"/>
      <c r="F71" s="5">
        <f t="shared" si="40"/>
        <v>0</v>
      </c>
      <c r="G71" s="1"/>
      <c r="H71" s="1">
        <f>SUM(OSRRefH22_14x_0)</f>
        <v>0</v>
      </c>
      <c r="I71" s="1"/>
      <c r="J71" s="5">
        <f t="shared" si="41"/>
        <v>0</v>
      </c>
      <c r="K71" s="1"/>
      <c r="L71" s="1">
        <f t="shared" si="42"/>
        <v>0</v>
      </c>
      <c r="M71" s="1"/>
      <c r="N71" s="5">
        <f t="shared" si="43"/>
        <v>0</v>
      </c>
      <c r="O71" s="14"/>
      <c r="P71" s="1">
        <f>SUM(OSRRefP22_14x_0)</f>
        <v>0</v>
      </c>
      <c r="Q71" s="1"/>
      <c r="R71" s="5">
        <f t="shared" si="44"/>
        <v>0</v>
      </c>
      <c r="S71" s="1"/>
      <c r="T71" s="1">
        <f>SUM(OSRRefT22_14x_0)</f>
        <v>720</v>
      </c>
      <c r="U71" s="1"/>
      <c r="V71" s="5">
        <f t="shared" si="45"/>
        <v>0</v>
      </c>
      <c r="W71" s="1"/>
      <c r="X71" s="1">
        <f t="shared" si="46"/>
        <v>-720</v>
      </c>
      <c r="Y71" s="1"/>
      <c r="Z71" s="5">
        <f t="shared" si="47"/>
        <v>-1</v>
      </c>
    </row>
    <row r="72" spans="1:26" s="24" customFormat="1" hidden="1" outlineLevel="2" x14ac:dyDescent="0.3">
      <c r="A72" s="27"/>
      <c r="B72" s="11" t="str">
        <f>CONCATENATE("          ", "6292", " - ", "TRAVEL/CONFERENCE")</f>
        <v xml:space="preserve">          6292 - TRAVEL/CONFERENCE</v>
      </c>
      <c r="C72" s="11"/>
      <c r="D72" s="7"/>
      <c r="E72" s="2"/>
      <c r="F72" s="6">
        <f t="shared" si="40"/>
        <v>0</v>
      </c>
      <c r="G72" s="2"/>
      <c r="H72" s="7"/>
      <c r="I72" s="2"/>
      <c r="J72" s="6">
        <f t="shared" si="41"/>
        <v>0</v>
      </c>
      <c r="K72" s="2"/>
      <c r="L72" s="7">
        <f t="shared" si="42"/>
        <v>0</v>
      </c>
      <c r="M72" s="2"/>
      <c r="N72" s="6">
        <f t="shared" si="43"/>
        <v>0</v>
      </c>
      <c r="O72" s="11"/>
      <c r="P72" s="7"/>
      <c r="Q72" s="2"/>
      <c r="R72" s="6">
        <f t="shared" si="44"/>
        <v>0</v>
      </c>
      <c r="S72" s="2"/>
      <c r="T72" s="7">
        <v>720</v>
      </c>
      <c r="U72" s="2"/>
      <c r="V72" s="6">
        <f t="shared" si="45"/>
        <v>0</v>
      </c>
      <c r="W72" s="2"/>
      <c r="X72" s="7">
        <f t="shared" si="46"/>
        <v>-720</v>
      </c>
      <c r="Y72" s="2"/>
      <c r="Z72" s="6">
        <f t="shared" si="47"/>
        <v>-1</v>
      </c>
    </row>
    <row r="73" spans="1:26" s="55" customFormat="1" x14ac:dyDescent="0.3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3">
      <c r="A74" s="10"/>
      <c r="B74" s="25" t="s">
        <v>293</v>
      </c>
      <c r="C74" s="10"/>
      <c r="D74" s="4">
        <f>SUM(0)</f>
        <v>0</v>
      </c>
      <c r="E74" s="4"/>
      <c r="F74" s="12">
        <f>IF(D$12=0,0,D74/D$12)</f>
        <v>0</v>
      </c>
      <c r="G74" s="4"/>
      <c r="H74" s="4">
        <f>SUM(0)</f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>
        <f>SUM(0)</f>
        <v>0</v>
      </c>
      <c r="Q74" s="4"/>
      <c r="R74" s="12">
        <f>IF(P$12=0,0,P74/P$12)</f>
        <v>0</v>
      </c>
      <c r="S74" s="4"/>
      <c r="T74" s="4">
        <f>SUM(0)</f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3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3">
      <c r="A76" s="10"/>
      <c r="B76" s="26" t="s">
        <v>277</v>
      </c>
      <c r="C76" s="26"/>
      <c r="D76" s="21">
        <f>+D16-D18+D74</f>
        <v>-65576.820000000007</v>
      </c>
      <c r="E76" s="13"/>
      <c r="F76" s="22">
        <f>IF(D$12=0,0,D76/D$12)</f>
        <v>0</v>
      </c>
      <c r="G76" s="13"/>
      <c r="H76" s="21">
        <f>+H16-H18+H74</f>
        <v>-54327.831462107686</v>
      </c>
      <c r="I76" s="13"/>
      <c r="J76" s="22">
        <f>IF(H$12=0,0,H76/H$12)</f>
        <v>0</v>
      </c>
      <c r="K76" s="15"/>
      <c r="L76" s="21">
        <f>+D76-H76</f>
        <v>-11248.988537892321</v>
      </c>
      <c r="M76" s="15"/>
      <c r="N76" s="22">
        <f>IF(H76=0,0,L76/H76)</f>
        <v>0.207057565802865</v>
      </c>
      <c r="O76" s="25"/>
      <c r="P76" s="21">
        <f>+P16-P18+P74</f>
        <v>-385311.72000000003</v>
      </c>
      <c r="Q76" s="13"/>
      <c r="R76" s="22">
        <f>IF(P$12=0,0,P76/P$12)</f>
        <v>0</v>
      </c>
      <c r="S76" s="13"/>
      <c r="T76" s="21">
        <f>+T16-T18+T74</f>
        <v>-350100.55506506772</v>
      </c>
      <c r="U76" s="13"/>
      <c r="V76" s="22">
        <f>IF(T$12=0,0,T76/T$12)</f>
        <v>0</v>
      </c>
      <c r="W76" s="15"/>
      <c r="X76" s="21">
        <f>+P76-T76</f>
        <v>-35211.164934932312</v>
      </c>
      <c r="Y76" s="15"/>
      <c r="Z76" s="22">
        <f>IF(T76=0,0,X76/T76)</f>
        <v>0.10057443333212701</v>
      </c>
    </row>
    <row r="77" spans="1:26" x14ac:dyDescent="0.3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3">
      <c r="A78" s="52"/>
      <c r="B78" s="10" t="s">
        <v>128</v>
      </c>
      <c r="C78" s="10"/>
      <c r="D78" s="4"/>
      <c r="E78" s="4"/>
      <c r="F78" s="12">
        <f>IF(D$12=0,0,D78/D$12)</f>
        <v>0</v>
      </c>
      <c r="G78" s="4"/>
      <c r="H78" s="4"/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/>
      <c r="Q78" s="4"/>
      <c r="R78" s="12">
        <f>IF(P$12=0,0,P78/P$12)</f>
        <v>0</v>
      </c>
      <c r="S78" s="4"/>
      <c r="T78" s="4"/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3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" thickBot="1" x14ac:dyDescent="0.35">
      <c r="A80" s="10"/>
      <c r="B80" s="26" t="s">
        <v>126</v>
      </c>
      <c r="C80" s="26"/>
      <c r="D80" s="32">
        <f>+D76-D78</f>
        <v>-65576.820000000007</v>
      </c>
      <c r="E80" s="13"/>
      <c r="F80" s="31">
        <f>IF(D$12=0,0,D80/D$12)</f>
        <v>0</v>
      </c>
      <c r="G80" s="13"/>
      <c r="H80" s="32">
        <f>+H76-H78</f>
        <v>-54327.831462107686</v>
      </c>
      <c r="I80" s="13"/>
      <c r="J80" s="31">
        <f>IF(H$12=0,0,H80/H$12)</f>
        <v>0</v>
      </c>
      <c r="K80" s="15"/>
      <c r="L80" s="32">
        <f>D80-H80</f>
        <v>-11248.988537892321</v>
      </c>
      <c r="M80" s="15"/>
      <c r="N80" s="31">
        <f>IF(H80=0,0,L80/H80)</f>
        <v>0.207057565802865</v>
      </c>
      <c r="O80" s="25"/>
      <c r="P80" s="32">
        <f>+P76-P78</f>
        <v>-385311.72000000003</v>
      </c>
      <c r="Q80" s="13"/>
      <c r="R80" s="31">
        <f>IF(P$12=0,0,P80/P$12)</f>
        <v>0</v>
      </c>
      <c r="S80" s="13"/>
      <c r="T80" s="32">
        <f>+T76-T78</f>
        <v>-350100.55506506772</v>
      </c>
      <c r="U80" s="13"/>
      <c r="V80" s="31">
        <f>IF(T$12=0,0,T80/T$12)</f>
        <v>0</v>
      </c>
      <c r="W80" s="15"/>
      <c r="X80" s="32">
        <f>P80-T80</f>
        <v>-35211.164934932312</v>
      </c>
      <c r="Y80" s="15"/>
      <c r="Z80" s="31">
        <f>IF(T80=0,0,X80/T80)</f>
        <v>0.10057443333212701</v>
      </c>
    </row>
    <row r="81" spans="1:26" ht="15" thickTop="1" x14ac:dyDescent="0.3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3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" thickBot="1" x14ac:dyDescent="0.35">
      <c r="A83" s="10"/>
      <c r="B83" s="26" t="s">
        <v>294</v>
      </c>
      <c r="C83" s="26"/>
      <c r="D83" s="34">
        <f>SUM(D80:D82)</f>
        <v>-65576.820000000007</v>
      </c>
      <c r="E83" s="13"/>
      <c r="F83" s="35">
        <f>IF(D$12=0,0,D83/D$12)</f>
        <v>0</v>
      </c>
      <c r="G83" s="13"/>
      <c r="H83" s="34">
        <f>SUM(H80:H82)</f>
        <v>-54327.831462107686</v>
      </c>
      <c r="I83" s="13"/>
      <c r="J83" s="35">
        <f>IF(H$12=0,0,H83/H$12)</f>
        <v>0</v>
      </c>
      <c r="K83" s="15"/>
      <c r="L83" s="34">
        <f>+D83-H83</f>
        <v>-11248.988537892321</v>
      </c>
      <c r="M83" s="15"/>
      <c r="N83" s="35">
        <f>IF(H83=0,0,L83/H83)</f>
        <v>0.207057565802865</v>
      </c>
      <c r="O83" s="25"/>
      <c r="P83" s="34">
        <f>SUM(P80:P82)</f>
        <v>-385311.72000000003</v>
      </c>
      <c r="Q83" s="13"/>
      <c r="R83" s="35">
        <f>IF(P$12=0,0,P83/P$12)</f>
        <v>0</v>
      </c>
      <c r="S83" s="13"/>
      <c r="T83" s="34">
        <f>SUM(T80:T82)</f>
        <v>-350100.55506506772</v>
      </c>
      <c r="U83" s="13"/>
      <c r="V83" s="35">
        <f>IF(T$12=0,0,T83/T$12)</f>
        <v>0</v>
      </c>
      <c r="W83" s="15"/>
      <c r="X83" s="34">
        <f>+P83-T83</f>
        <v>-35211.164934932312</v>
      </c>
      <c r="Y83" s="15"/>
      <c r="Z83" s="35">
        <f>IF(T83=0,0,X83/T83)</f>
        <v>0.10057443333212701</v>
      </c>
    </row>
    <row r="84" spans="1:26" ht="15" thickTop="1" x14ac:dyDescent="0.3">
      <c r="A84" s="9"/>
      <c r="C84" s="9"/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6" x14ac:dyDescent="0.3">
      <c r="A85" s="9"/>
      <c r="B85" s="53">
        <v>44604.019995405091</v>
      </c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3">
      <c r="A86" s="9"/>
      <c r="B86" s="63" t="s">
        <v>56</v>
      </c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3">
      <c r="A87" s="9"/>
      <c r="B87" s="58"/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3"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outlinePr summaryBelow="0" summaryRight="0"/>
  </sheetPr>
  <dimension ref="A2:Z7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","204", " - ", "Information Technology")</f>
        <v>Department 204 - Information Technology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50768.030000000006</v>
      </c>
      <c r="E18" s="20"/>
      <c r="F18" s="33">
        <f t="shared" ref="F18:F28" si="0">IF(D$12=0,0,D18/D$12)</f>
        <v>0</v>
      </c>
      <c r="G18" s="20"/>
      <c r="H18" s="20">
        <f>SUM(OSRRefH22x_0)</f>
        <v>55284.082559230737</v>
      </c>
      <c r="I18" s="20"/>
      <c r="J18" s="33">
        <f t="shared" ref="J18:J28" si="1">IF(H$12=0,0,H18/H$12)</f>
        <v>0</v>
      </c>
      <c r="K18" s="4"/>
      <c r="L18" s="20">
        <f t="shared" ref="L18:L28" si="2">+D18-H18</f>
        <v>-4516.0525592307313</v>
      </c>
      <c r="M18" s="4"/>
      <c r="N18" s="33">
        <f t="shared" ref="N18:N28" si="3">IF(H18=0,0,L18/H18)</f>
        <v>-8.1688116184116533E-2</v>
      </c>
      <c r="O18" s="10"/>
      <c r="P18" s="20">
        <f>SUM(OSRRefP22x_0)</f>
        <v>318727.39</v>
      </c>
      <c r="Q18" s="20"/>
      <c r="R18" s="33">
        <f t="shared" ref="R18:R28" si="4">IF(P$12=0,0,P18/P$12)</f>
        <v>0</v>
      </c>
      <c r="S18" s="20"/>
      <c r="T18" s="20">
        <f>SUM(OSRRefT22x_0)</f>
        <v>362133.91186723032</v>
      </c>
      <c r="U18" s="20"/>
      <c r="V18" s="33">
        <f t="shared" ref="V18:V28" si="5">IF(T$12=0,0,T18/T$12)</f>
        <v>0</v>
      </c>
      <c r="W18" s="4"/>
      <c r="X18" s="20">
        <f t="shared" ref="X18:X28" si="6">+P18-T18</f>
        <v>-43406.521867230302</v>
      </c>
      <c r="Y18" s="4"/>
      <c r="Z18" s="33">
        <f t="shared" ref="Z18:Z28" si="7">IF(T18=0,0,X18/T18)</f>
        <v>-0.11986317890920002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13150.54</v>
      </c>
      <c r="E19" s="1"/>
      <c r="F19" s="5">
        <f t="shared" si="0"/>
        <v>0</v>
      </c>
      <c r="G19" s="1"/>
      <c r="H19" s="1">
        <f>SUM(OSRRefH22_0x_0)</f>
        <v>12494.121020769242</v>
      </c>
      <c r="I19" s="1"/>
      <c r="J19" s="5">
        <f t="shared" si="1"/>
        <v>0</v>
      </c>
      <c r="K19" s="1"/>
      <c r="L19" s="1">
        <f t="shared" si="2"/>
        <v>656.41897923075885</v>
      </c>
      <c r="M19" s="1"/>
      <c r="N19" s="5">
        <f t="shared" si="3"/>
        <v>5.2538228030573716E-2</v>
      </c>
      <c r="O19" s="14"/>
      <c r="P19" s="1">
        <f>SUM(OSRRefP22_0x_0)</f>
        <v>80482.569999999992</v>
      </c>
      <c r="Q19" s="1"/>
      <c r="R19" s="5">
        <f t="shared" si="4"/>
        <v>0</v>
      </c>
      <c r="S19" s="1"/>
      <c r="T19" s="1">
        <f>SUM(OSRRefT22_0x_0)</f>
        <v>81972.350328769331</v>
      </c>
      <c r="U19" s="1"/>
      <c r="V19" s="5">
        <f t="shared" si="5"/>
        <v>0</v>
      </c>
      <c r="W19" s="1"/>
      <c r="X19" s="1">
        <f t="shared" si="6"/>
        <v>-1489.7803287693387</v>
      </c>
      <c r="Y19" s="1"/>
      <c r="Z19" s="5">
        <f t="shared" si="7"/>
        <v>-1.8174180962168648E-2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7">
        <v>1474.55</v>
      </c>
      <c r="E20" s="2"/>
      <c r="F20" s="6">
        <f t="shared" si="0"/>
        <v>0</v>
      </c>
      <c r="G20" s="2"/>
      <c r="H20" s="7">
        <v>2263.5160361538501</v>
      </c>
      <c r="I20" s="2"/>
      <c r="J20" s="6">
        <f t="shared" si="1"/>
        <v>0</v>
      </c>
      <c r="K20" s="2"/>
      <c r="L20" s="7">
        <f t="shared" si="2"/>
        <v>-788.96603615385015</v>
      </c>
      <c r="M20" s="2"/>
      <c r="N20" s="6">
        <f t="shared" si="3"/>
        <v>-0.34855774094468334</v>
      </c>
      <c r="O20" s="11"/>
      <c r="P20" s="7">
        <v>10817.87</v>
      </c>
      <c r="Q20" s="2"/>
      <c r="R20" s="6">
        <f t="shared" si="4"/>
        <v>0</v>
      </c>
      <c r="S20" s="2"/>
      <c r="T20" s="7">
        <v>14033.7994241539</v>
      </c>
      <c r="U20" s="2"/>
      <c r="V20" s="6">
        <f t="shared" si="5"/>
        <v>0</v>
      </c>
      <c r="W20" s="2"/>
      <c r="X20" s="7">
        <f t="shared" si="6"/>
        <v>-3215.9294241538992</v>
      </c>
      <c r="Y20" s="2"/>
      <c r="Z20" s="6">
        <f t="shared" si="7"/>
        <v>-0.22915600593655969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248.65</v>
      </c>
      <c r="E21" s="2"/>
      <c r="F21" s="6">
        <f t="shared" si="0"/>
        <v>0</v>
      </c>
      <c r="G21" s="2"/>
      <c r="H21" s="7">
        <v>91.688223076923094</v>
      </c>
      <c r="I21" s="2"/>
      <c r="J21" s="6">
        <f t="shared" si="1"/>
        <v>0</v>
      </c>
      <c r="K21" s="2"/>
      <c r="L21" s="7">
        <f t="shared" si="2"/>
        <v>156.96177692307691</v>
      </c>
      <c r="M21" s="2"/>
      <c r="N21" s="6">
        <f t="shared" si="3"/>
        <v>1.7119077200502804</v>
      </c>
      <c r="O21" s="11"/>
      <c r="P21" s="7">
        <v>1816.96</v>
      </c>
      <c r="Q21" s="2"/>
      <c r="R21" s="6">
        <f t="shared" si="4"/>
        <v>0</v>
      </c>
      <c r="S21" s="2"/>
      <c r="T21" s="7">
        <v>568.46698307692304</v>
      </c>
      <c r="U21" s="2"/>
      <c r="V21" s="6">
        <f t="shared" si="5"/>
        <v>0</v>
      </c>
      <c r="W21" s="2"/>
      <c r="X21" s="7">
        <f t="shared" si="6"/>
        <v>1248.493016923077</v>
      </c>
      <c r="Y21" s="2"/>
      <c r="Z21" s="6">
        <f t="shared" si="7"/>
        <v>2.19624543568986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7">
        <v>4446.67</v>
      </c>
      <c r="E22" s="2"/>
      <c r="F22" s="6">
        <f t="shared" si="0"/>
        <v>0</v>
      </c>
      <c r="G22" s="2"/>
      <c r="H22" s="7">
        <v>5336</v>
      </c>
      <c r="I22" s="2"/>
      <c r="J22" s="6">
        <f t="shared" si="1"/>
        <v>0</v>
      </c>
      <c r="K22" s="2"/>
      <c r="L22" s="7">
        <f t="shared" si="2"/>
        <v>-889.32999999999993</v>
      </c>
      <c r="M22" s="2"/>
      <c r="N22" s="6">
        <f t="shared" si="3"/>
        <v>-0.16666604197901047</v>
      </c>
      <c r="O22" s="11"/>
      <c r="P22" s="7">
        <v>33480.04</v>
      </c>
      <c r="Q22" s="2"/>
      <c r="R22" s="6">
        <f t="shared" si="4"/>
        <v>0</v>
      </c>
      <c r="S22" s="2"/>
      <c r="T22" s="7">
        <v>37352</v>
      </c>
      <c r="U22" s="2"/>
      <c r="V22" s="6">
        <f t="shared" si="5"/>
        <v>0</v>
      </c>
      <c r="W22" s="2"/>
      <c r="X22" s="7">
        <f t="shared" si="6"/>
        <v>-3871.9599999999991</v>
      </c>
      <c r="Y22" s="2"/>
      <c r="Z22" s="6">
        <f t="shared" si="7"/>
        <v>-0.1036613835939173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50.12</v>
      </c>
      <c r="E23" s="2"/>
      <c r="F23" s="6">
        <f t="shared" si="0"/>
        <v>0</v>
      </c>
      <c r="G23" s="2"/>
      <c r="H23" s="7">
        <v>62.111376923076897</v>
      </c>
      <c r="I23" s="2"/>
      <c r="J23" s="6">
        <f t="shared" si="1"/>
        <v>0</v>
      </c>
      <c r="K23" s="2"/>
      <c r="L23" s="7">
        <f t="shared" si="2"/>
        <v>-11.991376923076899</v>
      </c>
      <c r="M23" s="2"/>
      <c r="N23" s="6">
        <f t="shared" si="3"/>
        <v>-0.19306248737534615</v>
      </c>
      <c r="O23" s="11"/>
      <c r="P23" s="7">
        <v>366.2</v>
      </c>
      <c r="Q23" s="2"/>
      <c r="R23" s="6">
        <f t="shared" si="4"/>
        <v>0</v>
      </c>
      <c r="S23" s="2"/>
      <c r="T23" s="7">
        <v>385.09053692307702</v>
      </c>
      <c r="U23" s="2"/>
      <c r="V23" s="6">
        <f t="shared" si="5"/>
        <v>0</v>
      </c>
      <c r="W23" s="2"/>
      <c r="X23" s="7">
        <f t="shared" si="6"/>
        <v>-18.890536923077036</v>
      </c>
      <c r="Y23" s="2"/>
      <c r="Z23" s="6">
        <f t="shared" si="7"/>
        <v>-4.9054793903830662E-2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7">
        <v>1907.46</v>
      </c>
      <c r="E24" s="2"/>
      <c r="F24" s="6">
        <f t="shared" si="0"/>
        <v>0</v>
      </c>
      <c r="G24" s="2"/>
      <c r="H24" s="7">
        <v>1958.98076923077</v>
      </c>
      <c r="I24" s="2"/>
      <c r="J24" s="6">
        <f t="shared" si="1"/>
        <v>0</v>
      </c>
      <c r="K24" s="2"/>
      <c r="L24" s="7">
        <f t="shared" si="2"/>
        <v>-51.520769230769929</v>
      </c>
      <c r="M24" s="2"/>
      <c r="N24" s="6">
        <f t="shared" si="3"/>
        <v>-2.6299783050448479E-2</v>
      </c>
      <c r="O24" s="11"/>
      <c r="P24" s="7">
        <v>13975.86</v>
      </c>
      <c r="Q24" s="2"/>
      <c r="R24" s="6">
        <f t="shared" si="4"/>
        <v>0</v>
      </c>
      <c r="S24" s="2"/>
      <c r="T24" s="7">
        <v>12145.680769230799</v>
      </c>
      <c r="U24" s="2"/>
      <c r="V24" s="6">
        <f t="shared" si="5"/>
        <v>0</v>
      </c>
      <c r="W24" s="2"/>
      <c r="X24" s="7">
        <f t="shared" si="6"/>
        <v>1830.1792307692012</v>
      </c>
      <c r="Y24" s="2"/>
      <c r="Z24" s="6">
        <f t="shared" si="7"/>
        <v>0.15068560301746747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7">
        <v>3077.73</v>
      </c>
      <c r="E26" s="2"/>
      <c r="F26" s="6">
        <f t="shared" si="0"/>
        <v>0</v>
      </c>
      <c r="G26" s="2"/>
      <c r="H26" s="7">
        <v>1138.9423076923099</v>
      </c>
      <c r="I26" s="2"/>
      <c r="J26" s="6">
        <f t="shared" si="1"/>
        <v>0</v>
      </c>
      <c r="K26" s="2"/>
      <c r="L26" s="7">
        <f t="shared" si="2"/>
        <v>1938.7876923076901</v>
      </c>
      <c r="M26" s="2"/>
      <c r="N26" s="6">
        <f t="shared" si="3"/>
        <v>1.7022703250316538</v>
      </c>
      <c r="O26" s="11"/>
      <c r="P26" s="7">
        <v>11235.95</v>
      </c>
      <c r="Q26" s="2"/>
      <c r="R26" s="6">
        <f t="shared" si="4"/>
        <v>0</v>
      </c>
      <c r="S26" s="2"/>
      <c r="T26" s="7">
        <v>7061.4423076923104</v>
      </c>
      <c r="U26" s="2"/>
      <c r="V26" s="6">
        <f t="shared" si="5"/>
        <v>0</v>
      </c>
      <c r="W26" s="2"/>
      <c r="X26" s="7">
        <f t="shared" si="6"/>
        <v>4174.5076923076904</v>
      </c>
      <c r="Y26" s="2"/>
      <c r="Z26" s="6">
        <f t="shared" si="7"/>
        <v>0.59116926973406447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7">
        <v>1773.2</v>
      </c>
      <c r="E27" s="2"/>
      <c r="F27" s="6">
        <f t="shared" si="0"/>
        <v>0</v>
      </c>
      <c r="G27" s="2"/>
      <c r="H27" s="7">
        <v>1342.88230769231</v>
      </c>
      <c r="I27" s="2"/>
      <c r="J27" s="6">
        <f t="shared" si="1"/>
        <v>0</v>
      </c>
      <c r="K27" s="2"/>
      <c r="L27" s="7">
        <f t="shared" si="2"/>
        <v>430.31769230769009</v>
      </c>
      <c r="M27" s="2"/>
      <c r="N27" s="6">
        <f t="shared" si="3"/>
        <v>0.32044334030074012</v>
      </c>
      <c r="O27" s="11"/>
      <c r="P27" s="7">
        <v>7327.15</v>
      </c>
      <c r="Q27" s="2"/>
      <c r="R27" s="6">
        <f t="shared" si="4"/>
        <v>0</v>
      </c>
      <c r="S27" s="2"/>
      <c r="T27" s="7">
        <v>8325.8703076923302</v>
      </c>
      <c r="U27" s="2"/>
      <c r="V27" s="6">
        <f t="shared" si="5"/>
        <v>0</v>
      </c>
      <c r="W27" s="2"/>
      <c r="X27" s="7">
        <f t="shared" si="6"/>
        <v>-998.72030769233061</v>
      </c>
      <c r="Y27" s="2"/>
      <c r="Z27" s="6">
        <f t="shared" si="7"/>
        <v>-0.11995386317387215</v>
      </c>
    </row>
    <row r="28" spans="1:26" s="24" customFormat="1" hidden="1" outlineLevel="2" x14ac:dyDescent="0.3">
      <c r="A28" s="27"/>
      <c r="B28" s="11" t="str">
        <f>CONCATENATE("          ", "6156", " - ", "EMPLOYEE MEALS")</f>
        <v xml:space="preserve">          6156 - EMPLOYEE MEALS</v>
      </c>
      <c r="C28" s="11"/>
      <c r="D28" s="7">
        <v>172.16</v>
      </c>
      <c r="E28" s="2"/>
      <c r="F28" s="6">
        <f t="shared" si="0"/>
        <v>0</v>
      </c>
      <c r="G28" s="2"/>
      <c r="H28" s="7">
        <v>300</v>
      </c>
      <c r="I28" s="2"/>
      <c r="J28" s="6">
        <f t="shared" si="1"/>
        <v>0</v>
      </c>
      <c r="K28" s="2"/>
      <c r="L28" s="7">
        <f t="shared" si="2"/>
        <v>-127.84</v>
      </c>
      <c r="M28" s="2"/>
      <c r="N28" s="6">
        <f t="shared" si="3"/>
        <v>-0.42613333333333336</v>
      </c>
      <c r="O28" s="11"/>
      <c r="P28" s="7">
        <v>1462.54</v>
      </c>
      <c r="Q28" s="2"/>
      <c r="R28" s="6">
        <f t="shared" si="4"/>
        <v>0</v>
      </c>
      <c r="S28" s="2"/>
      <c r="T28" s="7">
        <v>2100</v>
      </c>
      <c r="U28" s="2"/>
      <c r="V28" s="6">
        <f t="shared" si="5"/>
        <v>0</v>
      </c>
      <c r="W28" s="2"/>
      <c r="X28" s="7">
        <f t="shared" si="6"/>
        <v>-637.46</v>
      </c>
      <c r="Y28" s="2"/>
      <c r="Z28" s="6">
        <f t="shared" si="7"/>
        <v>-0.30355238095238096</v>
      </c>
    </row>
    <row r="29" spans="1:26" s="28" customFormat="1" outlineLevel="1" collapsed="1" x14ac:dyDescent="0.3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21976.01</v>
      </c>
      <c r="E29" s="1"/>
      <c r="F29" s="5">
        <f t="shared" ref="F29:F39" si="8">IF(D$12=0,0,D29/D$12)</f>
        <v>0</v>
      </c>
      <c r="G29" s="1"/>
      <c r="H29" s="1">
        <f>SUM(OSRRefH22_1x_0)</f>
        <v>27298.961538461499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-5322.9515384615006</v>
      </c>
      <c r="M29" s="1"/>
      <c r="N29" s="5">
        <f t="shared" ref="N29:N39" si="11">IF(H29=0,0,L29/H29)</f>
        <v>-0.19498732693410317</v>
      </c>
      <c r="O29" s="14"/>
      <c r="P29" s="1">
        <f>SUM(OSRRefP22_1x_0)</f>
        <v>133004</v>
      </c>
      <c r="Q29" s="1"/>
      <c r="R29" s="5">
        <f t="shared" ref="R29:R39" si="12">IF(P$12=0,0,P29/P$12)</f>
        <v>0</v>
      </c>
      <c r="S29" s="1"/>
      <c r="T29" s="1">
        <f>SUM(OSRRefT22_1x_0)</f>
        <v>169253.56153846098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-36249.561538460985</v>
      </c>
      <c r="Y29" s="1"/>
      <c r="Z29" s="5">
        <f t="shared" ref="Z29:Z39" si="15">IF(T29=0,0,X29/T29)</f>
        <v>-0.21417310932168288</v>
      </c>
    </row>
    <row r="30" spans="1:26" s="24" customFormat="1" hidden="1" outlineLevel="2" x14ac:dyDescent="0.3">
      <c r="A30" s="27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3">
      <c r="A31" s="27"/>
      <c r="B31" s="11" t="str">
        <f>CONCATENATE("          ", "6002", " - ", "STAFF SALARIES")</f>
        <v xml:space="preserve">          6002 - STAFF SALARIES</v>
      </c>
      <c r="C31" s="11"/>
      <c r="D31" s="7">
        <v>20978.01</v>
      </c>
      <c r="E31" s="2"/>
      <c r="F31" s="6">
        <f t="shared" si="8"/>
        <v>0</v>
      </c>
      <c r="G31" s="2"/>
      <c r="H31" s="7">
        <v>20500.961538461499</v>
      </c>
      <c r="I31" s="2"/>
      <c r="J31" s="6">
        <f t="shared" si="9"/>
        <v>0</v>
      </c>
      <c r="K31" s="2"/>
      <c r="L31" s="7">
        <f t="shared" si="10"/>
        <v>477.0484615384994</v>
      </c>
      <c r="M31" s="2"/>
      <c r="N31" s="6">
        <f t="shared" si="11"/>
        <v>2.3269565217393196E-2</v>
      </c>
      <c r="O31" s="11"/>
      <c r="P31" s="7">
        <v>132006</v>
      </c>
      <c r="Q31" s="2"/>
      <c r="R31" s="6">
        <f t="shared" si="12"/>
        <v>0</v>
      </c>
      <c r="S31" s="2"/>
      <c r="T31" s="7">
        <v>127105.96153846099</v>
      </c>
      <c r="U31" s="2"/>
      <c r="V31" s="6">
        <f t="shared" si="13"/>
        <v>0</v>
      </c>
      <c r="W31" s="2"/>
      <c r="X31" s="7">
        <f t="shared" si="14"/>
        <v>4900.0384615390067</v>
      </c>
      <c r="Y31" s="2"/>
      <c r="Z31" s="6">
        <f t="shared" si="15"/>
        <v>3.8550815415973265E-2</v>
      </c>
    </row>
    <row r="32" spans="1:26" s="24" customFormat="1" hidden="1" outlineLevel="2" x14ac:dyDescent="0.3">
      <c r="A32" s="27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3">
      <c r="A33" s="27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6798</v>
      </c>
      <c r="I33" s="2"/>
      <c r="J33" s="6">
        <f t="shared" si="9"/>
        <v>0</v>
      </c>
      <c r="K33" s="2"/>
      <c r="L33" s="7">
        <f t="shared" si="10"/>
        <v>-6798</v>
      </c>
      <c r="M33" s="2"/>
      <c r="N33" s="6">
        <f t="shared" si="11"/>
        <v>-1</v>
      </c>
      <c r="O33" s="11"/>
      <c r="P33" s="7"/>
      <c r="Q33" s="2"/>
      <c r="R33" s="6">
        <f t="shared" si="12"/>
        <v>0</v>
      </c>
      <c r="S33" s="2"/>
      <c r="T33" s="7">
        <v>42147.6</v>
      </c>
      <c r="U33" s="2"/>
      <c r="V33" s="6">
        <f t="shared" si="13"/>
        <v>0</v>
      </c>
      <c r="W33" s="2"/>
      <c r="X33" s="7">
        <f t="shared" si="14"/>
        <v>-42147.6</v>
      </c>
      <c r="Y33" s="2"/>
      <c r="Z33" s="6">
        <f t="shared" si="15"/>
        <v>-1</v>
      </c>
    </row>
    <row r="34" spans="1:26" s="24" customFormat="1" hidden="1" outlineLevel="2" x14ac:dyDescent="0.3">
      <c r="A34" s="27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3">
      <c r="A35" s="27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3">
      <c r="A36" s="27"/>
      <c r="B36" s="11" t="str">
        <f>CONCATENATE("          ", "6007", " - ", "STUDENT HOURLY")</f>
        <v xml:space="preserve">          6007 - STUDENT HOURLY</v>
      </c>
      <c r="C36" s="11"/>
      <c r="D36" s="7">
        <v>998</v>
      </c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998</v>
      </c>
      <c r="M36" s="2"/>
      <c r="N36" s="6">
        <f t="shared" si="11"/>
        <v>0</v>
      </c>
      <c r="O36" s="11"/>
      <c r="P36" s="7">
        <v>998</v>
      </c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998</v>
      </c>
      <c r="Y36" s="2"/>
      <c r="Z36" s="6">
        <f t="shared" si="15"/>
        <v>0</v>
      </c>
    </row>
    <row r="37" spans="1:26" s="24" customFormat="1" hidden="1" outlineLevel="2" x14ac:dyDescent="0.3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3">
      <c r="A38" s="27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3">
      <c r="A39" s="27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3">
      <c r="A40" s="29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44" si="16">IF(D$12=0,0,D40/D$12)</f>
        <v>0</v>
      </c>
      <c r="G40" s="1"/>
      <c r="H40" s="1">
        <f>SUM(OSRRefH22_2x_0)</f>
        <v>0</v>
      </c>
      <c r="I40" s="1"/>
      <c r="J40" s="5">
        <f t="shared" ref="J40:J44" si="17">IF(H$12=0,0,H40/H$12)</f>
        <v>0</v>
      </c>
      <c r="K40" s="1"/>
      <c r="L40" s="1">
        <f t="shared" ref="L40:L44" si="18">+D40-H40</f>
        <v>0</v>
      </c>
      <c r="M40" s="1"/>
      <c r="N40" s="5">
        <f t="shared" ref="N40:N44" si="19">IF(H40=0,0,L40/H40)</f>
        <v>0</v>
      </c>
      <c r="O40" s="14"/>
      <c r="P40" s="1">
        <f>SUM(OSRRefP22_2x_0)</f>
        <v>0</v>
      </c>
      <c r="Q40" s="1"/>
      <c r="R40" s="5">
        <f t="shared" ref="R40:R44" si="20">IF(P$12=0,0,P40/P$12)</f>
        <v>0</v>
      </c>
      <c r="S40" s="1"/>
      <c r="T40" s="1">
        <f>SUM(OSRRefT22_2x_0)</f>
        <v>0</v>
      </c>
      <c r="U40" s="1"/>
      <c r="V40" s="5">
        <f t="shared" ref="V40:V44" si="21">IF(T$12=0,0,T40/T$12)</f>
        <v>0</v>
      </c>
      <c r="W40" s="1"/>
      <c r="X40" s="1">
        <f t="shared" ref="X40:X44" si="22">+P40-T40</f>
        <v>0</v>
      </c>
      <c r="Y40" s="1"/>
      <c r="Z40" s="5">
        <f t="shared" ref="Z40:Z44" si="23">IF(T40=0,0,X40/T40)</f>
        <v>0</v>
      </c>
    </row>
    <row r="41" spans="1:26" s="24" customFormat="1" hidden="1" outlineLevel="2" x14ac:dyDescent="0.3">
      <c r="A41" s="27"/>
      <c r="B41" s="11" t="str">
        <f>CONCATENATE("          ", "6362", " - ", "ADVERTISING EXPENSE")</f>
        <v xml:space="preserve">          6362 - ADVERTISING EXPENSE</v>
      </c>
      <c r="C41" s="11"/>
      <c r="D41" s="7"/>
      <c r="E41" s="2"/>
      <c r="F41" s="6">
        <f t="shared" si="16"/>
        <v>0</v>
      </c>
      <c r="G41" s="2"/>
      <c r="H41" s="7"/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/>
      <c r="Q41" s="2"/>
      <c r="R41" s="6">
        <f t="shared" si="20"/>
        <v>0</v>
      </c>
      <c r="S41" s="2"/>
      <c r="T41" s="7">
        <v>0</v>
      </c>
      <c r="U41" s="2"/>
      <c r="V41" s="6">
        <f t="shared" si="21"/>
        <v>0</v>
      </c>
      <c r="W41" s="2"/>
      <c r="X41" s="7">
        <f t="shared" si="22"/>
        <v>0</v>
      </c>
      <c r="Y41" s="2"/>
      <c r="Z41" s="6">
        <f t="shared" si="23"/>
        <v>0</v>
      </c>
    </row>
    <row r="42" spans="1:26" s="28" customFormat="1" outlineLevel="1" collapsed="1" x14ac:dyDescent="0.3">
      <c r="A42" s="29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SUM(OSRRefD22_3x_0)</f>
        <v>2140.89</v>
      </c>
      <c r="E42" s="1"/>
      <c r="F42" s="5">
        <f t="shared" si="16"/>
        <v>0</v>
      </c>
      <c r="G42" s="1"/>
      <c r="H42" s="1">
        <f>SUM(OSRRefH22_3x_0)</f>
        <v>2099</v>
      </c>
      <c r="I42" s="1"/>
      <c r="J42" s="5">
        <f t="shared" si="17"/>
        <v>0</v>
      </c>
      <c r="K42" s="1"/>
      <c r="L42" s="1">
        <f t="shared" si="18"/>
        <v>41.889999999999873</v>
      </c>
      <c r="M42" s="1"/>
      <c r="N42" s="5">
        <f t="shared" si="19"/>
        <v>1.9957122439256729E-2</v>
      </c>
      <c r="O42" s="14"/>
      <c r="P42" s="1">
        <f>SUM(OSRRefP22_3x_0)</f>
        <v>23858.67</v>
      </c>
      <c r="Q42" s="1"/>
      <c r="R42" s="5">
        <f t="shared" si="20"/>
        <v>0</v>
      </c>
      <c r="S42" s="1"/>
      <c r="T42" s="1">
        <f>SUM(OSRRefT22_3x_0)</f>
        <v>23564</v>
      </c>
      <c r="U42" s="1"/>
      <c r="V42" s="5">
        <f t="shared" si="21"/>
        <v>0</v>
      </c>
      <c r="W42" s="1"/>
      <c r="X42" s="1">
        <f t="shared" si="22"/>
        <v>294.66999999999825</v>
      </c>
      <c r="Y42" s="1"/>
      <c r="Z42" s="5">
        <f t="shared" si="23"/>
        <v>1.250509251400434E-2</v>
      </c>
    </row>
    <row r="43" spans="1:26" s="24" customFormat="1" hidden="1" outlineLevel="2" x14ac:dyDescent="0.3">
      <c r="A43" s="27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2140.89</v>
      </c>
      <c r="E43" s="2"/>
      <c r="F43" s="6">
        <f t="shared" si="16"/>
        <v>0</v>
      </c>
      <c r="G43" s="2"/>
      <c r="H43" s="7">
        <v>1599</v>
      </c>
      <c r="I43" s="2"/>
      <c r="J43" s="6">
        <f t="shared" si="17"/>
        <v>0</v>
      </c>
      <c r="K43" s="2"/>
      <c r="L43" s="7">
        <f t="shared" si="18"/>
        <v>541.88999999999987</v>
      </c>
      <c r="M43" s="2"/>
      <c r="N43" s="6">
        <f t="shared" si="19"/>
        <v>0.33889305816135079</v>
      </c>
      <c r="O43" s="11"/>
      <c r="P43" s="7">
        <v>23858.67</v>
      </c>
      <c r="Q43" s="2"/>
      <c r="R43" s="6">
        <f t="shared" si="20"/>
        <v>0</v>
      </c>
      <c r="S43" s="2"/>
      <c r="T43" s="7">
        <v>20064</v>
      </c>
      <c r="U43" s="2"/>
      <c r="V43" s="6">
        <f t="shared" si="21"/>
        <v>0</v>
      </c>
      <c r="W43" s="2"/>
      <c r="X43" s="7">
        <f t="shared" si="22"/>
        <v>3794.6699999999983</v>
      </c>
      <c r="Y43" s="2"/>
      <c r="Z43" s="6">
        <f t="shared" si="23"/>
        <v>0.18912828947368412</v>
      </c>
    </row>
    <row r="44" spans="1:26" s="24" customFormat="1" hidden="1" outlineLevel="2" x14ac:dyDescent="0.3">
      <c r="A44" s="27"/>
      <c r="B44" s="11" t="str">
        <f>CONCATENATE("          ", "6324", " - ", "FURNITURE + FIXT DEPRECIATION")</f>
        <v xml:space="preserve">          6324 - FURNITURE + FIXT DEPRECIATION</v>
      </c>
      <c r="C44" s="11"/>
      <c r="D44" s="7"/>
      <c r="E44" s="2"/>
      <c r="F44" s="6">
        <f t="shared" si="16"/>
        <v>0</v>
      </c>
      <c r="G44" s="2"/>
      <c r="H44" s="7">
        <v>500</v>
      </c>
      <c r="I44" s="2"/>
      <c r="J44" s="6">
        <f t="shared" si="17"/>
        <v>0</v>
      </c>
      <c r="K44" s="2"/>
      <c r="L44" s="7">
        <f t="shared" si="18"/>
        <v>-500</v>
      </c>
      <c r="M44" s="2"/>
      <c r="N44" s="6">
        <f t="shared" si="19"/>
        <v>-1</v>
      </c>
      <c r="O44" s="11"/>
      <c r="P44" s="7"/>
      <c r="Q44" s="2"/>
      <c r="R44" s="6">
        <f t="shared" si="20"/>
        <v>0</v>
      </c>
      <c r="S44" s="2"/>
      <c r="T44" s="7">
        <v>3500</v>
      </c>
      <c r="U44" s="2"/>
      <c r="V44" s="6">
        <f t="shared" si="21"/>
        <v>0</v>
      </c>
      <c r="W44" s="2"/>
      <c r="X44" s="7">
        <f t="shared" si="22"/>
        <v>-3500</v>
      </c>
      <c r="Y44" s="2"/>
      <c r="Z44" s="6">
        <f t="shared" si="23"/>
        <v>-1</v>
      </c>
    </row>
    <row r="45" spans="1:26" s="28" customFormat="1" outlineLevel="1" collapsed="1" x14ac:dyDescent="0.3">
      <c r="A45" s="29"/>
      <c r="B45" s="14" t="str">
        <f>CONCATENATE("     ","Insurance                                         ")</f>
        <v xml:space="preserve">     Insurance                                         </v>
      </c>
      <c r="C45" s="14"/>
      <c r="D45" s="1">
        <f>SUM(OSRRefD22_4x_0)</f>
        <v>76.569999999999993</v>
      </c>
      <c r="E45" s="1"/>
      <c r="F45" s="5">
        <f t="shared" ref="F45:F51" si="24">IF(D$12=0,0,D45/D$12)</f>
        <v>0</v>
      </c>
      <c r="G45" s="1"/>
      <c r="H45" s="1">
        <f>SUM(OSRRefH22_4x_0)</f>
        <v>75</v>
      </c>
      <c r="I45" s="1"/>
      <c r="J45" s="5">
        <f t="shared" ref="J45:J51" si="25">IF(H$12=0,0,H45/H$12)</f>
        <v>0</v>
      </c>
      <c r="K45" s="1"/>
      <c r="L45" s="1">
        <f t="shared" ref="L45:L51" si="26">+D45-H45</f>
        <v>1.5699999999999932</v>
      </c>
      <c r="M45" s="1"/>
      <c r="N45" s="5">
        <f t="shared" ref="N45:N51" si="27">IF(H45=0,0,L45/H45)</f>
        <v>2.0933333333333241E-2</v>
      </c>
      <c r="O45" s="14"/>
      <c r="P45" s="1">
        <f>SUM(OSRRefP22_4x_0)</f>
        <v>535.99</v>
      </c>
      <c r="Q45" s="1"/>
      <c r="R45" s="5">
        <f t="shared" ref="R45:R51" si="28">IF(P$12=0,0,P45/P$12)</f>
        <v>0</v>
      </c>
      <c r="S45" s="1"/>
      <c r="T45" s="1">
        <f>SUM(OSRRefT22_4x_0)</f>
        <v>525</v>
      </c>
      <c r="U45" s="1"/>
      <c r="V45" s="5">
        <f t="shared" ref="V45:V51" si="29">IF(T$12=0,0,T45/T$12)</f>
        <v>0</v>
      </c>
      <c r="W45" s="1"/>
      <c r="X45" s="1">
        <f t="shared" ref="X45:X51" si="30">+P45-T45</f>
        <v>10.990000000000009</v>
      </c>
      <c r="Y45" s="1"/>
      <c r="Z45" s="5">
        <f t="shared" ref="Z45:Z51" si="31">IF(T45=0,0,X45/T45)</f>
        <v>2.0933333333333352E-2</v>
      </c>
    </row>
    <row r="46" spans="1:26" s="24" customFormat="1" hidden="1" outlineLevel="2" x14ac:dyDescent="0.3">
      <c r="A46" s="27"/>
      <c r="B46" s="11" t="str">
        <f>CONCATENATE("          ", "6314", " - ", "LIABILITY INSURANCE")</f>
        <v xml:space="preserve">          6314 - LIABILITY INSURANCE</v>
      </c>
      <c r="C46" s="11"/>
      <c r="D46" s="7">
        <v>76.569999999999993</v>
      </c>
      <c r="E46" s="2"/>
      <c r="F46" s="6">
        <f t="shared" si="24"/>
        <v>0</v>
      </c>
      <c r="G46" s="2"/>
      <c r="H46" s="7">
        <v>75</v>
      </c>
      <c r="I46" s="2"/>
      <c r="J46" s="6">
        <f t="shared" si="25"/>
        <v>0</v>
      </c>
      <c r="K46" s="2"/>
      <c r="L46" s="7">
        <f t="shared" si="26"/>
        <v>1.5699999999999932</v>
      </c>
      <c r="M46" s="2"/>
      <c r="N46" s="6">
        <f t="shared" si="27"/>
        <v>2.0933333333333241E-2</v>
      </c>
      <c r="O46" s="11"/>
      <c r="P46" s="7">
        <v>535.99</v>
      </c>
      <c r="Q46" s="2"/>
      <c r="R46" s="6">
        <f t="shared" si="28"/>
        <v>0</v>
      </c>
      <c r="S46" s="2"/>
      <c r="T46" s="7">
        <v>525</v>
      </c>
      <c r="U46" s="2"/>
      <c r="V46" s="6">
        <f t="shared" si="29"/>
        <v>0</v>
      </c>
      <c r="W46" s="2"/>
      <c r="X46" s="7">
        <f t="shared" si="30"/>
        <v>10.990000000000009</v>
      </c>
      <c r="Y46" s="2"/>
      <c r="Z46" s="6">
        <f t="shared" si="31"/>
        <v>2.0933333333333352E-2</v>
      </c>
    </row>
    <row r="47" spans="1:26" s="28" customFormat="1" outlineLevel="1" collapsed="1" x14ac:dyDescent="0.3">
      <c r="A47" s="29"/>
      <c r="B47" s="14" t="str">
        <f>CONCATENATE("     ","Repair and Maintenance                            ")</f>
        <v xml:space="preserve">     Repair and Maintenance                            </v>
      </c>
      <c r="C47" s="14"/>
      <c r="D47" s="1">
        <f>SUM(OSRRefD22_5x_0)</f>
        <v>9534.9500000000007</v>
      </c>
      <c r="E47" s="1"/>
      <c r="F47" s="5">
        <f t="shared" si="24"/>
        <v>0</v>
      </c>
      <c r="G47" s="1"/>
      <c r="H47" s="1">
        <f>SUM(OSRRefH22_5x_0)</f>
        <v>10467</v>
      </c>
      <c r="I47" s="1"/>
      <c r="J47" s="5">
        <f t="shared" si="25"/>
        <v>0</v>
      </c>
      <c r="K47" s="1"/>
      <c r="L47" s="1">
        <f t="shared" si="26"/>
        <v>-932.04999999999927</v>
      </c>
      <c r="M47" s="1"/>
      <c r="N47" s="5">
        <f t="shared" si="27"/>
        <v>-8.9046527180662971E-2</v>
      </c>
      <c r="O47" s="14"/>
      <c r="P47" s="1">
        <f>SUM(OSRRefP22_5x_0)</f>
        <v>70592.180000000008</v>
      </c>
      <c r="Q47" s="1"/>
      <c r="R47" s="5">
        <f t="shared" si="28"/>
        <v>0</v>
      </c>
      <c r="S47" s="1"/>
      <c r="T47" s="1">
        <f>SUM(OSRRefT22_5x_0)</f>
        <v>76269</v>
      </c>
      <c r="U47" s="1"/>
      <c r="V47" s="5">
        <f t="shared" si="29"/>
        <v>0</v>
      </c>
      <c r="W47" s="1"/>
      <c r="X47" s="1">
        <f t="shared" si="30"/>
        <v>-5676.8199999999924</v>
      </c>
      <c r="Y47" s="1"/>
      <c r="Z47" s="5">
        <f t="shared" si="31"/>
        <v>-7.44315514822535E-2</v>
      </c>
    </row>
    <row r="48" spans="1:26" s="24" customFormat="1" hidden="1" outlineLevel="2" x14ac:dyDescent="0.3">
      <c r="A48" s="27"/>
      <c r="B48" s="11" t="str">
        <f>CONCATENATE("          ", "6371", " - ", "COMPUTER SOFTWARE MAINTENANCE")</f>
        <v xml:space="preserve">          6371 - COMPUTER SOFTWARE MAINTENANCE</v>
      </c>
      <c r="C48" s="11"/>
      <c r="D48" s="7">
        <v>68.95</v>
      </c>
      <c r="E48" s="2"/>
      <c r="F48" s="6">
        <f t="shared" si="24"/>
        <v>0</v>
      </c>
      <c r="G48" s="2"/>
      <c r="H48" s="7">
        <v>1000</v>
      </c>
      <c r="I48" s="2"/>
      <c r="J48" s="6">
        <f t="shared" si="25"/>
        <v>0</v>
      </c>
      <c r="K48" s="2"/>
      <c r="L48" s="7">
        <f t="shared" si="26"/>
        <v>-931.05</v>
      </c>
      <c r="M48" s="2"/>
      <c r="N48" s="6">
        <f t="shared" si="27"/>
        <v>-0.93104999999999993</v>
      </c>
      <c r="O48" s="11"/>
      <c r="P48" s="7">
        <v>1892.95</v>
      </c>
      <c r="Q48" s="2"/>
      <c r="R48" s="6">
        <f t="shared" si="28"/>
        <v>0</v>
      </c>
      <c r="S48" s="2"/>
      <c r="T48" s="7">
        <v>7000</v>
      </c>
      <c r="U48" s="2"/>
      <c r="V48" s="6">
        <f t="shared" si="29"/>
        <v>0</v>
      </c>
      <c r="W48" s="2"/>
      <c r="X48" s="7">
        <f t="shared" si="30"/>
        <v>-5107.05</v>
      </c>
      <c r="Y48" s="2"/>
      <c r="Z48" s="6">
        <f t="shared" si="31"/>
        <v>-0.72957857142857141</v>
      </c>
    </row>
    <row r="49" spans="1:26" s="24" customFormat="1" hidden="1" outlineLevel="2" x14ac:dyDescent="0.3">
      <c r="A49" s="27"/>
      <c r="B49" s="11" t="str">
        <f>CONCATENATE("          ", "6372", " - ", "COMPUTER HARDWARE MAINTENANCE")</f>
        <v xml:space="preserve">          6372 - COMPUTER HARDWARE MAINTENANCE</v>
      </c>
      <c r="C49" s="11"/>
      <c r="D49" s="7"/>
      <c r="E49" s="2"/>
      <c r="F49" s="6">
        <f t="shared" si="24"/>
        <v>0</v>
      </c>
      <c r="G49" s="2"/>
      <c r="H49" s="7">
        <v>0</v>
      </c>
      <c r="I49" s="2"/>
      <c r="J49" s="6">
        <f t="shared" si="25"/>
        <v>0</v>
      </c>
      <c r="K49" s="2"/>
      <c r="L49" s="7">
        <f t="shared" si="26"/>
        <v>0</v>
      </c>
      <c r="M49" s="2"/>
      <c r="N49" s="6">
        <f t="shared" si="27"/>
        <v>0</v>
      </c>
      <c r="O49" s="11"/>
      <c r="P49" s="7">
        <v>4760.47</v>
      </c>
      <c r="Q49" s="2"/>
      <c r="R49" s="6">
        <f t="shared" si="28"/>
        <v>0</v>
      </c>
      <c r="S49" s="2"/>
      <c r="T49" s="7">
        <v>3000</v>
      </c>
      <c r="U49" s="2"/>
      <c r="V49" s="6">
        <f t="shared" si="29"/>
        <v>0</v>
      </c>
      <c r="W49" s="2"/>
      <c r="X49" s="7">
        <f t="shared" si="30"/>
        <v>1760.4700000000003</v>
      </c>
      <c r="Y49" s="2"/>
      <c r="Z49" s="6">
        <f t="shared" si="31"/>
        <v>0.58682333333333336</v>
      </c>
    </row>
    <row r="50" spans="1:26" s="24" customFormat="1" hidden="1" outlineLevel="2" x14ac:dyDescent="0.3">
      <c r="A50" s="27"/>
      <c r="B50" s="11" t="str">
        <f>CONCATENATE("          ", "6373", " - ", "MAINTENANCE CONTRACTS")</f>
        <v xml:space="preserve">          6373 - MAINTENANCE CONTRACTS</v>
      </c>
      <c r="C50" s="11"/>
      <c r="D50" s="7">
        <v>9466</v>
      </c>
      <c r="E50" s="2"/>
      <c r="F50" s="6">
        <f t="shared" si="24"/>
        <v>0</v>
      </c>
      <c r="G50" s="2"/>
      <c r="H50" s="7">
        <v>9467</v>
      </c>
      <c r="I50" s="2"/>
      <c r="J50" s="6">
        <f t="shared" si="25"/>
        <v>0</v>
      </c>
      <c r="K50" s="2"/>
      <c r="L50" s="7">
        <f t="shared" si="26"/>
        <v>-1</v>
      </c>
      <c r="M50" s="2"/>
      <c r="N50" s="6">
        <f t="shared" si="27"/>
        <v>-1.0563008344776593E-4</v>
      </c>
      <c r="O50" s="11"/>
      <c r="P50" s="7">
        <v>63891.24</v>
      </c>
      <c r="Q50" s="2"/>
      <c r="R50" s="6">
        <f t="shared" si="28"/>
        <v>0</v>
      </c>
      <c r="S50" s="2"/>
      <c r="T50" s="7">
        <v>66269</v>
      </c>
      <c r="U50" s="2"/>
      <c r="V50" s="6">
        <f t="shared" si="29"/>
        <v>0</v>
      </c>
      <c r="W50" s="2"/>
      <c r="X50" s="7">
        <f t="shared" si="30"/>
        <v>-2377.760000000002</v>
      </c>
      <c r="Y50" s="2"/>
      <c r="Z50" s="6">
        <f t="shared" si="31"/>
        <v>-3.588042674553716E-2</v>
      </c>
    </row>
    <row r="51" spans="1:26" s="24" customFormat="1" hidden="1" outlineLevel="2" x14ac:dyDescent="0.3">
      <c r="A51" s="27"/>
      <c r="B51" s="11" t="str">
        <f>CONCATENATE("          ", "6375", " - ", "OUTSIDE REPAIRS &amp; MAINTENANCE")</f>
        <v xml:space="preserve">          6375 - OUTSIDE REPAIRS &amp; MAINTENANCE</v>
      </c>
      <c r="C51" s="11"/>
      <c r="D51" s="7"/>
      <c r="E51" s="2"/>
      <c r="F51" s="6">
        <f t="shared" si="24"/>
        <v>0</v>
      </c>
      <c r="G51" s="2"/>
      <c r="H51" s="7"/>
      <c r="I51" s="2"/>
      <c r="J51" s="6">
        <f t="shared" si="25"/>
        <v>0</v>
      </c>
      <c r="K51" s="2"/>
      <c r="L51" s="7">
        <f t="shared" si="26"/>
        <v>0</v>
      </c>
      <c r="M51" s="2"/>
      <c r="N51" s="6">
        <f t="shared" si="27"/>
        <v>0</v>
      </c>
      <c r="O51" s="11"/>
      <c r="P51" s="7">
        <v>47.52</v>
      </c>
      <c r="Q51" s="2"/>
      <c r="R51" s="6">
        <f t="shared" si="28"/>
        <v>0</v>
      </c>
      <c r="S51" s="2"/>
      <c r="T51" s="7"/>
      <c r="U51" s="2"/>
      <c r="V51" s="6">
        <f t="shared" si="29"/>
        <v>0</v>
      </c>
      <c r="W51" s="2"/>
      <c r="X51" s="7">
        <f t="shared" si="30"/>
        <v>47.52</v>
      </c>
      <c r="Y51" s="2"/>
      <c r="Z51" s="6">
        <f t="shared" si="31"/>
        <v>0</v>
      </c>
    </row>
    <row r="52" spans="1:26" s="28" customFormat="1" outlineLevel="1" collapsed="1" x14ac:dyDescent="0.3">
      <c r="A52" s="29"/>
      <c r="B52" s="14" t="str">
        <f>CONCATENATE("     ","Subscriptions &amp; Dues                              ")</f>
        <v xml:space="preserve">     Subscriptions &amp; Dues                              </v>
      </c>
      <c r="C52" s="14"/>
      <c r="D52" s="1">
        <f>SUM(OSRRefD22_6x_0)</f>
        <v>0</v>
      </c>
      <c r="E52" s="1"/>
      <c r="F52" s="5">
        <f t="shared" ref="F52:F54" si="32">IF(D$12=0,0,D52/D$12)</f>
        <v>0</v>
      </c>
      <c r="G52" s="1"/>
      <c r="H52" s="1">
        <f>SUM(OSRRefH22_6x_0)</f>
        <v>250</v>
      </c>
      <c r="I52" s="1"/>
      <c r="J52" s="5">
        <f t="shared" ref="J52:J54" si="33">IF(H$12=0,0,H52/H$12)</f>
        <v>0</v>
      </c>
      <c r="K52" s="1"/>
      <c r="L52" s="1">
        <f t="shared" ref="L52:L54" si="34">+D52-H52</f>
        <v>-250</v>
      </c>
      <c r="M52" s="1"/>
      <c r="N52" s="5">
        <f t="shared" ref="N52:N54" si="35">IF(H52=0,0,L52/H52)</f>
        <v>-1</v>
      </c>
      <c r="O52" s="14"/>
      <c r="P52" s="1">
        <f>SUM(OSRRefP22_6x_0)</f>
        <v>0</v>
      </c>
      <c r="Q52" s="1"/>
      <c r="R52" s="5">
        <f t="shared" ref="R52:R54" si="36">IF(P$12=0,0,P52/P$12)</f>
        <v>0</v>
      </c>
      <c r="S52" s="1"/>
      <c r="T52" s="1">
        <f>SUM(OSRRefT22_6x_0)</f>
        <v>850</v>
      </c>
      <c r="U52" s="1"/>
      <c r="V52" s="5">
        <f t="shared" ref="V52:V54" si="37">IF(T$12=0,0,T52/T$12)</f>
        <v>0</v>
      </c>
      <c r="W52" s="1"/>
      <c r="X52" s="1">
        <f t="shared" ref="X52:X54" si="38">+P52-T52</f>
        <v>-850</v>
      </c>
      <c r="Y52" s="1"/>
      <c r="Z52" s="5">
        <f t="shared" ref="Z52:Z54" si="39">IF(T52=0,0,X52/T52)</f>
        <v>-1</v>
      </c>
    </row>
    <row r="53" spans="1:26" s="24" customFormat="1" hidden="1" outlineLevel="2" x14ac:dyDescent="0.3">
      <c r="A53" s="27"/>
      <c r="B53" s="11" t="str">
        <f>CONCATENATE("          ", "6258", " - ", "MEMBERSHIP DUES")</f>
        <v xml:space="preserve">          6258 - MEMBERSHIP DUES</v>
      </c>
      <c r="C53" s="11"/>
      <c r="D53" s="7"/>
      <c r="E53" s="2"/>
      <c r="F53" s="6">
        <f t="shared" si="32"/>
        <v>0</v>
      </c>
      <c r="G53" s="2"/>
      <c r="H53" s="7">
        <v>250</v>
      </c>
      <c r="I53" s="2"/>
      <c r="J53" s="6">
        <f t="shared" si="33"/>
        <v>0</v>
      </c>
      <c r="K53" s="2"/>
      <c r="L53" s="7">
        <f t="shared" si="34"/>
        <v>-250</v>
      </c>
      <c r="M53" s="2"/>
      <c r="N53" s="6">
        <f t="shared" si="35"/>
        <v>-1</v>
      </c>
      <c r="O53" s="11"/>
      <c r="P53" s="7"/>
      <c r="Q53" s="2"/>
      <c r="R53" s="6">
        <f t="shared" si="36"/>
        <v>0</v>
      </c>
      <c r="S53" s="2"/>
      <c r="T53" s="7">
        <v>250</v>
      </c>
      <c r="U53" s="2"/>
      <c r="V53" s="6">
        <f t="shared" si="37"/>
        <v>0</v>
      </c>
      <c r="W53" s="2"/>
      <c r="X53" s="7">
        <f t="shared" si="38"/>
        <v>-250</v>
      </c>
      <c r="Y53" s="2"/>
      <c r="Z53" s="6">
        <f t="shared" si="39"/>
        <v>-1</v>
      </c>
    </row>
    <row r="54" spans="1:26" s="24" customFormat="1" hidden="1" outlineLevel="2" x14ac:dyDescent="0.3">
      <c r="A54" s="27"/>
      <c r="B54" s="11" t="str">
        <f>CONCATENATE("          ", "6275", " - ", "SUBSCRIPTIONS")</f>
        <v xml:space="preserve">          6275 - SUBSCRIPTIONS</v>
      </c>
      <c r="C54" s="11"/>
      <c r="D54" s="7"/>
      <c r="E54" s="2"/>
      <c r="F54" s="6">
        <f t="shared" si="32"/>
        <v>0</v>
      </c>
      <c r="G54" s="2"/>
      <c r="H54" s="7"/>
      <c r="I54" s="2"/>
      <c r="J54" s="6">
        <f t="shared" si="33"/>
        <v>0</v>
      </c>
      <c r="K54" s="2"/>
      <c r="L54" s="7">
        <f t="shared" si="34"/>
        <v>0</v>
      </c>
      <c r="M54" s="2"/>
      <c r="N54" s="6">
        <f t="shared" si="35"/>
        <v>0</v>
      </c>
      <c r="O54" s="11"/>
      <c r="P54" s="7"/>
      <c r="Q54" s="2"/>
      <c r="R54" s="6">
        <f t="shared" si="36"/>
        <v>0</v>
      </c>
      <c r="S54" s="2"/>
      <c r="T54" s="7">
        <v>600</v>
      </c>
      <c r="U54" s="2"/>
      <c r="V54" s="6">
        <f t="shared" si="37"/>
        <v>0</v>
      </c>
      <c r="W54" s="2"/>
      <c r="X54" s="7">
        <f t="shared" si="38"/>
        <v>-600</v>
      </c>
      <c r="Y54" s="2"/>
      <c r="Z54" s="6">
        <f t="shared" si="39"/>
        <v>-1</v>
      </c>
    </row>
    <row r="55" spans="1:26" s="28" customFormat="1" outlineLevel="1" collapsed="1" x14ac:dyDescent="0.3">
      <c r="A55" s="29"/>
      <c r="B55" s="14" t="str">
        <f>CONCATENATE("     ","Supplies                                          ")</f>
        <v xml:space="preserve">     Supplies                                          </v>
      </c>
      <c r="C55" s="14"/>
      <c r="D55" s="1">
        <f>SUM(OSRRefD22_7x_0)</f>
        <v>3053.69</v>
      </c>
      <c r="E55" s="1"/>
      <c r="F55" s="5">
        <f t="shared" ref="F55:F59" si="40">IF(D$12=0,0,D55/D$12)</f>
        <v>0</v>
      </c>
      <c r="G55" s="1"/>
      <c r="H55" s="1">
        <f>SUM(OSRRefH22_7x_0)</f>
        <v>100</v>
      </c>
      <c r="I55" s="1"/>
      <c r="J55" s="5">
        <f t="shared" ref="J55:J59" si="41">IF(H$12=0,0,H55/H$12)</f>
        <v>0</v>
      </c>
      <c r="K55" s="1"/>
      <c r="L55" s="1">
        <f t="shared" ref="L55:L59" si="42">+D55-H55</f>
        <v>2953.69</v>
      </c>
      <c r="M55" s="1"/>
      <c r="N55" s="5">
        <f t="shared" ref="N55:N59" si="43">IF(H55=0,0,L55/H55)</f>
        <v>29.536899999999999</v>
      </c>
      <c r="O55" s="14"/>
      <c r="P55" s="1">
        <f>SUM(OSRRefP22_7x_0)</f>
        <v>4409.26</v>
      </c>
      <c r="Q55" s="1"/>
      <c r="R55" s="5">
        <f t="shared" ref="R55:R59" si="44">IF(P$12=0,0,P55/P$12)</f>
        <v>0</v>
      </c>
      <c r="S55" s="1"/>
      <c r="T55" s="1">
        <f>SUM(OSRRefT22_7x_0)</f>
        <v>700</v>
      </c>
      <c r="U55" s="1"/>
      <c r="V55" s="5">
        <f t="shared" ref="V55:V59" si="45">IF(T$12=0,0,T55/T$12)</f>
        <v>0</v>
      </c>
      <c r="W55" s="1"/>
      <c r="X55" s="1">
        <f t="shared" ref="X55:X59" si="46">+P55-T55</f>
        <v>3709.26</v>
      </c>
      <c r="Y55" s="1"/>
      <c r="Z55" s="5">
        <f t="shared" ref="Z55:Z59" si="47">IF(T55=0,0,X55/T55)</f>
        <v>5.2989428571428574</v>
      </c>
    </row>
    <row r="56" spans="1:26" s="24" customFormat="1" hidden="1" outlineLevel="2" x14ac:dyDescent="0.3">
      <c r="A56" s="27"/>
      <c r="B56" s="11" t="str">
        <f>CONCATENATE("          ", "6241", " - ", "OFFICE EXPENSE")</f>
        <v xml:space="preserve">          6241 - OFFICE EXPENSE</v>
      </c>
      <c r="C56" s="11"/>
      <c r="D56" s="7">
        <v>3053.69</v>
      </c>
      <c r="E56" s="2"/>
      <c r="F56" s="6">
        <f t="shared" si="40"/>
        <v>0</v>
      </c>
      <c r="G56" s="2"/>
      <c r="H56" s="7">
        <v>100</v>
      </c>
      <c r="I56" s="2"/>
      <c r="J56" s="6">
        <f t="shared" si="41"/>
        <v>0</v>
      </c>
      <c r="K56" s="2"/>
      <c r="L56" s="7">
        <f t="shared" si="42"/>
        <v>2953.69</v>
      </c>
      <c r="M56" s="2"/>
      <c r="N56" s="6">
        <f t="shared" si="43"/>
        <v>29.536899999999999</v>
      </c>
      <c r="O56" s="11"/>
      <c r="P56" s="7">
        <v>4409.26</v>
      </c>
      <c r="Q56" s="2"/>
      <c r="R56" s="6">
        <f t="shared" si="44"/>
        <v>0</v>
      </c>
      <c r="S56" s="2"/>
      <c r="T56" s="7">
        <v>700</v>
      </c>
      <c r="U56" s="2"/>
      <c r="V56" s="6">
        <f t="shared" si="45"/>
        <v>0</v>
      </c>
      <c r="W56" s="2"/>
      <c r="X56" s="7">
        <f t="shared" si="46"/>
        <v>3709.26</v>
      </c>
      <c r="Y56" s="2"/>
      <c r="Z56" s="6">
        <f t="shared" si="47"/>
        <v>5.2989428571428574</v>
      </c>
    </row>
    <row r="57" spans="1:26" s="28" customFormat="1" outlineLevel="1" collapsed="1" x14ac:dyDescent="0.3">
      <c r="A57" s="29"/>
      <c r="B57" s="14" t="str">
        <f>CONCATENATE("     ","Telephone/Data Lines                              ")</f>
        <v xml:space="preserve">     Telephone/Data Lines                              </v>
      </c>
      <c r="C57" s="14"/>
      <c r="D57" s="1">
        <f>SUM(OSRRefD22_8x_0)</f>
        <v>835.38</v>
      </c>
      <c r="E57" s="1"/>
      <c r="F57" s="5">
        <f t="shared" si="40"/>
        <v>0</v>
      </c>
      <c r="G57" s="1"/>
      <c r="H57" s="1">
        <f>SUM(OSRRefH22_8x_0)</f>
        <v>500</v>
      </c>
      <c r="I57" s="1"/>
      <c r="J57" s="5">
        <f t="shared" si="41"/>
        <v>0</v>
      </c>
      <c r="K57" s="1"/>
      <c r="L57" s="1">
        <f t="shared" si="42"/>
        <v>335.38</v>
      </c>
      <c r="M57" s="1"/>
      <c r="N57" s="5">
        <f t="shared" si="43"/>
        <v>0.67076000000000002</v>
      </c>
      <c r="O57" s="14"/>
      <c r="P57" s="1">
        <f>SUM(OSRRefP22_8x_0)</f>
        <v>5745.72</v>
      </c>
      <c r="Q57" s="1"/>
      <c r="R57" s="5">
        <f t="shared" si="44"/>
        <v>0</v>
      </c>
      <c r="S57" s="1"/>
      <c r="T57" s="1">
        <f>SUM(OSRRefT22_8x_0)</f>
        <v>3500</v>
      </c>
      <c r="U57" s="1"/>
      <c r="V57" s="5">
        <f t="shared" si="45"/>
        <v>0</v>
      </c>
      <c r="W57" s="1"/>
      <c r="X57" s="1">
        <f t="shared" si="46"/>
        <v>2245.7200000000003</v>
      </c>
      <c r="Y57" s="1"/>
      <c r="Z57" s="5">
        <f t="shared" si="47"/>
        <v>0.64163428571428582</v>
      </c>
    </row>
    <row r="58" spans="1:26" s="24" customFormat="1" hidden="1" outlineLevel="2" x14ac:dyDescent="0.3">
      <c r="A58" s="27"/>
      <c r="B58" s="11" t="str">
        <f>CONCATENATE("          ", "6303", " - ", "DATA PHONE LINES")</f>
        <v xml:space="preserve">          6303 - DATA PHONE LINES</v>
      </c>
      <c r="C58" s="11"/>
      <c r="D58" s="7">
        <v>171.98</v>
      </c>
      <c r="E58" s="2"/>
      <c r="F58" s="6">
        <f t="shared" si="40"/>
        <v>0</v>
      </c>
      <c r="G58" s="2"/>
      <c r="H58" s="7">
        <v>200</v>
      </c>
      <c r="I58" s="2"/>
      <c r="J58" s="6">
        <f t="shared" si="41"/>
        <v>0</v>
      </c>
      <c r="K58" s="2"/>
      <c r="L58" s="7">
        <f t="shared" si="42"/>
        <v>-28.02000000000001</v>
      </c>
      <c r="M58" s="2"/>
      <c r="N58" s="6">
        <f t="shared" si="43"/>
        <v>-0.14010000000000006</v>
      </c>
      <c r="O58" s="11"/>
      <c r="P58" s="7">
        <v>1081.8699999999999</v>
      </c>
      <c r="Q58" s="2"/>
      <c r="R58" s="6">
        <f t="shared" si="44"/>
        <v>0</v>
      </c>
      <c r="S58" s="2"/>
      <c r="T58" s="7">
        <v>1400</v>
      </c>
      <c r="U58" s="2"/>
      <c r="V58" s="6">
        <f t="shared" si="45"/>
        <v>0</v>
      </c>
      <c r="W58" s="2"/>
      <c r="X58" s="7">
        <f t="shared" si="46"/>
        <v>-318.13000000000011</v>
      </c>
      <c r="Y58" s="2"/>
      <c r="Z58" s="6">
        <f t="shared" si="47"/>
        <v>-0.22723571428571437</v>
      </c>
    </row>
    <row r="59" spans="1:26" s="24" customFormat="1" hidden="1" outlineLevel="2" x14ac:dyDescent="0.3">
      <c r="A59" s="27"/>
      <c r="B59" s="11" t="str">
        <f>CONCATENATE("          ", "6309", " - ", "TELEPHONE")</f>
        <v xml:space="preserve">          6309 - TELEPHONE</v>
      </c>
      <c r="C59" s="11"/>
      <c r="D59" s="7">
        <v>663.4</v>
      </c>
      <c r="E59" s="2"/>
      <c r="F59" s="6">
        <f t="shared" si="40"/>
        <v>0</v>
      </c>
      <c r="G59" s="2"/>
      <c r="H59" s="7">
        <v>300</v>
      </c>
      <c r="I59" s="2"/>
      <c r="J59" s="6">
        <f t="shared" si="41"/>
        <v>0</v>
      </c>
      <c r="K59" s="2"/>
      <c r="L59" s="7">
        <f t="shared" si="42"/>
        <v>363.4</v>
      </c>
      <c r="M59" s="2"/>
      <c r="N59" s="6">
        <f t="shared" si="43"/>
        <v>1.2113333333333332</v>
      </c>
      <c r="O59" s="11"/>
      <c r="P59" s="7">
        <v>4663.8500000000004</v>
      </c>
      <c r="Q59" s="2"/>
      <c r="R59" s="6">
        <f t="shared" si="44"/>
        <v>0</v>
      </c>
      <c r="S59" s="2"/>
      <c r="T59" s="7">
        <v>2100</v>
      </c>
      <c r="U59" s="2"/>
      <c r="V59" s="6">
        <f t="shared" si="45"/>
        <v>0</v>
      </c>
      <c r="W59" s="2"/>
      <c r="X59" s="7">
        <f t="shared" si="46"/>
        <v>2563.8500000000004</v>
      </c>
      <c r="Y59" s="2"/>
      <c r="Z59" s="6">
        <f t="shared" si="47"/>
        <v>1.2208809523809525</v>
      </c>
    </row>
    <row r="60" spans="1:26" s="28" customFormat="1" outlineLevel="1" collapsed="1" x14ac:dyDescent="0.3">
      <c r="A60" s="29"/>
      <c r="B60" s="14" t="str">
        <f>CONCATENATE("     ","Training                                          ")</f>
        <v xml:space="preserve">     Training                                          </v>
      </c>
      <c r="C60" s="14"/>
      <c r="D60" s="1">
        <f>SUM(OSRRefD22_9x_0)</f>
        <v>0</v>
      </c>
      <c r="E60" s="1"/>
      <c r="F60" s="5">
        <f t="shared" ref="F60:F63" si="48">IF(D$12=0,0,D60/D$12)</f>
        <v>0</v>
      </c>
      <c r="G60" s="1"/>
      <c r="H60" s="1">
        <f>SUM(OSRRefH22_9x_0)</f>
        <v>0</v>
      </c>
      <c r="I60" s="1"/>
      <c r="J60" s="5">
        <f t="shared" ref="J60:J63" si="49">IF(H$12=0,0,H60/H$12)</f>
        <v>0</v>
      </c>
      <c r="K60" s="1"/>
      <c r="L60" s="1">
        <f t="shared" ref="L60:L63" si="50">+D60-H60</f>
        <v>0</v>
      </c>
      <c r="M60" s="1"/>
      <c r="N60" s="5">
        <f t="shared" ref="N60:N63" si="51">IF(H60=0,0,L60/H60)</f>
        <v>0</v>
      </c>
      <c r="O60" s="14"/>
      <c r="P60" s="1">
        <f>SUM(OSRRefP22_9x_0)</f>
        <v>99</v>
      </c>
      <c r="Q60" s="1"/>
      <c r="R60" s="5">
        <f t="shared" ref="R60:R63" si="52">IF(P$12=0,0,P60/P$12)</f>
        <v>0</v>
      </c>
      <c r="S60" s="1"/>
      <c r="T60" s="1">
        <f>SUM(OSRRefT22_9x_0)</f>
        <v>0</v>
      </c>
      <c r="U60" s="1"/>
      <c r="V60" s="5">
        <f t="shared" ref="V60:V63" si="53">IF(T$12=0,0,T60/T$12)</f>
        <v>0</v>
      </c>
      <c r="W60" s="1"/>
      <c r="X60" s="1">
        <f t="shared" ref="X60:X63" si="54">+P60-T60</f>
        <v>99</v>
      </c>
      <c r="Y60" s="1"/>
      <c r="Z60" s="5">
        <f t="shared" ref="Z60:Z63" si="55">IF(T60=0,0,X60/T60)</f>
        <v>0</v>
      </c>
    </row>
    <row r="61" spans="1:26" s="24" customFormat="1" hidden="1" outlineLevel="2" x14ac:dyDescent="0.3">
      <c r="A61" s="27"/>
      <c r="B61" s="11" t="str">
        <f>CONCATENATE("          ", "6376", " - ", "TRAINING")</f>
        <v xml:space="preserve">          6376 - TRAINING</v>
      </c>
      <c r="C61" s="11"/>
      <c r="D61" s="7"/>
      <c r="E61" s="2"/>
      <c r="F61" s="6">
        <f t="shared" si="48"/>
        <v>0</v>
      </c>
      <c r="G61" s="2"/>
      <c r="H61" s="7"/>
      <c r="I61" s="2"/>
      <c r="J61" s="6">
        <f t="shared" si="49"/>
        <v>0</v>
      </c>
      <c r="K61" s="2"/>
      <c r="L61" s="7">
        <f t="shared" si="50"/>
        <v>0</v>
      </c>
      <c r="M61" s="2"/>
      <c r="N61" s="6">
        <f t="shared" si="51"/>
        <v>0</v>
      </c>
      <c r="O61" s="11"/>
      <c r="P61" s="7">
        <v>99</v>
      </c>
      <c r="Q61" s="2"/>
      <c r="R61" s="6">
        <f t="shared" si="52"/>
        <v>0</v>
      </c>
      <c r="S61" s="2"/>
      <c r="T61" s="7"/>
      <c r="U61" s="2"/>
      <c r="V61" s="6">
        <f t="shared" si="53"/>
        <v>0</v>
      </c>
      <c r="W61" s="2"/>
      <c r="X61" s="7">
        <f t="shared" si="54"/>
        <v>99</v>
      </c>
      <c r="Y61" s="2"/>
      <c r="Z61" s="6">
        <f t="shared" si="55"/>
        <v>0</v>
      </c>
    </row>
    <row r="62" spans="1:26" s="28" customFormat="1" outlineLevel="1" collapsed="1" x14ac:dyDescent="0.3">
      <c r="A62" s="29"/>
      <c r="B62" s="14" t="str">
        <f>CONCATENATE("     ","Travel                                            ")</f>
        <v xml:space="preserve">     Travel                                            </v>
      </c>
      <c r="C62" s="14"/>
      <c r="D62" s="1">
        <f>SUM(OSRRefD22_10x_0)</f>
        <v>0</v>
      </c>
      <c r="E62" s="1"/>
      <c r="F62" s="5">
        <f t="shared" si="48"/>
        <v>0</v>
      </c>
      <c r="G62" s="1"/>
      <c r="H62" s="1">
        <f>SUM(OSRRefH22_10x_0)</f>
        <v>2000</v>
      </c>
      <c r="I62" s="1"/>
      <c r="J62" s="5">
        <f t="shared" si="49"/>
        <v>0</v>
      </c>
      <c r="K62" s="1"/>
      <c r="L62" s="1">
        <f t="shared" si="50"/>
        <v>-2000</v>
      </c>
      <c r="M62" s="1"/>
      <c r="N62" s="5">
        <f t="shared" si="51"/>
        <v>-1</v>
      </c>
      <c r="O62" s="14"/>
      <c r="P62" s="1">
        <f>SUM(OSRRefP22_10x_0)</f>
        <v>0</v>
      </c>
      <c r="Q62" s="1"/>
      <c r="R62" s="5">
        <f t="shared" si="52"/>
        <v>0</v>
      </c>
      <c r="S62" s="1"/>
      <c r="T62" s="1">
        <f>SUM(OSRRefT22_10x_0)</f>
        <v>5500</v>
      </c>
      <c r="U62" s="1"/>
      <c r="V62" s="5">
        <f t="shared" si="53"/>
        <v>0</v>
      </c>
      <c r="W62" s="1"/>
      <c r="X62" s="1">
        <f t="shared" si="54"/>
        <v>-5500</v>
      </c>
      <c r="Y62" s="1"/>
      <c r="Z62" s="5">
        <f t="shared" si="55"/>
        <v>-1</v>
      </c>
    </row>
    <row r="63" spans="1:26" s="24" customFormat="1" hidden="1" outlineLevel="2" x14ac:dyDescent="0.3">
      <c r="A63" s="27"/>
      <c r="B63" s="11" t="str">
        <f>CONCATENATE("          ", "6292", " - ", "TRAVEL/CONFERENCE")</f>
        <v xml:space="preserve">          6292 - TRAVEL/CONFERENCE</v>
      </c>
      <c r="C63" s="11"/>
      <c r="D63" s="7">
        <v>0</v>
      </c>
      <c r="E63" s="2"/>
      <c r="F63" s="6">
        <f t="shared" si="48"/>
        <v>0</v>
      </c>
      <c r="G63" s="2"/>
      <c r="H63" s="7">
        <v>2000</v>
      </c>
      <c r="I63" s="2"/>
      <c r="J63" s="6">
        <f t="shared" si="49"/>
        <v>0</v>
      </c>
      <c r="K63" s="2"/>
      <c r="L63" s="7">
        <f t="shared" si="50"/>
        <v>-2000</v>
      </c>
      <c r="M63" s="2"/>
      <c r="N63" s="6">
        <f t="shared" si="51"/>
        <v>-1</v>
      </c>
      <c r="O63" s="11"/>
      <c r="P63" s="7">
        <v>0</v>
      </c>
      <c r="Q63" s="2"/>
      <c r="R63" s="6">
        <f t="shared" si="52"/>
        <v>0</v>
      </c>
      <c r="S63" s="2"/>
      <c r="T63" s="7">
        <v>5500</v>
      </c>
      <c r="U63" s="2"/>
      <c r="V63" s="6">
        <f t="shared" si="53"/>
        <v>0</v>
      </c>
      <c r="W63" s="2"/>
      <c r="X63" s="7">
        <f t="shared" si="54"/>
        <v>-5500</v>
      </c>
      <c r="Y63" s="2"/>
      <c r="Z63" s="6">
        <f t="shared" si="55"/>
        <v>-1</v>
      </c>
    </row>
    <row r="64" spans="1:26" s="55" customFormat="1" x14ac:dyDescent="0.3">
      <c r="A64" s="36"/>
      <c r="B64" s="36"/>
      <c r="C64" s="36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6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3" customFormat="1" x14ac:dyDescent="0.3">
      <c r="A65" s="10"/>
      <c r="B65" s="25" t="s">
        <v>293</v>
      </c>
      <c r="C65" s="10"/>
      <c r="D65" s="4">
        <f>SUM(0)</f>
        <v>0</v>
      </c>
      <c r="E65" s="4"/>
      <c r="F65" s="12">
        <f>IF(D$12=0,0,D65/D$12)</f>
        <v>0</v>
      </c>
      <c r="G65" s="4"/>
      <c r="H65" s="4">
        <f>SUM(0)</f>
        <v>0</v>
      </c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>
        <f>SUM(0)</f>
        <v>0</v>
      </c>
      <c r="Q65" s="4"/>
      <c r="R65" s="12">
        <f>IF(P$12=0,0,P65/P$12)</f>
        <v>0</v>
      </c>
      <c r="S65" s="4"/>
      <c r="T65" s="4">
        <f>SUM(0)</f>
        <v>0</v>
      </c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3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3">
      <c r="A67" s="10"/>
      <c r="B67" s="26" t="s">
        <v>277</v>
      </c>
      <c r="C67" s="26"/>
      <c r="D67" s="21">
        <f>+D16-D18+D65</f>
        <v>-50768.030000000006</v>
      </c>
      <c r="E67" s="13"/>
      <c r="F67" s="22">
        <f>IF(D$12=0,0,D67/D$12)</f>
        <v>0</v>
      </c>
      <c r="G67" s="13"/>
      <c r="H67" s="21">
        <f>+H16-H18+H65</f>
        <v>-55284.082559230737</v>
      </c>
      <c r="I67" s="13"/>
      <c r="J67" s="22">
        <f>IF(H$12=0,0,H67/H$12)</f>
        <v>0</v>
      </c>
      <c r="K67" s="15"/>
      <c r="L67" s="21">
        <f>+D67-H67</f>
        <v>4516.0525592307313</v>
      </c>
      <c r="M67" s="15"/>
      <c r="N67" s="22">
        <f>IF(H67=0,0,L67/H67)</f>
        <v>-8.1688116184116533E-2</v>
      </c>
      <c r="O67" s="25"/>
      <c r="P67" s="21">
        <f>+P16-P18+P65</f>
        <v>-318727.39</v>
      </c>
      <c r="Q67" s="13"/>
      <c r="R67" s="22">
        <f>IF(P$12=0,0,P67/P$12)</f>
        <v>0</v>
      </c>
      <c r="S67" s="13"/>
      <c r="T67" s="21">
        <f>+T16-T18+T65</f>
        <v>-362133.91186723032</v>
      </c>
      <c r="U67" s="13"/>
      <c r="V67" s="22">
        <f>IF(T$12=0,0,T67/T$12)</f>
        <v>0</v>
      </c>
      <c r="W67" s="15"/>
      <c r="X67" s="21">
        <f>+P67-T67</f>
        <v>43406.521867230302</v>
      </c>
      <c r="Y67" s="15"/>
      <c r="Z67" s="22">
        <f>IF(T67=0,0,X67/T67)</f>
        <v>-0.11986317890920002</v>
      </c>
    </row>
    <row r="68" spans="1:26" x14ac:dyDescent="0.3">
      <c r="A68" s="9"/>
      <c r="B68" s="10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3">
      <c r="A69" s="52"/>
      <c r="B69" s="10" t="s">
        <v>128</v>
      </c>
      <c r="C69" s="10"/>
      <c r="D69" s="4"/>
      <c r="E69" s="4"/>
      <c r="F69" s="12">
        <f>IF(D$12=0,0,D69/D$12)</f>
        <v>0</v>
      </c>
      <c r="G69" s="4"/>
      <c r="H69" s="4"/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/>
      <c r="Q69" s="4"/>
      <c r="R69" s="12">
        <f>IF(P$12=0,0,P69/P$12)</f>
        <v>0</v>
      </c>
      <c r="S69" s="4"/>
      <c r="T69" s="4"/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3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" thickBot="1" x14ac:dyDescent="0.35">
      <c r="A71" s="10"/>
      <c r="B71" s="26" t="s">
        <v>126</v>
      </c>
      <c r="C71" s="26"/>
      <c r="D71" s="32">
        <f>+D67-D69</f>
        <v>-50768.030000000006</v>
      </c>
      <c r="E71" s="13"/>
      <c r="F71" s="31">
        <f>IF(D$12=0,0,D71/D$12)</f>
        <v>0</v>
      </c>
      <c r="G71" s="13"/>
      <c r="H71" s="32">
        <f>+H67-H69</f>
        <v>-55284.082559230737</v>
      </c>
      <c r="I71" s="13"/>
      <c r="J71" s="31">
        <f>IF(H$12=0,0,H71/H$12)</f>
        <v>0</v>
      </c>
      <c r="K71" s="15"/>
      <c r="L71" s="32">
        <f>D71-H71</f>
        <v>4516.0525592307313</v>
      </c>
      <c r="M71" s="15"/>
      <c r="N71" s="31">
        <f>IF(H71=0,0,L71/H71)</f>
        <v>-8.1688116184116533E-2</v>
      </c>
      <c r="O71" s="25"/>
      <c r="P71" s="32">
        <f>+P67-P69</f>
        <v>-318727.39</v>
      </c>
      <c r="Q71" s="13"/>
      <c r="R71" s="31">
        <f>IF(P$12=0,0,P71/P$12)</f>
        <v>0</v>
      </c>
      <c r="S71" s="13"/>
      <c r="T71" s="32">
        <f>+T67-T69</f>
        <v>-362133.91186723032</v>
      </c>
      <c r="U71" s="13"/>
      <c r="V71" s="31">
        <f>IF(T$12=0,0,T71/T$12)</f>
        <v>0</v>
      </c>
      <c r="W71" s="15"/>
      <c r="X71" s="32">
        <f>P71-T71</f>
        <v>43406.521867230302</v>
      </c>
      <c r="Y71" s="15"/>
      <c r="Z71" s="31">
        <f>IF(T71=0,0,X71/T71)</f>
        <v>-0.11986317890920002</v>
      </c>
    </row>
    <row r="72" spans="1:26" ht="15" thickTop="1" x14ac:dyDescent="0.3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x14ac:dyDescent="0.3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" thickBot="1" x14ac:dyDescent="0.35">
      <c r="A74" s="10"/>
      <c r="B74" s="26" t="s">
        <v>294</v>
      </c>
      <c r="C74" s="26"/>
      <c r="D74" s="34">
        <f>SUM(D71:D73)</f>
        <v>-50768.030000000006</v>
      </c>
      <c r="E74" s="13"/>
      <c r="F74" s="35">
        <f>IF(D$12=0,0,D74/D$12)</f>
        <v>0</v>
      </c>
      <c r="G74" s="13"/>
      <c r="H74" s="34">
        <f>SUM(H71:H73)</f>
        <v>-55284.082559230737</v>
      </c>
      <c r="I74" s="13"/>
      <c r="J74" s="35">
        <f>IF(H$12=0,0,H74/H$12)</f>
        <v>0</v>
      </c>
      <c r="K74" s="15"/>
      <c r="L74" s="34">
        <f>+D74-H74</f>
        <v>4516.0525592307313</v>
      </c>
      <c r="M74" s="15"/>
      <c r="N74" s="35">
        <f>IF(H74=0,0,L74/H74)</f>
        <v>-8.1688116184116533E-2</v>
      </c>
      <c r="O74" s="25"/>
      <c r="P74" s="34">
        <f>SUM(P71:P73)</f>
        <v>-318727.39</v>
      </c>
      <c r="Q74" s="13"/>
      <c r="R74" s="35">
        <f>IF(P$12=0,0,P74/P$12)</f>
        <v>0</v>
      </c>
      <c r="S74" s="13"/>
      <c r="T74" s="34">
        <f>SUM(T71:T73)</f>
        <v>-362133.91186723032</v>
      </c>
      <c r="U74" s="13"/>
      <c r="V74" s="35">
        <f>IF(T$12=0,0,T74/T$12)</f>
        <v>0</v>
      </c>
      <c r="W74" s="15"/>
      <c r="X74" s="34">
        <f>+P74-T74</f>
        <v>43406.521867230302</v>
      </c>
      <c r="Y74" s="15"/>
      <c r="Z74" s="35">
        <f>IF(T74=0,0,X74/T74)</f>
        <v>-0.11986317890920002</v>
      </c>
    </row>
    <row r="75" spans="1:26" ht="15" thickTop="1" x14ac:dyDescent="0.3">
      <c r="A75" s="9"/>
      <c r="C75" s="9"/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3">
      <c r="A76" s="9"/>
      <c r="B76" s="53">
        <v>44604.019995405091</v>
      </c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3">
      <c r="A77" s="9"/>
      <c r="B77" s="63" t="s">
        <v>56</v>
      </c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  <row r="78" spans="1:26" x14ac:dyDescent="0.3">
      <c r="A78" s="9"/>
      <c r="B78" s="58"/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3"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","205", " - ", "Maintenance")</f>
        <v>Department 205 - Maintenance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12857.57</v>
      </c>
      <c r="E18" s="20"/>
      <c r="F18" s="33">
        <f t="shared" ref="F18:F28" si="0">IF(D$12=0,0,D18/D$12)</f>
        <v>0</v>
      </c>
      <c r="G18" s="20"/>
      <c r="H18" s="20">
        <f>SUM(OSRRefH22x_0)</f>
        <v>9013.7082250000003</v>
      </c>
      <c r="I18" s="20"/>
      <c r="J18" s="33">
        <f t="shared" ref="J18:J28" si="1">IF(H$12=0,0,H18/H$12)</f>
        <v>0</v>
      </c>
      <c r="K18" s="4"/>
      <c r="L18" s="20">
        <f t="shared" ref="L18:L28" si="2">+D18-H18</f>
        <v>3843.8617749999994</v>
      </c>
      <c r="M18" s="4"/>
      <c r="N18" s="33">
        <f t="shared" ref="N18:N28" si="3">IF(H18=0,0,L18/H18)</f>
        <v>0.42644621714499742</v>
      </c>
      <c r="O18" s="10"/>
      <c r="P18" s="20">
        <f>SUM(OSRRefP22x_0)</f>
        <v>58590.859999999993</v>
      </c>
      <c r="Q18" s="20"/>
      <c r="R18" s="33">
        <f t="shared" ref="R18:R28" si="4">IF(P$12=0,0,P18/P$12)</f>
        <v>0</v>
      </c>
      <c r="S18" s="20"/>
      <c r="T18" s="20">
        <f>SUM(OSRRefT22x_0)</f>
        <v>60392.990995</v>
      </c>
      <c r="U18" s="20"/>
      <c r="V18" s="33">
        <f t="shared" ref="V18:V28" si="5">IF(T$12=0,0,T18/T$12)</f>
        <v>0</v>
      </c>
      <c r="W18" s="4"/>
      <c r="X18" s="20">
        <f t="shared" ref="X18:X28" si="6">+P18-T18</f>
        <v>-1802.1309950000068</v>
      </c>
      <c r="Y18" s="4"/>
      <c r="Z18" s="33">
        <f t="shared" ref="Z18:Z28" si="7">IF(T18=0,0,X18/T18)</f>
        <v>-2.9840068612419068E-2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3743.08</v>
      </c>
      <c r="E19" s="1"/>
      <c r="F19" s="5">
        <f t="shared" si="0"/>
        <v>0</v>
      </c>
      <c r="G19" s="1"/>
      <c r="H19" s="1">
        <f>SUM(OSRRefH22_0x_0)</f>
        <v>2274.7332249999999</v>
      </c>
      <c r="I19" s="1"/>
      <c r="J19" s="5">
        <f t="shared" si="1"/>
        <v>0</v>
      </c>
      <c r="K19" s="1"/>
      <c r="L19" s="1">
        <f t="shared" si="2"/>
        <v>1468.346775</v>
      </c>
      <c r="M19" s="1"/>
      <c r="N19" s="5">
        <f t="shared" si="3"/>
        <v>0.64550284792187007</v>
      </c>
      <c r="O19" s="14"/>
      <c r="P19" s="1">
        <f>SUM(OSRRefP22_0x_0)</f>
        <v>18997.09</v>
      </c>
      <c r="Q19" s="1"/>
      <c r="R19" s="5">
        <f t="shared" si="4"/>
        <v>0</v>
      </c>
      <c r="S19" s="1"/>
      <c r="T19" s="1">
        <f>SUM(OSRRefT22_0x_0)</f>
        <v>14243.345995000001</v>
      </c>
      <c r="U19" s="1"/>
      <c r="V19" s="5">
        <f t="shared" si="5"/>
        <v>0</v>
      </c>
      <c r="W19" s="1"/>
      <c r="X19" s="1">
        <f t="shared" si="6"/>
        <v>4753.7440049999987</v>
      </c>
      <c r="Y19" s="1"/>
      <c r="Z19" s="5">
        <f t="shared" si="7"/>
        <v>0.33375191522193998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7">
        <v>341.44</v>
      </c>
      <c r="E20" s="2"/>
      <c r="F20" s="6">
        <f t="shared" si="0"/>
        <v>0</v>
      </c>
      <c r="G20" s="2"/>
      <c r="H20" s="7">
        <v>413.83597500000002</v>
      </c>
      <c r="I20" s="2"/>
      <c r="J20" s="6">
        <f t="shared" si="1"/>
        <v>0</v>
      </c>
      <c r="K20" s="2"/>
      <c r="L20" s="7">
        <f t="shared" si="2"/>
        <v>-72.395975000000021</v>
      </c>
      <c r="M20" s="2"/>
      <c r="N20" s="6">
        <f t="shared" si="3"/>
        <v>-0.17493881482874954</v>
      </c>
      <c r="O20" s="11"/>
      <c r="P20" s="7">
        <v>2491.54</v>
      </c>
      <c r="Q20" s="2"/>
      <c r="R20" s="6">
        <f t="shared" si="4"/>
        <v>0</v>
      </c>
      <c r="S20" s="2"/>
      <c r="T20" s="7">
        <v>2565.7830450000001</v>
      </c>
      <c r="U20" s="2"/>
      <c r="V20" s="6">
        <f t="shared" si="5"/>
        <v>0</v>
      </c>
      <c r="W20" s="2"/>
      <c r="X20" s="7">
        <f t="shared" si="6"/>
        <v>-74.243045000000166</v>
      </c>
      <c r="Y20" s="2"/>
      <c r="Z20" s="6">
        <f t="shared" si="7"/>
        <v>-2.8935823371613309E-2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246.44</v>
      </c>
      <c r="E21" s="2"/>
      <c r="F21" s="6">
        <f t="shared" si="0"/>
        <v>0</v>
      </c>
      <c r="G21" s="2"/>
      <c r="H21" s="7">
        <v>368.79149999999998</v>
      </c>
      <c r="I21" s="2"/>
      <c r="J21" s="6">
        <f t="shared" si="1"/>
        <v>0</v>
      </c>
      <c r="K21" s="2"/>
      <c r="L21" s="7">
        <f t="shared" si="2"/>
        <v>-122.35149999999999</v>
      </c>
      <c r="M21" s="2"/>
      <c r="N21" s="6">
        <f t="shared" si="3"/>
        <v>-0.3317633405325231</v>
      </c>
      <c r="O21" s="11"/>
      <c r="P21" s="7">
        <v>1792.66</v>
      </c>
      <c r="Q21" s="2"/>
      <c r="R21" s="6">
        <f t="shared" si="4"/>
        <v>0</v>
      </c>
      <c r="S21" s="2"/>
      <c r="T21" s="7">
        <v>2286.5073000000002</v>
      </c>
      <c r="U21" s="2"/>
      <c r="V21" s="6">
        <f t="shared" si="5"/>
        <v>0</v>
      </c>
      <c r="W21" s="2"/>
      <c r="X21" s="7">
        <f t="shared" si="6"/>
        <v>-493.84730000000013</v>
      </c>
      <c r="Y21" s="2"/>
      <c r="Z21" s="6">
        <f t="shared" si="7"/>
        <v>-0.21598325970793975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7">
        <v>694.36</v>
      </c>
      <c r="E22" s="2"/>
      <c r="F22" s="6">
        <f t="shared" si="0"/>
        <v>0</v>
      </c>
      <c r="G22" s="2"/>
      <c r="H22" s="7">
        <v>765</v>
      </c>
      <c r="I22" s="2"/>
      <c r="J22" s="6">
        <f t="shared" si="1"/>
        <v>0</v>
      </c>
      <c r="K22" s="2"/>
      <c r="L22" s="7">
        <f t="shared" si="2"/>
        <v>-70.639999999999986</v>
      </c>
      <c r="M22" s="2"/>
      <c r="N22" s="6">
        <f t="shared" si="3"/>
        <v>-9.2339869281045733E-2</v>
      </c>
      <c r="O22" s="11"/>
      <c r="P22" s="7">
        <v>4882.57</v>
      </c>
      <c r="Q22" s="2"/>
      <c r="R22" s="6">
        <f t="shared" si="4"/>
        <v>0</v>
      </c>
      <c r="S22" s="2"/>
      <c r="T22" s="7">
        <v>4743</v>
      </c>
      <c r="U22" s="2"/>
      <c r="V22" s="6">
        <f t="shared" si="5"/>
        <v>0</v>
      </c>
      <c r="W22" s="2"/>
      <c r="X22" s="7">
        <f t="shared" si="6"/>
        <v>139.56999999999971</v>
      </c>
      <c r="Y22" s="2"/>
      <c r="Z22" s="6">
        <f t="shared" si="7"/>
        <v>2.9426523297490979E-2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11.59</v>
      </c>
      <c r="E23" s="2"/>
      <c r="F23" s="6">
        <f t="shared" si="0"/>
        <v>0</v>
      </c>
      <c r="G23" s="2"/>
      <c r="H23" s="7">
        <v>11.35575</v>
      </c>
      <c r="I23" s="2"/>
      <c r="J23" s="6">
        <f t="shared" si="1"/>
        <v>0</v>
      </c>
      <c r="K23" s="2"/>
      <c r="L23" s="7">
        <f t="shared" si="2"/>
        <v>0.2342499999999994</v>
      </c>
      <c r="M23" s="2"/>
      <c r="N23" s="6">
        <f t="shared" si="3"/>
        <v>2.0628316051339576E-2</v>
      </c>
      <c r="O23" s="11"/>
      <c r="P23" s="7">
        <v>84.28</v>
      </c>
      <c r="Q23" s="2"/>
      <c r="R23" s="6">
        <f t="shared" si="4"/>
        <v>0</v>
      </c>
      <c r="S23" s="2"/>
      <c r="T23" s="7">
        <v>70.405649999999994</v>
      </c>
      <c r="U23" s="2"/>
      <c r="V23" s="6">
        <f t="shared" si="5"/>
        <v>0</v>
      </c>
      <c r="W23" s="2"/>
      <c r="X23" s="7">
        <f t="shared" si="6"/>
        <v>13.874350000000007</v>
      </c>
      <c r="Y23" s="2"/>
      <c r="Z23" s="6">
        <f t="shared" si="7"/>
        <v>0.19706301980025762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7">
        <v>475.21</v>
      </c>
      <c r="E24" s="2"/>
      <c r="F24" s="6">
        <f t="shared" si="0"/>
        <v>0</v>
      </c>
      <c r="G24" s="2"/>
      <c r="H24" s="7">
        <v>0</v>
      </c>
      <c r="I24" s="2"/>
      <c r="J24" s="6">
        <f t="shared" si="1"/>
        <v>0</v>
      </c>
      <c r="K24" s="2"/>
      <c r="L24" s="7">
        <f t="shared" si="2"/>
        <v>475.21</v>
      </c>
      <c r="M24" s="2"/>
      <c r="N24" s="6">
        <f t="shared" si="3"/>
        <v>0</v>
      </c>
      <c r="O24" s="11"/>
      <c r="P24" s="7">
        <v>3481.82</v>
      </c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3481.82</v>
      </c>
      <c r="Y24" s="2"/>
      <c r="Z24" s="6">
        <f t="shared" si="7"/>
        <v>0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7">
        <v>846.05</v>
      </c>
      <c r="E26" s="2"/>
      <c r="F26" s="6">
        <f t="shared" si="0"/>
        <v>0</v>
      </c>
      <c r="G26" s="2"/>
      <c r="H26" s="7">
        <v>432.6</v>
      </c>
      <c r="I26" s="2"/>
      <c r="J26" s="6">
        <f t="shared" si="1"/>
        <v>0</v>
      </c>
      <c r="K26" s="2"/>
      <c r="L26" s="7">
        <f t="shared" si="2"/>
        <v>413.44999999999993</v>
      </c>
      <c r="M26" s="2"/>
      <c r="N26" s="6">
        <f t="shared" si="3"/>
        <v>0.95573277854831229</v>
      </c>
      <c r="O26" s="11"/>
      <c r="P26" s="7">
        <v>2905.31</v>
      </c>
      <c r="Q26" s="2"/>
      <c r="R26" s="6">
        <f t="shared" si="4"/>
        <v>0</v>
      </c>
      <c r="S26" s="2"/>
      <c r="T26" s="7">
        <v>2682.12</v>
      </c>
      <c r="U26" s="2"/>
      <c r="V26" s="6">
        <f t="shared" si="5"/>
        <v>0</v>
      </c>
      <c r="W26" s="2"/>
      <c r="X26" s="7">
        <f t="shared" si="6"/>
        <v>223.19000000000005</v>
      </c>
      <c r="Y26" s="2"/>
      <c r="Z26" s="6">
        <f t="shared" si="7"/>
        <v>8.3214024726708746E-2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7">
        <v>955.73</v>
      </c>
      <c r="E27" s="2"/>
      <c r="F27" s="6">
        <f t="shared" si="0"/>
        <v>0</v>
      </c>
      <c r="G27" s="2"/>
      <c r="H27" s="7">
        <v>108.15</v>
      </c>
      <c r="I27" s="2"/>
      <c r="J27" s="6">
        <f t="shared" si="1"/>
        <v>0</v>
      </c>
      <c r="K27" s="2"/>
      <c r="L27" s="7">
        <f t="shared" si="2"/>
        <v>847.58</v>
      </c>
      <c r="M27" s="2"/>
      <c r="N27" s="6">
        <f t="shared" si="3"/>
        <v>7.8370781322237635</v>
      </c>
      <c r="O27" s="11"/>
      <c r="P27" s="7">
        <v>2230.39</v>
      </c>
      <c r="Q27" s="2"/>
      <c r="R27" s="6">
        <f t="shared" si="4"/>
        <v>0</v>
      </c>
      <c r="S27" s="2"/>
      <c r="T27" s="7">
        <v>670.53</v>
      </c>
      <c r="U27" s="2"/>
      <c r="V27" s="6">
        <f t="shared" si="5"/>
        <v>0</v>
      </c>
      <c r="W27" s="2"/>
      <c r="X27" s="7">
        <f t="shared" si="6"/>
        <v>1559.86</v>
      </c>
      <c r="Y27" s="2"/>
      <c r="Z27" s="6">
        <f t="shared" si="7"/>
        <v>2.3263090391183092</v>
      </c>
    </row>
    <row r="28" spans="1:26" s="24" customFormat="1" hidden="1" outlineLevel="2" x14ac:dyDescent="0.3">
      <c r="A28" s="27"/>
      <c r="B28" s="11" t="str">
        <f>CONCATENATE("          ", "6156", " - ", "EMPLOYEE MEALS")</f>
        <v xml:space="preserve">          6156 - EMPLOYEE MEALS</v>
      </c>
      <c r="C28" s="11"/>
      <c r="D28" s="7">
        <v>172.26</v>
      </c>
      <c r="E28" s="2"/>
      <c r="F28" s="6">
        <f t="shared" si="0"/>
        <v>0</v>
      </c>
      <c r="G28" s="2"/>
      <c r="H28" s="7">
        <v>175</v>
      </c>
      <c r="I28" s="2"/>
      <c r="J28" s="6">
        <f t="shared" si="1"/>
        <v>0</v>
      </c>
      <c r="K28" s="2"/>
      <c r="L28" s="7">
        <f t="shared" si="2"/>
        <v>-2.7400000000000091</v>
      </c>
      <c r="M28" s="2"/>
      <c r="N28" s="6">
        <f t="shared" si="3"/>
        <v>-1.5657142857142908E-2</v>
      </c>
      <c r="O28" s="11"/>
      <c r="P28" s="7">
        <v>1128.52</v>
      </c>
      <c r="Q28" s="2"/>
      <c r="R28" s="6">
        <f t="shared" si="4"/>
        <v>0</v>
      </c>
      <c r="S28" s="2"/>
      <c r="T28" s="7">
        <v>1225</v>
      </c>
      <c r="U28" s="2"/>
      <c r="V28" s="6">
        <f t="shared" si="5"/>
        <v>0</v>
      </c>
      <c r="W28" s="2"/>
      <c r="X28" s="7">
        <f t="shared" si="6"/>
        <v>-96.480000000000018</v>
      </c>
      <c r="Y28" s="2"/>
      <c r="Z28" s="6">
        <f t="shared" si="7"/>
        <v>-7.8759183673469402E-2</v>
      </c>
    </row>
    <row r="29" spans="1:26" s="28" customFormat="1" outlineLevel="1" collapsed="1" x14ac:dyDescent="0.3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5261.81</v>
      </c>
      <c r="E29" s="1"/>
      <c r="F29" s="5">
        <f t="shared" ref="F29:F39" si="8">IF(D$12=0,0,D29/D$12)</f>
        <v>0</v>
      </c>
      <c r="G29" s="1"/>
      <c r="H29" s="1">
        <f>SUM(OSRRefH22_1x_0)</f>
        <v>5028.9750000000004</v>
      </c>
      <c r="I29" s="1"/>
      <c r="J29" s="5">
        <f t="shared" ref="J29:J39" si="9">IF(H$12=0,0,H29/H$12)</f>
        <v>0</v>
      </c>
      <c r="K29" s="1"/>
      <c r="L29" s="1">
        <f t="shared" ref="L29:L39" si="10">+D29-H29</f>
        <v>232.83500000000004</v>
      </c>
      <c r="M29" s="1"/>
      <c r="N29" s="5">
        <f t="shared" ref="N29:N39" si="11">IF(H29=0,0,L29/H29)</f>
        <v>4.6298699039068601E-2</v>
      </c>
      <c r="O29" s="14"/>
      <c r="P29" s="1">
        <f>SUM(OSRRefP22_1x_0)</f>
        <v>30114.560000000001</v>
      </c>
      <c r="Q29" s="1"/>
      <c r="R29" s="5">
        <f t="shared" ref="R29:R39" si="12">IF(P$12=0,0,P29/P$12)</f>
        <v>0</v>
      </c>
      <c r="S29" s="1"/>
      <c r="T29" s="1">
        <f>SUM(OSRRefT22_1x_0)</f>
        <v>31179.645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-1065.0849999999991</v>
      </c>
      <c r="Y29" s="1"/>
      <c r="Z29" s="5">
        <f t="shared" ref="Z29:Z39" si="15">IF(T29=0,0,X29/T29)</f>
        <v>-3.4159625614723937E-2</v>
      </c>
    </row>
    <row r="30" spans="1:26" s="24" customFormat="1" hidden="1" outlineLevel="2" x14ac:dyDescent="0.3">
      <c r="A30" s="27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3">
      <c r="A31" s="27"/>
      <c r="B31" s="11" t="str">
        <f>CONCATENATE("          ", "6002", " - ", "STAFF SALARIES")</f>
        <v xml:space="preserve">          6002 - STAFF SALARIES</v>
      </c>
      <c r="C31" s="11"/>
      <c r="D31" s="7">
        <v>5261.81</v>
      </c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5261.81</v>
      </c>
      <c r="M31" s="2"/>
      <c r="N31" s="6">
        <f t="shared" si="11"/>
        <v>0</v>
      </c>
      <c r="O31" s="11"/>
      <c r="P31" s="7">
        <v>30114.560000000001</v>
      </c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30114.560000000001</v>
      </c>
      <c r="Y31" s="2"/>
      <c r="Z31" s="6">
        <f t="shared" si="15"/>
        <v>0</v>
      </c>
    </row>
    <row r="32" spans="1:26" s="24" customFormat="1" hidden="1" outlineLevel="2" x14ac:dyDescent="0.3">
      <c r="A32" s="27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3">
      <c r="A33" s="27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5028.9750000000004</v>
      </c>
      <c r="I33" s="2"/>
      <c r="J33" s="6">
        <f t="shared" si="9"/>
        <v>0</v>
      </c>
      <c r="K33" s="2"/>
      <c r="L33" s="7">
        <f t="shared" si="10"/>
        <v>-5028.9750000000004</v>
      </c>
      <c r="M33" s="2"/>
      <c r="N33" s="6">
        <f t="shared" si="11"/>
        <v>-1</v>
      </c>
      <c r="O33" s="11"/>
      <c r="P33" s="7"/>
      <c r="Q33" s="2"/>
      <c r="R33" s="6">
        <f t="shared" si="12"/>
        <v>0</v>
      </c>
      <c r="S33" s="2"/>
      <c r="T33" s="7">
        <v>31179.645</v>
      </c>
      <c r="U33" s="2"/>
      <c r="V33" s="6">
        <f t="shared" si="13"/>
        <v>0</v>
      </c>
      <c r="W33" s="2"/>
      <c r="X33" s="7">
        <f t="shared" si="14"/>
        <v>-31179.645</v>
      </c>
      <c r="Y33" s="2"/>
      <c r="Z33" s="6">
        <f t="shared" si="15"/>
        <v>-1</v>
      </c>
    </row>
    <row r="34" spans="1:26" s="24" customFormat="1" hidden="1" outlineLevel="2" x14ac:dyDescent="0.3">
      <c r="A34" s="27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3">
      <c r="A35" s="27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3">
      <c r="A36" s="27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3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3">
      <c r="A38" s="27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3">
      <c r="A39" s="27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3">
      <c r="A40" s="29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SUM(OSRRefD22_2x_0)</f>
        <v>0</v>
      </c>
      <c r="E40" s="1"/>
      <c r="F40" s="5">
        <f t="shared" ref="F40:F46" si="16">IF(D$12=0,0,D40/D$12)</f>
        <v>0</v>
      </c>
      <c r="G40" s="1"/>
      <c r="H40" s="1">
        <f>SUM(OSRRefH22_2x_0)</f>
        <v>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0</v>
      </c>
      <c r="M40" s="1"/>
      <c r="N40" s="5">
        <f t="shared" ref="N40:N46" si="19">IF(H40=0,0,L40/H40)</f>
        <v>0</v>
      </c>
      <c r="O40" s="14"/>
      <c r="P40" s="1">
        <f>SUM(OSRRefP22_2x_0)</f>
        <v>-906.57</v>
      </c>
      <c r="Q40" s="1"/>
      <c r="R40" s="5">
        <f t="shared" ref="R40:R46" si="20">IF(P$12=0,0,P40/P$12)</f>
        <v>0</v>
      </c>
      <c r="S40" s="1"/>
      <c r="T40" s="1">
        <f>SUM(OSRRefT22_2x_0)</f>
        <v>-600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-306.57000000000005</v>
      </c>
      <c r="Y40" s="1"/>
      <c r="Z40" s="5">
        <f t="shared" ref="Z40:Z46" si="23">IF(T40=0,0,X40/T40)</f>
        <v>0.51095000000000013</v>
      </c>
    </row>
    <row r="41" spans="1:26" s="24" customFormat="1" hidden="1" outlineLevel="2" x14ac:dyDescent="0.3">
      <c r="A41" s="27"/>
      <c r="B41" s="11" t="str">
        <f>CONCATENATE("          ", "6279", " - ", "GENERAL EXPENSE")</f>
        <v xml:space="preserve">          6279 - GENERAL EXPENSE</v>
      </c>
      <c r="C41" s="11"/>
      <c r="D41" s="7"/>
      <c r="E41" s="2"/>
      <c r="F41" s="6">
        <f t="shared" si="16"/>
        <v>0</v>
      </c>
      <c r="G41" s="2"/>
      <c r="H41" s="7">
        <v>0</v>
      </c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>
        <v>-906.57</v>
      </c>
      <c r="Q41" s="2"/>
      <c r="R41" s="6">
        <f t="shared" si="20"/>
        <v>0</v>
      </c>
      <c r="S41" s="2"/>
      <c r="T41" s="7">
        <v>-600</v>
      </c>
      <c r="U41" s="2"/>
      <c r="V41" s="6">
        <f t="shared" si="21"/>
        <v>0</v>
      </c>
      <c r="W41" s="2"/>
      <c r="X41" s="7">
        <f t="shared" si="22"/>
        <v>-306.57000000000005</v>
      </c>
      <c r="Y41" s="2"/>
      <c r="Z41" s="6">
        <f t="shared" si="23"/>
        <v>0.51095000000000013</v>
      </c>
    </row>
    <row r="42" spans="1:26" s="28" customFormat="1" outlineLevel="1" collapsed="1" x14ac:dyDescent="0.3">
      <c r="A42" s="29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SUM(OSRRefD22_3x_0)</f>
        <v>33.380000000000003</v>
      </c>
      <c r="E42" s="1"/>
      <c r="F42" s="5">
        <f t="shared" si="16"/>
        <v>0</v>
      </c>
      <c r="G42" s="1"/>
      <c r="H42" s="1">
        <f>SUM(OSRRefH22_3x_0)</f>
        <v>35</v>
      </c>
      <c r="I42" s="1"/>
      <c r="J42" s="5">
        <f t="shared" si="17"/>
        <v>0</v>
      </c>
      <c r="K42" s="1"/>
      <c r="L42" s="1">
        <f t="shared" si="18"/>
        <v>-1.6199999999999974</v>
      </c>
      <c r="M42" s="1"/>
      <c r="N42" s="5">
        <f t="shared" si="19"/>
        <v>-4.6285714285714215E-2</v>
      </c>
      <c r="O42" s="14"/>
      <c r="P42" s="1">
        <f>SUM(OSRRefP22_3x_0)</f>
        <v>233.66</v>
      </c>
      <c r="Q42" s="1"/>
      <c r="R42" s="5">
        <f t="shared" si="20"/>
        <v>0</v>
      </c>
      <c r="S42" s="1"/>
      <c r="T42" s="1">
        <f>SUM(OSRRefT22_3x_0)</f>
        <v>245</v>
      </c>
      <c r="U42" s="1"/>
      <c r="V42" s="5">
        <f t="shared" si="21"/>
        <v>0</v>
      </c>
      <c r="W42" s="1"/>
      <c r="X42" s="1">
        <f t="shared" si="22"/>
        <v>-11.340000000000003</v>
      </c>
      <c r="Y42" s="1"/>
      <c r="Z42" s="5">
        <f t="shared" si="23"/>
        <v>-4.6285714285714298E-2</v>
      </c>
    </row>
    <row r="43" spans="1:26" s="24" customFormat="1" hidden="1" outlineLevel="2" x14ac:dyDescent="0.3">
      <c r="A43" s="27"/>
      <c r="B43" s="11" t="str">
        <f>CONCATENATE("          ", "6314", " - ", "LIABILITY INSURANCE")</f>
        <v xml:space="preserve">          6314 - LIABILITY INSURANCE</v>
      </c>
      <c r="C43" s="11"/>
      <c r="D43" s="7">
        <v>33.380000000000003</v>
      </c>
      <c r="E43" s="2"/>
      <c r="F43" s="6">
        <f t="shared" si="16"/>
        <v>0</v>
      </c>
      <c r="G43" s="2"/>
      <c r="H43" s="7">
        <v>35</v>
      </c>
      <c r="I43" s="2"/>
      <c r="J43" s="6">
        <f t="shared" si="17"/>
        <v>0</v>
      </c>
      <c r="K43" s="2"/>
      <c r="L43" s="7">
        <f t="shared" si="18"/>
        <v>-1.6199999999999974</v>
      </c>
      <c r="M43" s="2"/>
      <c r="N43" s="6">
        <f t="shared" si="19"/>
        <v>-4.6285714285714215E-2</v>
      </c>
      <c r="O43" s="11"/>
      <c r="P43" s="7">
        <v>233.66</v>
      </c>
      <c r="Q43" s="2"/>
      <c r="R43" s="6">
        <f t="shared" si="20"/>
        <v>0</v>
      </c>
      <c r="S43" s="2"/>
      <c r="T43" s="7">
        <v>245</v>
      </c>
      <c r="U43" s="2"/>
      <c r="V43" s="6">
        <f t="shared" si="21"/>
        <v>0</v>
      </c>
      <c r="W43" s="2"/>
      <c r="X43" s="7">
        <f t="shared" si="22"/>
        <v>-11.340000000000003</v>
      </c>
      <c r="Y43" s="2"/>
      <c r="Z43" s="6">
        <f t="shared" si="23"/>
        <v>-4.6285714285714298E-2</v>
      </c>
    </row>
    <row r="44" spans="1:26" s="28" customFormat="1" outlineLevel="1" collapsed="1" x14ac:dyDescent="0.3">
      <c r="A44" s="29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SUM(OSRRefD22_4x_0)</f>
        <v>3721.3</v>
      </c>
      <c r="E44" s="1"/>
      <c r="F44" s="5">
        <f t="shared" si="16"/>
        <v>0</v>
      </c>
      <c r="G44" s="1"/>
      <c r="H44" s="1">
        <f>SUM(OSRRefH22_4x_0)</f>
        <v>1500</v>
      </c>
      <c r="I44" s="1"/>
      <c r="J44" s="5">
        <f t="shared" si="17"/>
        <v>0</v>
      </c>
      <c r="K44" s="1"/>
      <c r="L44" s="1">
        <f t="shared" si="18"/>
        <v>2221.3000000000002</v>
      </c>
      <c r="M44" s="1"/>
      <c r="N44" s="5">
        <f t="shared" si="19"/>
        <v>1.4808666666666668</v>
      </c>
      <c r="O44" s="14"/>
      <c r="P44" s="1">
        <f>SUM(OSRRefP22_4x_0)</f>
        <v>9279.82</v>
      </c>
      <c r="Q44" s="1"/>
      <c r="R44" s="5">
        <f t="shared" si="20"/>
        <v>0</v>
      </c>
      <c r="S44" s="1"/>
      <c r="T44" s="1">
        <f>SUM(OSRRefT22_4x_0)</f>
        <v>9100</v>
      </c>
      <c r="U44" s="1"/>
      <c r="V44" s="5">
        <f t="shared" si="21"/>
        <v>0</v>
      </c>
      <c r="W44" s="1"/>
      <c r="X44" s="1">
        <f t="shared" si="22"/>
        <v>179.81999999999971</v>
      </c>
      <c r="Y44" s="1"/>
      <c r="Z44" s="5">
        <f t="shared" si="23"/>
        <v>1.9760439560439529E-2</v>
      </c>
    </row>
    <row r="45" spans="1:26" s="24" customFormat="1" hidden="1" outlineLevel="2" x14ac:dyDescent="0.3">
      <c r="A45" s="27"/>
      <c r="B45" s="11" t="str">
        <f>CONCATENATE("          ", "6373", " - ", "MAINTENANCE CONTRACTS")</f>
        <v xml:space="preserve">          6373 - MAINTENANCE CONTRACTS</v>
      </c>
      <c r="C45" s="11"/>
      <c r="D45" s="7">
        <v>3721.3</v>
      </c>
      <c r="E45" s="2"/>
      <c r="F45" s="6">
        <f t="shared" si="16"/>
        <v>0</v>
      </c>
      <c r="G45" s="2"/>
      <c r="H45" s="7">
        <v>1500</v>
      </c>
      <c r="I45" s="2"/>
      <c r="J45" s="6">
        <f t="shared" si="17"/>
        <v>0</v>
      </c>
      <c r="K45" s="2"/>
      <c r="L45" s="7">
        <f t="shared" si="18"/>
        <v>2221.3000000000002</v>
      </c>
      <c r="M45" s="2"/>
      <c r="N45" s="6">
        <f t="shared" si="19"/>
        <v>1.4808666666666668</v>
      </c>
      <c r="O45" s="11"/>
      <c r="P45" s="7">
        <v>9206.98</v>
      </c>
      <c r="Q45" s="2"/>
      <c r="R45" s="6">
        <f t="shared" si="20"/>
        <v>0</v>
      </c>
      <c r="S45" s="2"/>
      <c r="T45" s="7">
        <v>9100</v>
      </c>
      <c r="U45" s="2"/>
      <c r="V45" s="6">
        <f t="shared" si="21"/>
        <v>0</v>
      </c>
      <c r="W45" s="2"/>
      <c r="X45" s="7">
        <f t="shared" si="22"/>
        <v>106.97999999999956</v>
      </c>
      <c r="Y45" s="2"/>
      <c r="Z45" s="6">
        <f t="shared" si="23"/>
        <v>1.1756043956043908E-2</v>
      </c>
    </row>
    <row r="46" spans="1:26" s="24" customFormat="1" hidden="1" outlineLevel="2" x14ac:dyDescent="0.3">
      <c r="A46" s="27"/>
      <c r="B46" s="11" t="str">
        <f>CONCATENATE("          ", "6375", " - ", "OUTSIDE REPAIRS &amp; MAINTENANCE")</f>
        <v xml:space="preserve">          6375 - OUTSIDE REPAIRS &amp; MAINTENANCE</v>
      </c>
      <c r="C46" s="11"/>
      <c r="D46" s="7"/>
      <c r="E46" s="2"/>
      <c r="F46" s="6">
        <f t="shared" si="16"/>
        <v>0</v>
      </c>
      <c r="G46" s="2"/>
      <c r="H46" s="7"/>
      <c r="I46" s="2"/>
      <c r="J46" s="6">
        <f t="shared" si="17"/>
        <v>0</v>
      </c>
      <c r="K46" s="2"/>
      <c r="L46" s="7">
        <f t="shared" si="18"/>
        <v>0</v>
      </c>
      <c r="M46" s="2"/>
      <c r="N46" s="6">
        <f t="shared" si="19"/>
        <v>0</v>
      </c>
      <c r="O46" s="11"/>
      <c r="P46" s="7">
        <v>72.84</v>
      </c>
      <c r="Q46" s="2"/>
      <c r="R46" s="6">
        <f t="shared" si="20"/>
        <v>0</v>
      </c>
      <c r="S46" s="2"/>
      <c r="T46" s="7"/>
      <c r="U46" s="2"/>
      <c r="V46" s="6">
        <f t="shared" si="21"/>
        <v>0</v>
      </c>
      <c r="W46" s="2"/>
      <c r="X46" s="7">
        <f t="shared" si="22"/>
        <v>72.84</v>
      </c>
      <c r="Y46" s="2"/>
      <c r="Z46" s="6">
        <f t="shared" si="23"/>
        <v>0</v>
      </c>
    </row>
    <row r="47" spans="1:26" s="28" customFormat="1" outlineLevel="1" collapsed="1" x14ac:dyDescent="0.3">
      <c r="A47" s="29"/>
      <c r="B47" s="14" t="str">
        <f>CONCATENATE("     ","Services                                          ")</f>
        <v xml:space="preserve">     Services                                          </v>
      </c>
      <c r="C47" s="14"/>
      <c r="D47" s="1">
        <f>SUM(OSRRefD22_5x_0)</f>
        <v>0</v>
      </c>
      <c r="E47" s="1"/>
      <c r="F47" s="5">
        <f t="shared" ref="F47:F52" si="24">IF(D$12=0,0,D47/D$12)</f>
        <v>0</v>
      </c>
      <c r="G47" s="1"/>
      <c r="H47" s="1">
        <f>SUM(OSRRefH22_5x_0)</f>
        <v>25</v>
      </c>
      <c r="I47" s="1"/>
      <c r="J47" s="5">
        <f t="shared" ref="J47:J52" si="25">IF(H$12=0,0,H47/H$12)</f>
        <v>0</v>
      </c>
      <c r="K47" s="1"/>
      <c r="L47" s="1">
        <f t="shared" ref="L47:L52" si="26">+D47-H47</f>
        <v>-25</v>
      </c>
      <c r="M47" s="1"/>
      <c r="N47" s="5">
        <f t="shared" ref="N47:N52" si="27">IF(H47=0,0,L47/H47)</f>
        <v>-1</v>
      </c>
      <c r="O47" s="14"/>
      <c r="P47" s="1">
        <f>SUM(OSRRefP22_5x_0)</f>
        <v>0</v>
      </c>
      <c r="Q47" s="1"/>
      <c r="R47" s="5">
        <f t="shared" ref="R47:R52" si="28">IF(P$12=0,0,P47/P$12)</f>
        <v>0</v>
      </c>
      <c r="S47" s="1"/>
      <c r="T47" s="1">
        <f>SUM(OSRRefT22_5x_0)</f>
        <v>175</v>
      </c>
      <c r="U47" s="1"/>
      <c r="V47" s="5">
        <f t="shared" ref="V47:V52" si="29">IF(T$12=0,0,T47/T$12)</f>
        <v>0</v>
      </c>
      <c r="W47" s="1"/>
      <c r="X47" s="1">
        <f t="shared" ref="X47:X52" si="30">+P47-T47</f>
        <v>-175</v>
      </c>
      <c r="Y47" s="1"/>
      <c r="Z47" s="5">
        <f t="shared" ref="Z47:Z52" si="31">IF(T47=0,0,X47/T47)</f>
        <v>-1</v>
      </c>
    </row>
    <row r="48" spans="1:26" s="24" customFormat="1" hidden="1" outlineLevel="2" x14ac:dyDescent="0.3">
      <c r="A48" s="27"/>
      <c r="B48" s="11" t="str">
        <f>CONCATENATE("          ", "6286", " - ", "LAUNDRY EXPENSE")</f>
        <v xml:space="preserve">          6286 - LAUNDRY EXPENSE</v>
      </c>
      <c r="C48" s="11"/>
      <c r="D48" s="7"/>
      <c r="E48" s="2"/>
      <c r="F48" s="6">
        <f t="shared" si="24"/>
        <v>0</v>
      </c>
      <c r="G48" s="2"/>
      <c r="H48" s="7">
        <v>25</v>
      </c>
      <c r="I48" s="2"/>
      <c r="J48" s="6">
        <f t="shared" si="25"/>
        <v>0</v>
      </c>
      <c r="K48" s="2"/>
      <c r="L48" s="7">
        <f t="shared" si="26"/>
        <v>-25</v>
      </c>
      <c r="M48" s="2"/>
      <c r="N48" s="6">
        <f t="shared" si="27"/>
        <v>-1</v>
      </c>
      <c r="O48" s="11"/>
      <c r="P48" s="7"/>
      <c r="Q48" s="2"/>
      <c r="R48" s="6">
        <f t="shared" si="28"/>
        <v>0</v>
      </c>
      <c r="S48" s="2"/>
      <c r="T48" s="7">
        <v>175</v>
      </c>
      <c r="U48" s="2"/>
      <c r="V48" s="6">
        <f t="shared" si="29"/>
        <v>0</v>
      </c>
      <c r="W48" s="2"/>
      <c r="X48" s="7">
        <f t="shared" si="30"/>
        <v>-175</v>
      </c>
      <c r="Y48" s="2"/>
      <c r="Z48" s="6">
        <f t="shared" si="31"/>
        <v>-1</v>
      </c>
    </row>
    <row r="49" spans="1:26" s="28" customFormat="1" outlineLevel="1" collapsed="1" x14ac:dyDescent="0.3">
      <c r="A49" s="29"/>
      <c r="B49" s="14" t="str">
        <f>CONCATENATE("     ","Supplies                                          ")</f>
        <v xml:space="preserve">     Supplies                                          </v>
      </c>
      <c r="C49" s="14"/>
      <c r="D49" s="1">
        <f>SUM(OSRRefD22_6x_0)</f>
        <v>0</v>
      </c>
      <c r="E49" s="1"/>
      <c r="F49" s="5">
        <f t="shared" si="24"/>
        <v>0</v>
      </c>
      <c r="G49" s="1"/>
      <c r="H49" s="1">
        <f>SUM(OSRRefH22_6x_0)</f>
        <v>25</v>
      </c>
      <c r="I49" s="1"/>
      <c r="J49" s="5">
        <f t="shared" si="25"/>
        <v>0</v>
      </c>
      <c r="K49" s="1"/>
      <c r="L49" s="1">
        <f t="shared" si="26"/>
        <v>-25</v>
      </c>
      <c r="M49" s="1"/>
      <c r="N49" s="5">
        <f t="shared" si="27"/>
        <v>-1</v>
      </c>
      <c r="O49" s="14"/>
      <c r="P49" s="1">
        <f>SUM(OSRRefP22_6x_0)</f>
        <v>236.29999999999998</v>
      </c>
      <c r="Q49" s="1"/>
      <c r="R49" s="5">
        <f t="shared" si="28"/>
        <v>0</v>
      </c>
      <c r="S49" s="1"/>
      <c r="T49" s="1">
        <f>SUM(OSRRefT22_6x_0)</f>
        <v>5175</v>
      </c>
      <c r="U49" s="1"/>
      <c r="V49" s="5">
        <f t="shared" si="29"/>
        <v>0</v>
      </c>
      <c r="W49" s="1"/>
      <c r="X49" s="1">
        <f t="shared" si="30"/>
        <v>-4938.7</v>
      </c>
      <c r="Y49" s="1"/>
      <c r="Z49" s="5">
        <f t="shared" si="31"/>
        <v>-0.95433816425120765</v>
      </c>
    </row>
    <row r="50" spans="1:26" s="24" customFormat="1" hidden="1" outlineLevel="2" x14ac:dyDescent="0.3">
      <c r="A50" s="27"/>
      <c r="B50" s="11" t="str">
        <f>CONCATENATE("          ", "6234", " - ", "EXPENDABLE SUPPLIES &amp; EQUIPMEN")</f>
        <v xml:space="preserve">          6234 - EXPENDABLE SUPPLIES &amp; EQUIPMEN</v>
      </c>
      <c r="C50" s="11"/>
      <c r="D50" s="7"/>
      <c r="E50" s="2"/>
      <c r="F50" s="6">
        <f t="shared" si="24"/>
        <v>0</v>
      </c>
      <c r="G50" s="2"/>
      <c r="H50" s="7"/>
      <c r="I50" s="2"/>
      <c r="J50" s="6">
        <f t="shared" si="25"/>
        <v>0</v>
      </c>
      <c r="K50" s="2"/>
      <c r="L50" s="7">
        <f t="shared" si="26"/>
        <v>0</v>
      </c>
      <c r="M50" s="2"/>
      <c r="N50" s="6">
        <f t="shared" si="27"/>
        <v>0</v>
      </c>
      <c r="O50" s="11"/>
      <c r="P50" s="7">
        <v>26.1</v>
      </c>
      <c r="Q50" s="2"/>
      <c r="R50" s="6">
        <f t="shared" si="28"/>
        <v>0</v>
      </c>
      <c r="S50" s="2"/>
      <c r="T50" s="7"/>
      <c r="U50" s="2"/>
      <c r="V50" s="6">
        <f t="shared" si="29"/>
        <v>0</v>
      </c>
      <c r="W50" s="2"/>
      <c r="X50" s="7">
        <f t="shared" si="30"/>
        <v>26.1</v>
      </c>
      <c r="Y50" s="2"/>
      <c r="Z50" s="6">
        <f t="shared" si="31"/>
        <v>0</v>
      </c>
    </row>
    <row r="51" spans="1:26" s="24" customFormat="1" hidden="1" outlineLevel="2" x14ac:dyDescent="0.3">
      <c r="A51" s="27"/>
      <c r="B51" s="11" t="str">
        <f>CONCATENATE("          ", "6241", " - ", "OFFICE EXPENSE")</f>
        <v xml:space="preserve">          6241 - OFFICE EXPENSE</v>
      </c>
      <c r="C51" s="11"/>
      <c r="D51" s="7"/>
      <c r="E51" s="2"/>
      <c r="F51" s="6">
        <f t="shared" si="24"/>
        <v>0</v>
      </c>
      <c r="G51" s="2"/>
      <c r="H51" s="7">
        <v>25</v>
      </c>
      <c r="I51" s="2"/>
      <c r="J51" s="6">
        <f t="shared" si="25"/>
        <v>0</v>
      </c>
      <c r="K51" s="2"/>
      <c r="L51" s="7">
        <f t="shared" si="26"/>
        <v>-25</v>
      </c>
      <c r="M51" s="2"/>
      <c r="N51" s="6">
        <f t="shared" si="27"/>
        <v>-1</v>
      </c>
      <c r="O51" s="11"/>
      <c r="P51" s="7">
        <v>210.2</v>
      </c>
      <c r="Q51" s="2"/>
      <c r="R51" s="6">
        <f t="shared" si="28"/>
        <v>0</v>
      </c>
      <c r="S51" s="2"/>
      <c r="T51" s="7">
        <v>175</v>
      </c>
      <c r="U51" s="2"/>
      <c r="V51" s="6">
        <f t="shared" si="29"/>
        <v>0</v>
      </c>
      <c r="W51" s="2"/>
      <c r="X51" s="7">
        <f t="shared" si="30"/>
        <v>35.199999999999989</v>
      </c>
      <c r="Y51" s="2"/>
      <c r="Z51" s="6">
        <f t="shared" si="31"/>
        <v>0.20114285714285707</v>
      </c>
    </row>
    <row r="52" spans="1:26" s="24" customFormat="1" hidden="1" outlineLevel="2" x14ac:dyDescent="0.3">
      <c r="A52" s="27"/>
      <c r="B52" s="11" t="str">
        <f>CONCATENATE("          ", "6247", " - ", "STORE SUPPLIES")</f>
        <v xml:space="preserve">          6247 - STORE SUPPLIES</v>
      </c>
      <c r="C52" s="11"/>
      <c r="D52" s="7"/>
      <c r="E52" s="2"/>
      <c r="F52" s="6">
        <f t="shared" si="24"/>
        <v>0</v>
      </c>
      <c r="G52" s="2"/>
      <c r="H52" s="7"/>
      <c r="I52" s="2"/>
      <c r="J52" s="6">
        <f t="shared" si="25"/>
        <v>0</v>
      </c>
      <c r="K52" s="2"/>
      <c r="L52" s="7">
        <f t="shared" si="26"/>
        <v>0</v>
      </c>
      <c r="M52" s="2"/>
      <c r="N52" s="6">
        <f t="shared" si="27"/>
        <v>0</v>
      </c>
      <c r="O52" s="11"/>
      <c r="P52" s="7"/>
      <c r="Q52" s="2"/>
      <c r="R52" s="6">
        <f t="shared" si="28"/>
        <v>0</v>
      </c>
      <c r="S52" s="2"/>
      <c r="T52" s="7">
        <v>5000</v>
      </c>
      <c r="U52" s="2"/>
      <c r="V52" s="6">
        <f t="shared" si="29"/>
        <v>0</v>
      </c>
      <c r="W52" s="2"/>
      <c r="X52" s="7">
        <f t="shared" si="30"/>
        <v>-5000</v>
      </c>
      <c r="Y52" s="2"/>
      <c r="Z52" s="6">
        <f t="shared" si="31"/>
        <v>-1</v>
      </c>
    </row>
    <row r="53" spans="1:26" s="28" customFormat="1" outlineLevel="1" collapsed="1" x14ac:dyDescent="0.3">
      <c r="A53" s="29"/>
      <c r="B53" s="14" t="str">
        <f>CONCATENATE("     ","Telephone/Data Lines                              ")</f>
        <v xml:space="preserve">     Telephone/Data Lines                              </v>
      </c>
      <c r="C53" s="14"/>
      <c r="D53" s="1">
        <f>SUM(OSRRefD22_7x_0)</f>
        <v>98</v>
      </c>
      <c r="E53" s="1"/>
      <c r="F53" s="5">
        <f t="shared" ref="F53:F54" si="32">IF(D$12=0,0,D53/D$12)</f>
        <v>0</v>
      </c>
      <c r="G53" s="1"/>
      <c r="H53" s="1">
        <f>SUM(OSRRefH22_7x_0)</f>
        <v>125</v>
      </c>
      <c r="I53" s="1"/>
      <c r="J53" s="5">
        <f t="shared" ref="J53:J54" si="33">IF(H$12=0,0,H53/H$12)</f>
        <v>0</v>
      </c>
      <c r="K53" s="1"/>
      <c r="L53" s="1">
        <f t="shared" ref="L53:L54" si="34">+D53-H53</f>
        <v>-27</v>
      </c>
      <c r="M53" s="1"/>
      <c r="N53" s="5">
        <f t="shared" ref="N53:N54" si="35">IF(H53=0,0,L53/H53)</f>
        <v>-0.216</v>
      </c>
      <c r="O53" s="14"/>
      <c r="P53" s="1">
        <f>SUM(OSRRefP22_7x_0)</f>
        <v>636</v>
      </c>
      <c r="Q53" s="1"/>
      <c r="R53" s="5">
        <f t="shared" ref="R53:R54" si="36">IF(P$12=0,0,P53/P$12)</f>
        <v>0</v>
      </c>
      <c r="S53" s="1"/>
      <c r="T53" s="1">
        <f>SUM(OSRRefT22_7x_0)</f>
        <v>875</v>
      </c>
      <c r="U53" s="1"/>
      <c r="V53" s="5">
        <f t="shared" ref="V53:V54" si="37">IF(T$12=0,0,T53/T$12)</f>
        <v>0</v>
      </c>
      <c r="W53" s="1"/>
      <c r="X53" s="1">
        <f t="shared" ref="X53:X54" si="38">+P53-T53</f>
        <v>-239</v>
      </c>
      <c r="Y53" s="1"/>
      <c r="Z53" s="5">
        <f t="shared" ref="Z53:Z54" si="39">IF(T53=0,0,X53/T53)</f>
        <v>-0.27314285714285713</v>
      </c>
    </row>
    <row r="54" spans="1:26" s="24" customFormat="1" hidden="1" outlineLevel="2" x14ac:dyDescent="0.3">
      <c r="A54" s="27"/>
      <c r="B54" s="11" t="str">
        <f>CONCATENATE("          ", "6309", " - ", "TELEPHONE")</f>
        <v xml:space="preserve">          6309 - TELEPHONE</v>
      </c>
      <c r="C54" s="11"/>
      <c r="D54" s="7">
        <v>98</v>
      </c>
      <c r="E54" s="2"/>
      <c r="F54" s="6">
        <f t="shared" si="32"/>
        <v>0</v>
      </c>
      <c r="G54" s="2"/>
      <c r="H54" s="7">
        <v>125</v>
      </c>
      <c r="I54" s="2"/>
      <c r="J54" s="6">
        <f t="shared" si="33"/>
        <v>0</v>
      </c>
      <c r="K54" s="2"/>
      <c r="L54" s="7">
        <f t="shared" si="34"/>
        <v>-27</v>
      </c>
      <c r="M54" s="2"/>
      <c r="N54" s="6">
        <f t="shared" si="35"/>
        <v>-0.216</v>
      </c>
      <c r="O54" s="11"/>
      <c r="P54" s="7">
        <v>636</v>
      </c>
      <c r="Q54" s="2"/>
      <c r="R54" s="6">
        <f t="shared" si="36"/>
        <v>0</v>
      </c>
      <c r="S54" s="2"/>
      <c r="T54" s="7">
        <v>875</v>
      </c>
      <c r="U54" s="2"/>
      <c r="V54" s="6">
        <f t="shared" si="37"/>
        <v>0</v>
      </c>
      <c r="W54" s="2"/>
      <c r="X54" s="7">
        <f t="shared" si="38"/>
        <v>-239</v>
      </c>
      <c r="Y54" s="2"/>
      <c r="Z54" s="6">
        <f t="shared" si="39"/>
        <v>-0.27314285714285713</v>
      </c>
    </row>
    <row r="55" spans="1:26" s="55" customFormat="1" x14ac:dyDescent="0.3">
      <c r="A55" s="36"/>
      <c r="B55" s="36"/>
      <c r="C55" s="36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3">
      <c r="A56" s="10"/>
      <c r="B56" s="25" t="s">
        <v>293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3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3">
      <c r="A58" s="10"/>
      <c r="B58" s="26" t="s">
        <v>277</v>
      </c>
      <c r="C58" s="26"/>
      <c r="D58" s="21">
        <f>+D16-D18+D56</f>
        <v>-12857.57</v>
      </c>
      <c r="E58" s="13"/>
      <c r="F58" s="22">
        <f>IF(D$12=0,0,D58/D$12)</f>
        <v>0</v>
      </c>
      <c r="G58" s="13"/>
      <c r="H58" s="21">
        <f>+H16-H18+H56</f>
        <v>-9013.7082250000003</v>
      </c>
      <c r="I58" s="13"/>
      <c r="J58" s="22">
        <f>IF(H$12=0,0,H58/H$12)</f>
        <v>0</v>
      </c>
      <c r="K58" s="15"/>
      <c r="L58" s="21">
        <f>+D58-H58</f>
        <v>-3843.8617749999994</v>
      </c>
      <c r="M58" s="15"/>
      <c r="N58" s="22">
        <f>IF(H58=0,0,L58/H58)</f>
        <v>0.42644621714499742</v>
      </c>
      <c r="O58" s="25"/>
      <c r="P58" s="21">
        <f>+P16-P18+P56</f>
        <v>-58590.859999999993</v>
      </c>
      <c r="Q58" s="13"/>
      <c r="R58" s="22">
        <f>IF(P$12=0,0,P58/P$12)</f>
        <v>0</v>
      </c>
      <c r="S58" s="13"/>
      <c r="T58" s="21">
        <f>+T16-T18+T56</f>
        <v>-60392.990995</v>
      </c>
      <c r="U58" s="13"/>
      <c r="V58" s="22">
        <f>IF(T$12=0,0,T58/T$12)</f>
        <v>0</v>
      </c>
      <c r="W58" s="15"/>
      <c r="X58" s="21">
        <f>+P58-T58</f>
        <v>1802.1309950000068</v>
      </c>
      <c r="Y58" s="15"/>
      <c r="Z58" s="22">
        <f>IF(T58=0,0,X58/T58)</f>
        <v>-2.9840068612419068E-2</v>
      </c>
    </row>
    <row r="59" spans="1:26" x14ac:dyDescent="0.3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3">
      <c r="A60" s="52"/>
      <c r="B60" s="10" t="s">
        <v>128</v>
      </c>
      <c r="C60" s="10"/>
      <c r="D60" s="4"/>
      <c r="E60" s="4"/>
      <c r="F60" s="12">
        <f>IF(D$12=0,0,D60/D$12)</f>
        <v>0</v>
      </c>
      <c r="G60" s="4"/>
      <c r="H60" s="4"/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/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3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" thickBot="1" x14ac:dyDescent="0.35">
      <c r="A62" s="10"/>
      <c r="B62" s="26" t="s">
        <v>126</v>
      </c>
      <c r="C62" s="26"/>
      <c r="D62" s="32">
        <f>+D58-D60</f>
        <v>-12857.57</v>
      </c>
      <c r="E62" s="13"/>
      <c r="F62" s="31">
        <f>IF(D$12=0,0,D62/D$12)</f>
        <v>0</v>
      </c>
      <c r="G62" s="13"/>
      <c r="H62" s="32">
        <f>+H58-H60</f>
        <v>-9013.7082250000003</v>
      </c>
      <c r="I62" s="13"/>
      <c r="J62" s="31">
        <f>IF(H$12=0,0,H62/H$12)</f>
        <v>0</v>
      </c>
      <c r="K62" s="15"/>
      <c r="L62" s="32">
        <f>D62-H62</f>
        <v>-3843.8617749999994</v>
      </c>
      <c r="M62" s="15"/>
      <c r="N62" s="31">
        <f>IF(H62=0,0,L62/H62)</f>
        <v>0.42644621714499742</v>
      </c>
      <c r="O62" s="25"/>
      <c r="P62" s="32">
        <f>+P58-P60</f>
        <v>-58590.859999999993</v>
      </c>
      <c r="Q62" s="13"/>
      <c r="R62" s="31">
        <f>IF(P$12=0,0,P62/P$12)</f>
        <v>0</v>
      </c>
      <c r="S62" s="13"/>
      <c r="T62" s="32">
        <f>+T58-T60</f>
        <v>-60392.990995</v>
      </c>
      <c r="U62" s="13"/>
      <c r="V62" s="31">
        <f>IF(T$12=0,0,T62/T$12)</f>
        <v>0</v>
      </c>
      <c r="W62" s="15"/>
      <c r="X62" s="32">
        <f>P62-T62</f>
        <v>1802.1309950000068</v>
      </c>
      <c r="Y62" s="15"/>
      <c r="Z62" s="31">
        <f>IF(T62=0,0,X62/T62)</f>
        <v>-2.9840068612419068E-2</v>
      </c>
    </row>
    <row r="63" spans="1:26" ht="15" thickTop="1" x14ac:dyDescent="0.3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3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" thickBot="1" x14ac:dyDescent="0.35">
      <c r="A65" s="10"/>
      <c r="B65" s="26" t="s">
        <v>294</v>
      </c>
      <c r="C65" s="26"/>
      <c r="D65" s="34">
        <f>SUM(D62:D64)</f>
        <v>-12857.57</v>
      </c>
      <c r="E65" s="13"/>
      <c r="F65" s="35">
        <f>IF(D$12=0,0,D65/D$12)</f>
        <v>0</v>
      </c>
      <c r="G65" s="13"/>
      <c r="H65" s="34">
        <f>SUM(H62:H64)</f>
        <v>-9013.7082250000003</v>
      </c>
      <c r="I65" s="13"/>
      <c r="J65" s="35">
        <f>IF(H$12=0,0,H65/H$12)</f>
        <v>0</v>
      </c>
      <c r="K65" s="15"/>
      <c r="L65" s="34">
        <f>+D65-H65</f>
        <v>-3843.8617749999994</v>
      </c>
      <c r="M65" s="15"/>
      <c r="N65" s="35">
        <f>IF(H65=0,0,L65/H65)</f>
        <v>0.42644621714499742</v>
      </c>
      <c r="O65" s="25"/>
      <c r="P65" s="34">
        <f>SUM(P62:P64)</f>
        <v>-58590.859999999993</v>
      </c>
      <c r="Q65" s="13"/>
      <c r="R65" s="35">
        <f>IF(P$12=0,0,P65/P$12)</f>
        <v>0</v>
      </c>
      <c r="S65" s="13"/>
      <c r="T65" s="34">
        <f>SUM(T62:T64)</f>
        <v>-60392.990995</v>
      </c>
      <c r="U65" s="13"/>
      <c r="V65" s="35">
        <f>IF(T$12=0,0,T65/T$12)</f>
        <v>0</v>
      </c>
      <c r="W65" s="15"/>
      <c r="X65" s="34">
        <f>+P65-T65</f>
        <v>1802.1309950000068</v>
      </c>
      <c r="Y65" s="15"/>
      <c r="Z65" s="35">
        <f>IF(T65=0,0,X65/T65)</f>
        <v>-2.9840068612419068E-2</v>
      </c>
    </row>
    <row r="66" spans="1:26" ht="15" thickTop="1" x14ac:dyDescent="0.3">
      <c r="A66" s="9"/>
      <c r="C66" s="9"/>
      <c r="D66" s="17"/>
      <c r="E66" s="17"/>
      <c r="G66" s="17"/>
      <c r="H66" s="17"/>
      <c r="I66" s="17"/>
      <c r="J66" s="43"/>
      <c r="K66" s="17"/>
      <c r="L66" s="17"/>
      <c r="M66" s="17"/>
      <c r="P66" s="17"/>
      <c r="Q66" s="17"/>
      <c r="R66" s="43"/>
      <c r="S66" s="17"/>
      <c r="T66" s="17"/>
      <c r="U66" s="17"/>
      <c r="V66" s="43"/>
      <c r="W66" s="17"/>
      <c r="X66" s="17"/>
    </row>
    <row r="67" spans="1:26" x14ac:dyDescent="0.3">
      <c r="A67" s="9"/>
      <c r="B67" s="53">
        <v>44604.019995405091</v>
      </c>
      <c r="D67" s="17"/>
      <c r="E67" s="17"/>
      <c r="G67" s="17"/>
      <c r="H67" s="17"/>
      <c r="I67" s="17"/>
      <c r="J67" s="43"/>
      <c r="K67" s="17"/>
      <c r="L67" s="17"/>
      <c r="M67" s="17"/>
      <c r="P67" s="17"/>
      <c r="Q67" s="17"/>
      <c r="R67" s="43"/>
      <c r="S67" s="17"/>
      <c r="T67" s="17"/>
      <c r="U67" s="17"/>
      <c r="V67" s="43"/>
      <c r="W67" s="17"/>
      <c r="X67" s="17"/>
    </row>
    <row r="68" spans="1:26" x14ac:dyDescent="0.3">
      <c r="A68" s="9"/>
      <c r="B68" s="63" t="s">
        <v>56</v>
      </c>
      <c r="D68" s="17"/>
      <c r="E68" s="17"/>
      <c r="G68" s="17"/>
      <c r="H68" s="17"/>
      <c r="I68" s="17"/>
      <c r="J68" s="43"/>
      <c r="K68" s="17"/>
      <c r="L68" s="17"/>
      <c r="M68" s="17"/>
      <c r="P68" s="17"/>
      <c r="Q68" s="17"/>
      <c r="R68" s="43"/>
      <c r="S68" s="17"/>
      <c r="T68" s="17"/>
      <c r="U68" s="17"/>
      <c r="V68" s="43"/>
      <c r="W68" s="17"/>
      <c r="X68" s="17"/>
    </row>
    <row r="69" spans="1:26" x14ac:dyDescent="0.3">
      <c r="A69" s="9"/>
      <c r="B69" s="58"/>
      <c r="D69" s="17"/>
      <c r="E69" s="17"/>
      <c r="G69" s="17"/>
      <c r="H69" s="17"/>
      <c r="I69" s="17"/>
      <c r="J69" s="43"/>
      <c r="K69" s="17"/>
      <c r="L69" s="17"/>
      <c r="M69" s="17"/>
      <c r="P69" s="17"/>
      <c r="Q69" s="17"/>
      <c r="R69" s="43"/>
      <c r="S69" s="17"/>
      <c r="T69" s="17"/>
      <c r="U69" s="17"/>
      <c r="V69" s="43"/>
      <c r="W69" s="17"/>
      <c r="X69" s="17"/>
    </row>
    <row r="70" spans="1:26" x14ac:dyDescent="0.3"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outlinePr summaryBelow="0" summaryRight="0"/>
  </sheetPr>
  <dimension ref="A2:Z6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","206", " - ", "Communications")</f>
        <v>Department 206 - Communications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6888.15</v>
      </c>
      <c r="E18" s="20"/>
      <c r="F18" s="33">
        <f t="shared" ref="F18:F28" si="0">IF(D$12=0,0,D18/D$12)</f>
        <v>0</v>
      </c>
      <c r="G18" s="20"/>
      <c r="H18" s="20">
        <f>SUM(OSRRefH22x_0)</f>
        <v>14579.94678461538</v>
      </c>
      <c r="I18" s="20"/>
      <c r="J18" s="33">
        <f t="shared" ref="J18:J28" si="1">IF(H$12=0,0,H18/H$12)</f>
        <v>0</v>
      </c>
      <c r="K18" s="4"/>
      <c r="L18" s="20">
        <f t="shared" ref="L18:L28" si="2">+D18-H18</f>
        <v>-7691.7967846153806</v>
      </c>
      <c r="M18" s="4"/>
      <c r="N18" s="33">
        <f t="shared" ref="N18:N28" si="3">IF(H18=0,0,L18/H18)</f>
        <v>-0.52756000404142012</v>
      </c>
      <c r="O18" s="10"/>
      <c r="P18" s="20">
        <f>SUM(OSRRefP22x_0)</f>
        <v>60888.26</v>
      </c>
      <c r="Q18" s="20"/>
      <c r="R18" s="33">
        <f t="shared" ref="R18:R28" si="4">IF(P$12=0,0,P18/P$12)</f>
        <v>0</v>
      </c>
      <c r="S18" s="20"/>
      <c r="T18" s="20">
        <f>SUM(OSRRefT22x_0)</f>
        <v>94823.59966461538</v>
      </c>
      <c r="U18" s="20"/>
      <c r="V18" s="33">
        <f t="shared" ref="V18:V28" si="5">IF(T$12=0,0,T18/T$12)</f>
        <v>0</v>
      </c>
      <c r="W18" s="4"/>
      <c r="X18" s="20">
        <f t="shared" ref="X18:X28" si="6">+P18-T18</f>
        <v>-33935.339664615378</v>
      </c>
      <c r="Y18" s="4"/>
      <c r="Z18" s="33">
        <f t="shared" ref="Z18:Z28" si="7">IF(T18=0,0,X18/T18)</f>
        <v>-0.35787862709960777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1531.66</v>
      </c>
      <c r="E19" s="1"/>
      <c r="F19" s="5">
        <f t="shared" si="0"/>
        <v>0</v>
      </c>
      <c r="G19" s="1"/>
      <c r="H19" s="1">
        <f>SUM(OSRRefH22_0x_0)</f>
        <v>2696.3467846153799</v>
      </c>
      <c r="I19" s="1"/>
      <c r="J19" s="5">
        <f t="shared" si="1"/>
        <v>0</v>
      </c>
      <c r="K19" s="1"/>
      <c r="L19" s="1">
        <f t="shared" si="2"/>
        <v>-1164.6867846153798</v>
      </c>
      <c r="M19" s="1"/>
      <c r="N19" s="5">
        <f t="shared" si="3"/>
        <v>-0.4319499224879994</v>
      </c>
      <c r="O19" s="14"/>
      <c r="P19" s="1">
        <f>SUM(OSRRefP22_0x_0)</f>
        <v>13163.349999999999</v>
      </c>
      <c r="Q19" s="1"/>
      <c r="R19" s="5">
        <f t="shared" si="4"/>
        <v>0</v>
      </c>
      <c r="S19" s="1"/>
      <c r="T19" s="1">
        <f>SUM(OSRRefT22_0x_0)</f>
        <v>17494.079664615379</v>
      </c>
      <c r="U19" s="1"/>
      <c r="V19" s="5">
        <f t="shared" si="5"/>
        <v>0</v>
      </c>
      <c r="W19" s="1"/>
      <c r="X19" s="1">
        <f t="shared" si="6"/>
        <v>-4330.7296646153809</v>
      </c>
      <c r="Y19" s="1"/>
      <c r="Z19" s="5">
        <f t="shared" si="7"/>
        <v>-0.24755401528066581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7">
        <v>393.74</v>
      </c>
      <c r="E20" s="2"/>
      <c r="F20" s="6">
        <f t="shared" si="0"/>
        <v>0</v>
      </c>
      <c r="G20" s="2"/>
      <c r="H20" s="7">
        <v>472.9554</v>
      </c>
      <c r="I20" s="2"/>
      <c r="J20" s="6">
        <f t="shared" si="1"/>
        <v>0</v>
      </c>
      <c r="K20" s="2"/>
      <c r="L20" s="7">
        <f t="shared" si="2"/>
        <v>-79.215399999999988</v>
      </c>
      <c r="M20" s="2"/>
      <c r="N20" s="6">
        <f t="shared" si="3"/>
        <v>-0.16749021155060284</v>
      </c>
      <c r="O20" s="11"/>
      <c r="P20" s="7">
        <v>2977.5</v>
      </c>
      <c r="Q20" s="2"/>
      <c r="R20" s="6">
        <f t="shared" si="4"/>
        <v>0</v>
      </c>
      <c r="S20" s="2"/>
      <c r="T20" s="7">
        <v>3569.0530800000001</v>
      </c>
      <c r="U20" s="2"/>
      <c r="V20" s="6">
        <f t="shared" si="5"/>
        <v>0</v>
      </c>
      <c r="W20" s="2"/>
      <c r="X20" s="7">
        <f t="shared" si="6"/>
        <v>-591.55308000000014</v>
      </c>
      <c r="Y20" s="2"/>
      <c r="Z20" s="6">
        <f t="shared" si="7"/>
        <v>-0.16574510570181827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66.33</v>
      </c>
      <c r="E21" s="2"/>
      <c r="F21" s="6">
        <f t="shared" si="0"/>
        <v>0</v>
      </c>
      <c r="G21" s="2"/>
      <c r="H21" s="7">
        <v>29.077999999999999</v>
      </c>
      <c r="I21" s="2"/>
      <c r="J21" s="6">
        <f t="shared" si="1"/>
        <v>0</v>
      </c>
      <c r="K21" s="2"/>
      <c r="L21" s="7">
        <f t="shared" si="2"/>
        <v>37.251999999999995</v>
      </c>
      <c r="M21" s="2"/>
      <c r="N21" s="6">
        <f t="shared" si="3"/>
        <v>1.2811059907834099</v>
      </c>
      <c r="O21" s="11"/>
      <c r="P21" s="7">
        <v>601.67999999999995</v>
      </c>
      <c r="Q21" s="2"/>
      <c r="R21" s="6">
        <f t="shared" si="4"/>
        <v>0</v>
      </c>
      <c r="S21" s="2"/>
      <c r="T21" s="7">
        <v>180.28360000000001</v>
      </c>
      <c r="U21" s="2"/>
      <c r="V21" s="6">
        <f t="shared" si="5"/>
        <v>0</v>
      </c>
      <c r="W21" s="2"/>
      <c r="X21" s="7">
        <f t="shared" si="6"/>
        <v>421.39639999999997</v>
      </c>
      <c r="Y21" s="2"/>
      <c r="Z21" s="6">
        <f t="shared" si="7"/>
        <v>2.3374083943298225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7">
        <v>39.83</v>
      </c>
      <c r="E22" s="2"/>
      <c r="F22" s="6">
        <f t="shared" si="0"/>
        <v>0</v>
      </c>
      <c r="G22" s="2"/>
      <c r="H22" s="7">
        <v>1594.61538461538</v>
      </c>
      <c r="I22" s="2"/>
      <c r="J22" s="6">
        <f t="shared" si="1"/>
        <v>0</v>
      </c>
      <c r="K22" s="2"/>
      <c r="L22" s="7">
        <f t="shared" si="2"/>
        <v>-1554.7853846153801</v>
      </c>
      <c r="M22" s="2"/>
      <c r="N22" s="6">
        <f t="shared" si="3"/>
        <v>-0.97502219006271107</v>
      </c>
      <c r="O22" s="11"/>
      <c r="P22" s="7">
        <v>4256.3</v>
      </c>
      <c r="Q22" s="2"/>
      <c r="R22" s="6">
        <f t="shared" si="4"/>
        <v>0</v>
      </c>
      <c r="S22" s="2"/>
      <c r="T22" s="7">
        <v>9886.6153846153793</v>
      </c>
      <c r="U22" s="2"/>
      <c r="V22" s="6">
        <f t="shared" si="5"/>
        <v>0</v>
      </c>
      <c r="W22" s="2"/>
      <c r="X22" s="7">
        <f t="shared" si="6"/>
        <v>-5630.3153846153791</v>
      </c>
      <c r="Y22" s="2"/>
      <c r="Z22" s="6">
        <f t="shared" si="7"/>
        <v>-0.56948866377231044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13.37</v>
      </c>
      <c r="E23" s="2"/>
      <c r="F23" s="6">
        <f t="shared" si="0"/>
        <v>0</v>
      </c>
      <c r="G23" s="2"/>
      <c r="H23" s="7">
        <v>19.698</v>
      </c>
      <c r="I23" s="2"/>
      <c r="J23" s="6">
        <f t="shared" si="1"/>
        <v>0</v>
      </c>
      <c r="K23" s="2"/>
      <c r="L23" s="7">
        <f t="shared" si="2"/>
        <v>-6.3280000000000012</v>
      </c>
      <c r="M23" s="2"/>
      <c r="N23" s="6">
        <f t="shared" si="3"/>
        <v>-0.32125088841506755</v>
      </c>
      <c r="O23" s="11"/>
      <c r="P23" s="7">
        <v>121.28</v>
      </c>
      <c r="Q23" s="2"/>
      <c r="R23" s="6">
        <f t="shared" si="4"/>
        <v>0</v>
      </c>
      <c r="S23" s="2"/>
      <c r="T23" s="7">
        <v>122.1276</v>
      </c>
      <c r="U23" s="2"/>
      <c r="V23" s="6">
        <f t="shared" si="5"/>
        <v>0</v>
      </c>
      <c r="W23" s="2"/>
      <c r="X23" s="7">
        <f t="shared" si="6"/>
        <v>-0.84759999999999991</v>
      </c>
      <c r="Y23" s="2"/>
      <c r="Z23" s="6">
        <f t="shared" si="7"/>
        <v>-6.9402821311480775E-3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0</v>
      </c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/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0</v>
      </c>
      <c r="Y24" s="2"/>
      <c r="Z24" s="6">
        <f t="shared" si="7"/>
        <v>0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7">
        <v>344.46</v>
      </c>
      <c r="E26" s="2"/>
      <c r="F26" s="6">
        <f t="shared" si="0"/>
        <v>0</v>
      </c>
      <c r="G26" s="2"/>
      <c r="H26" s="7">
        <v>185.4</v>
      </c>
      <c r="I26" s="2"/>
      <c r="J26" s="6">
        <f t="shared" si="1"/>
        <v>0</v>
      </c>
      <c r="K26" s="2"/>
      <c r="L26" s="7">
        <f t="shared" si="2"/>
        <v>159.05999999999997</v>
      </c>
      <c r="M26" s="2"/>
      <c r="N26" s="6">
        <f t="shared" si="3"/>
        <v>0.85792880258899662</v>
      </c>
      <c r="O26" s="11"/>
      <c r="P26" s="7">
        <v>2164.48</v>
      </c>
      <c r="Q26" s="2"/>
      <c r="R26" s="6">
        <f t="shared" si="4"/>
        <v>0</v>
      </c>
      <c r="S26" s="2"/>
      <c r="T26" s="7">
        <v>1149.48</v>
      </c>
      <c r="U26" s="2"/>
      <c r="V26" s="6">
        <f t="shared" si="5"/>
        <v>0</v>
      </c>
      <c r="W26" s="2"/>
      <c r="X26" s="7">
        <f t="shared" si="6"/>
        <v>1015</v>
      </c>
      <c r="Y26" s="2"/>
      <c r="Z26" s="6">
        <f t="shared" si="7"/>
        <v>0.88300796882068411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7">
        <v>539.66999999999996</v>
      </c>
      <c r="E27" s="2"/>
      <c r="F27" s="6">
        <f t="shared" si="0"/>
        <v>0</v>
      </c>
      <c r="G27" s="2"/>
      <c r="H27" s="7">
        <v>219.6</v>
      </c>
      <c r="I27" s="2"/>
      <c r="J27" s="6">
        <f t="shared" si="1"/>
        <v>0</v>
      </c>
      <c r="K27" s="2"/>
      <c r="L27" s="7">
        <f t="shared" si="2"/>
        <v>320.06999999999994</v>
      </c>
      <c r="M27" s="2"/>
      <c r="N27" s="6">
        <f t="shared" si="3"/>
        <v>1.4575136612021855</v>
      </c>
      <c r="O27" s="11"/>
      <c r="P27" s="7">
        <v>1996.49</v>
      </c>
      <c r="Q27" s="2"/>
      <c r="R27" s="6">
        <f t="shared" si="4"/>
        <v>0</v>
      </c>
      <c r="S27" s="2"/>
      <c r="T27" s="7">
        <v>1361.52</v>
      </c>
      <c r="U27" s="2"/>
      <c r="V27" s="6">
        <f t="shared" si="5"/>
        <v>0</v>
      </c>
      <c r="W27" s="2"/>
      <c r="X27" s="7">
        <f t="shared" si="6"/>
        <v>634.97</v>
      </c>
      <c r="Y27" s="2"/>
      <c r="Z27" s="6">
        <f t="shared" si="7"/>
        <v>0.46636847053293379</v>
      </c>
    </row>
    <row r="28" spans="1:26" s="24" customFormat="1" hidden="1" outlineLevel="2" x14ac:dyDescent="0.3">
      <c r="A28" s="27"/>
      <c r="B28" s="11" t="str">
        <f>CONCATENATE("          ", "6156", " - ", "EMPLOYEE MEALS")</f>
        <v xml:space="preserve">          6156 - EMPLOYEE MEALS</v>
      </c>
      <c r="C28" s="11"/>
      <c r="D28" s="7">
        <v>134.26</v>
      </c>
      <c r="E28" s="2"/>
      <c r="F28" s="6">
        <f t="shared" si="0"/>
        <v>0</v>
      </c>
      <c r="G28" s="2"/>
      <c r="H28" s="7">
        <v>175</v>
      </c>
      <c r="I28" s="2"/>
      <c r="J28" s="6">
        <f t="shared" si="1"/>
        <v>0</v>
      </c>
      <c r="K28" s="2"/>
      <c r="L28" s="7">
        <f t="shared" si="2"/>
        <v>-40.740000000000009</v>
      </c>
      <c r="M28" s="2"/>
      <c r="N28" s="6">
        <f t="shared" si="3"/>
        <v>-0.23280000000000006</v>
      </c>
      <c r="O28" s="11"/>
      <c r="P28" s="7">
        <v>1045.6199999999999</v>
      </c>
      <c r="Q28" s="2"/>
      <c r="R28" s="6">
        <f t="shared" si="4"/>
        <v>0</v>
      </c>
      <c r="S28" s="2"/>
      <c r="T28" s="7">
        <v>1225</v>
      </c>
      <c r="U28" s="2"/>
      <c r="V28" s="6">
        <f t="shared" si="5"/>
        <v>0</v>
      </c>
      <c r="W28" s="2"/>
      <c r="X28" s="7">
        <f t="shared" si="6"/>
        <v>-179.38000000000011</v>
      </c>
      <c r="Y28" s="2"/>
      <c r="Z28" s="6">
        <f t="shared" si="7"/>
        <v>-0.14643265306122458</v>
      </c>
    </row>
    <row r="29" spans="1:26" s="28" customFormat="1" outlineLevel="1" collapsed="1" x14ac:dyDescent="0.3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5146.9799999999996</v>
      </c>
      <c r="E29" s="1"/>
      <c r="F29" s="5">
        <f t="shared" ref="F29:F39" si="8">IF(D$12=0,0,D29/D$12)</f>
        <v>0</v>
      </c>
      <c r="G29" s="1"/>
      <c r="H29" s="1">
        <f>SUM(OSRRefH22_1x_0)</f>
        <v>9194.6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-4047.6200000000008</v>
      </c>
      <c r="M29" s="1"/>
      <c r="N29" s="5">
        <f t="shared" ref="N29:N39" si="11">IF(H29=0,0,L29/H29)</f>
        <v>-0.44021708394057391</v>
      </c>
      <c r="O29" s="14"/>
      <c r="P29" s="1">
        <f>SUM(OSRRefP22_1x_0)</f>
        <v>46059.960000000006</v>
      </c>
      <c r="Q29" s="1"/>
      <c r="R29" s="5">
        <f t="shared" ref="R29:R39" si="12">IF(P$12=0,0,P29/P$12)</f>
        <v>0</v>
      </c>
      <c r="S29" s="1"/>
      <c r="T29" s="1">
        <f>SUM(OSRRefT22_1x_0)</f>
        <v>57006.52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-10946.55999999999</v>
      </c>
      <c r="Y29" s="1"/>
      <c r="Z29" s="5">
        <f t="shared" ref="Z29:Z39" si="15">IF(T29=0,0,X29/T29)</f>
        <v>-0.19202294755056074</v>
      </c>
    </row>
    <row r="30" spans="1:26" s="24" customFormat="1" hidden="1" outlineLevel="2" x14ac:dyDescent="0.3">
      <c r="A30" s="27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3">
      <c r="A31" s="27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3">
      <c r="A32" s="27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3">
      <c r="A33" s="27"/>
      <c r="B33" s="11" t="str">
        <f>CONCATENATE("          ", "6004", " - ", "STAFF HOURLY")</f>
        <v xml:space="preserve">          6004 - STAFF HOURLY</v>
      </c>
      <c r="C33" s="11"/>
      <c r="D33" s="7">
        <v>5146.9799999999996</v>
      </c>
      <c r="E33" s="2"/>
      <c r="F33" s="6">
        <f t="shared" si="8"/>
        <v>0</v>
      </c>
      <c r="G33" s="2"/>
      <c r="H33" s="7">
        <v>5994.6</v>
      </c>
      <c r="I33" s="2"/>
      <c r="J33" s="6">
        <f t="shared" si="9"/>
        <v>0</v>
      </c>
      <c r="K33" s="2"/>
      <c r="L33" s="7">
        <f t="shared" si="10"/>
        <v>-847.6200000000008</v>
      </c>
      <c r="M33" s="2"/>
      <c r="N33" s="6">
        <f t="shared" si="11"/>
        <v>-0.14139725753177873</v>
      </c>
      <c r="O33" s="11"/>
      <c r="P33" s="7">
        <v>34584.76</v>
      </c>
      <c r="Q33" s="2"/>
      <c r="R33" s="6">
        <f t="shared" si="12"/>
        <v>0</v>
      </c>
      <c r="S33" s="2"/>
      <c r="T33" s="7">
        <v>37166.519999999997</v>
      </c>
      <c r="U33" s="2"/>
      <c r="V33" s="6">
        <f t="shared" si="13"/>
        <v>0</v>
      </c>
      <c r="W33" s="2"/>
      <c r="X33" s="7">
        <f t="shared" si="14"/>
        <v>-2581.7599999999948</v>
      </c>
      <c r="Y33" s="2"/>
      <c r="Z33" s="6">
        <f t="shared" si="15"/>
        <v>-6.946466873949983E-2</v>
      </c>
    </row>
    <row r="34" spans="1:26" s="24" customFormat="1" hidden="1" outlineLevel="2" x14ac:dyDescent="0.3">
      <c r="A34" s="27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3">
      <c r="A35" s="27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3">
      <c r="A36" s="27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>
        <v>0</v>
      </c>
      <c r="Q36" s="2"/>
      <c r="R36" s="6">
        <f t="shared" si="12"/>
        <v>0</v>
      </c>
      <c r="S36" s="2"/>
      <c r="T36" s="7">
        <v>8320</v>
      </c>
      <c r="U36" s="2"/>
      <c r="V36" s="6">
        <f t="shared" si="13"/>
        <v>0</v>
      </c>
      <c r="W36" s="2"/>
      <c r="X36" s="7">
        <f t="shared" si="14"/>
        <v>-8320</v>
      </c>
      <c r="Y36" s="2"/>
      <c r="Z36" s="6">
        <f t="shared" si="15"/>
        <v>-1</v>
      </c>
    </row>
    <row r="37" spans="1:26" s="24" customFormat="1" hidden="1" outlineLevel="2" x14ac:dyDescent="0.3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3200</v>
      </c>
      <c r="I37" s="2"/>
      <c r="J37" s="6">
        <f t="shared" si="9"/>
        <v>0</v>
      </c>
      <c r="K37" s="2"/>
      <c r="L37" s="7">
        <f t="shared" si="10"/>
        <v>-3200</v>
      </c>
      <c r="M37" s="2"/>
      <c r="N37" s="6">
        <f t="shared" si="11"/>
        <v>-1</v>
      </c>
      <c r="O37" s="11"/>
      <c r="P37" s="7">
        <v>11475.2</v>
      </c>
      <c r="Q37" s="2"/>
      <c r="R37" s="6">
        <f t="shared" si="12"/>
        <v>0</v>
      </c>
      <c r="S37" s="2"/>
      <c r="T37" s="7">
        <v>11520</v>
      </c>
      <c r="U37" s="2"/>
      <c r="V37" s="6">
        <f t="shared" si="13"/>
        <v>0</v>
      </c>
      <c r="W37" s="2"/>
      <c r="X37" s="7">
        <f t="shared" si="14"/>
        <v>-44.799999999999272</v>
      </c>
      <c r="Y37" s="2"/>
      <c r="Z37" s="6">
        <f t="shared" si="15"/>
        <v>-3.8888888888888259E-3</v>
      </c>
    </row>
    <row r="38" spans="1:26" s="24" customFormat="1" hidden="1" outlineLevel="2" x14ac:dyDescent="0.3">
      <c r="A38" s="27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3">
      <c r="A39" s="27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3">
      <c r="A40" s="29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173.21</v>
      </c>
      <c r="E40" s="1"/>
      <c r="F40" s="5">
        <f t="shared" ref="F40:F46" si="16">IF(D$12=0,0,D40/D$12)</f>
        <v>0</v>
      </c>
      <c r="G40" s="1"/>
      <c r="H40" s="1">
        <f>SUM(OSRRefH22_2x_0)</f>
        <v>417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-243.79</v>
      </c>
      <c r="M40" s="1"/>
      <c r="N40" s="5">
        <f t="shared" ref="N40:N46" si="19">IF(H40=0,0,L40/H40)</f>
        <v>-0.58462829736211031</v>
      </c>
      <c r="O40" s="14"/>
      <c r="P40" s="1">
        <f>SUM(OSRRefP22_2x_0)</f>
        <v>1266.07</v>
      </c>
      <c r="Q40" s="1"/>
      <c r="R40" s="5">
        <f t="shared" ref="R40:R46" si="20">IF(P$12=0,0,P40/P$12)</f>
        <v>0</v>
      </c>
      <c r="S40" s="1"/>
      <c r="T40" s="1">
        <f>SUM(OSRRefT22_2x_0)</f>
        <v>2919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-1652.93</v>
      </c>
      <c r="Y40" s="1"/>
      <c r="Z40" s="5">
        <f t="shared" ref="Z40:Z46" si="23">IF(T40=0,0,X40/T40)</f>
        <v>-0.56626584446728334</v>
      </c>
    </row>
    <row r="41" spans="1:26" s="24" customFormat="1" hidden="1" outlineLevel="2" x14ac:dyDescent="0.3">
      <c r="A41" s="27"/>
      <c r="B41" s="11" t="str">
        <f>CONCATENATE("          ", "6362", " - ", "ADVERTISING EXPENSE")</f>
        <v xml:space="preserve">          6362 - ADVERTISING EXPENSE</v>
      </c>
      <c r="C41" s="11"/>
      <c r="D41" s="7">
        <v>173.21</v>
      </c>
      <c r="E41" s="2"/>
      <c r="F41" s="6">
        <f t="shared" si="16"/>
        <v>0</v>
      </c>
      <c r="G41" s="2"/>
      <c r="H41" s="7">
        <v>417</v>
      </c>
      <c r="I41" s="2"/>
      <c r="J41" s="6">
        <f t="shared" si="17"/>
        <v>0</v>
      </c>
      <c r="K41" s="2"/>
      <c r="L41" s="7">
        <f t="shared" si="18"/>
        <v>-243.79</v>
      </c>
      <c r="M41" s="2"/>
      <c r="N41" s="6">
        <f t="shared" si="19"/>
        <v>-0.58462829736211031</v>
      </c>
      <c r="O41" s="11"/>
      <c r="P41" s="7">
        <v>1266.07</v>
      </c>
      <c r="Q41" s="2"/>
      <c r="R41" s="6">
        <f t="shared" si="20"/>
        <v>0</v>
      </c>
      <c r="S41" s="2"/>
      <c r="T41" s="7">
        <v>2919</v>
      </c>
      <c r="U41" s="2"/>
      <c r="V41" s="6">
        <f t="shared" si="21"/>
        <v>0</v>
      </c>
      <c r="W41" s="2"/>
      <c r="X41" s="7">
        <f t="shared" si="22"/>
        <v>-1652.93</v>
      </c>
      <c r="Y41" s="2"/>
      <c r="Z41" s="6">
        <f t="shared" si="23"/>
        <v>-0.56626584446728334</v>
      </c>
    </row>
    <row r="42" spans="1:26" s="28" customFormat="1" outlineLevel="1" collapsed="1" x14ac:dyDescent="0.3">
      <c r="A42" s="29"/>
      <c r="B42" s="14" t="str">
        <f>CONCATENATE("     ","Employees' Appreciation                           ")</f>
        <v xml:space="preserve">     Employees' Appreciation                           </v>
      </c>
      <c r="C42" s="14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4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500</v>
      </c>
      <c r="U42" s="1"/>
      <c r="V42" s="5">
        <f t="shared" si="21"/>
        <v>0</v>
      </c>
      <c r="W42" s="1"/>
      <c r="X42" s="1">
        <f t="shared" si="22"/>
        <v>-500</v>
      </c>
      <c r="Y42" s="1"/>
      <c r="Z42" s="5">
        <f t="shared" si="23"/>
        <v>-1</v>
      </c>
    </row>
    <row r="43" spans="1:26" s="24" customFormat="1" hidden="1" outlineLevel="2" x14ac:dyDescent="0.3">
      <c r="A43" s="27"/>
      <c r="B43" s="11" t="str">
        <f>CONCATENATE("          ", "6277", " - ", "EMPLOYEE APPRECIATION")</f>
        <v xml:space="preserve">          6277 - EMPLOYEE APPRECIATION</v>
      </c>
      <c r="C43" s="11"/>
      <c r="D43" s="7"/>
      <c r="E43" s="2"/>
      <c r="F43" s="6">
        <f t="shared" si="16"/>
        <v>0</v>
      </c>
      <c r="G43" s="2"/>
      <c r="H43" s="7"/>
      <c r="I43" s="2"/>
      <c r="J43" s="6">
        <f t="shared" si="17"/>
        <v>0</v>
      </c>
      <c r="K43" s="2"/>
      <c r="L43" s="7">
        <f t="shared" si="18"/>
        <v>0</v>
      </c>
      <c r="M43" s="2"/>
      <c r="N43" s="6">
        <f t="shared" si="19"/>
        <v>0</v>
      </c>
      <c r="O43" s="11"/>
      <c r="P43" s="7"/>
      <c r="Q43" s="2"/>
      <c r="R43" s="6">
        <f t="shared" si="20"/>
        <v>0</v>
      </c>
      <c r="S43" s="2"/>
      <c r="T43" s="7">
        <v>500</v>
      </c>
      <c r="U43" s="2"/>
      <c r="V43" s="6">
        <f t="shared" si="21"/>
        <v>0</v>
      </c>
      <c r="W43" s="2"/>
      <c r="X43" s="7">
        <f t="shared" si="22"/>
        <v>-500</v>
      </c>
      <c r="Y43" s="2"/>
      <c r="Z43" s="6">
        <f t="shared" si="23"/>
        <v>-1</v>
      </c>
    </row>
    <row r="44" spans="1:26" s="28" customFormat="1" outlineLevel="1" collapsed="1" x14ac:dyDescent="0.3">
      <c r="A44" s="29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1600</v>
      </c>
      <c r="I44" s="1"/>
      <c r="J44" s="5">
        <f t="shared" si="17"/>
        <v>0</v>
      </c>
      <c r="K44" s="1"/>
      <c r="L44" s="1">
        <f t="shared" si="18"/>
        <v>-1600</v>
      </c>
      <c r="M44" s="1"/>
      <c r="N44" s="5">
        <f t="shared" si="19"/>
        <v>-1</v>
      </c>
      <c r="O44" s="14"/>
      <c r="P44" s="1">
        <f>SUM(OSRRefP22_4x_0)</f>
        <v>63.36</v>
      </c>
      <c r="Q44" s="1"/>
      <c r="R44" s="5">
        <f t="shared" si="20"/>
        <v>0</v>
      </c>
      <c r="S44" s="1"/>
      <c r="T44" s="1">
        <f>SUM(OSRRefT22_4x_0)</f>
        <v>11200</v>
      </c>
      <c r="U44" s="1"/>
      <c r="V44" s="5">
        <f t="shared" si="21"/>
        <v>0</v>
      </c>
      <c r="W44" s="1"/>
      <c r="X44" s="1">
        <f t="shared" si="22"/>
        <v>-11136.64</v>
      </c>
      <c r="Y44" s="1"/>
      <c r="Z44" s="5">
        <f t="shared" si="23"/>
        <v>-0.99434285714285708</v>
      </c>
    </row>
    <row r="45" spans="1:26" s="24" customFormat="1" hidden="1" outlineLevel="2" x14ac:dyDescent="0.3">
      <c r="A45" s="27"/>
      <c r="B45" s="11" t="str">
        <f>CONCATENATE("          ", "6371", " - ", "COMPUTER SOFTWARE MAINTENANCE")</f>
        <v xml:space="preserve">          6371 - COMPUTER SOFTWARE MAINTENANCE</v>
      </c>
      <c r="C45" s="11"/>
      <c r="D45" s="7"/>
      <c r="E45" s="2"/>
      <c r="F45" s="6">
        <f t="shared" si="16"/>
        <v>0</v>
      </c>
      <c r="G45" s="2"/>
      <c r="H45" s="7">
        <v>1600</v>
      </c>
      <c r="I45" s="2"/>
      <c r="J45" s="6">
        <f t="shared" si="17"/>
        <v>0</v>
      </c>
      <c r="K45" s="2"/>
      <c r="L45" s="7">
        <f t="shared" si="18"/>
        <v>-1600</v>
      </c>
      <c r="M45" s="2"/>
      <c r="N45" s="6">
        <f t="shared" si="19"/>
        <v>-1</v>
      </c>
      <c r="O45" s="11"/>
      <c r="P45" s="7"/>
      <c r="Q45" s="2"/>
      <c r="R45" s="6">
        <f t="shared" si="20"/>
        <v>0</v>
      </c>
      <c r="S45" s="2"/>
      <c r="T45" s="7">
        <v>11200</v>
      </c>
      <c r="U45" s="2"/>
      <c r="V45" s="6">
        <f t="shared" si="21"/>
        <v>0</v>
      </c>
      <c r="W45" s="2"/>
      <c r="X45" s="7">
        <f t="shared" si="22"/>
        <v>-11200</v>
      </c>
      <c r="Y45" s="2"/>
      <c r="Z45" s="6">
        <f t="shared" si="23"/>
        <v>-1</v>
      </c>
    </row>
    <row r="46" spans="1:26" s="24" customFormat="1" hidden="1" outlineLevel="2" x14ac:dyDescent="0.3">
      <c r="A46" s="27"/>
      <c r="B46" s="11" t="str">
        <f>CONCATENATE("          ", "6375", " - ", "OUTSIDE REPAIRS &amp; MAINTENANCE")</f>
        <v xml:space="preserve">          6375 - OUTSIDE REPAIRS &amp; MAINTENANCE</v>
      </c>
      <c r="C46" s="11"/>
      <c r="D46" s="7"/>
      <c r="E46" s="2"/>
      <c r="F46" s="6">
        <f t="shared" si="16"/>
        <v>0</v>
      </c>
      <c r="G46" s="2"/>
      <c r="H46" s="7"/>
      <c r="I46" s="2"/>
      <c r="J46" s="6">
        <f t="shared" si="17"/>
        <v>0</v>
      </c>
      <c r="K46" s="2"/>
      <c r="L46" s="7">
        <f t="shared" si="18"/>
        <v>0</v>
      </c>
      <c r="M46" s="2"/>
      <c r="N46" s="6">
        <f t="shared" si="19"/>
        <v>0</v>
      </c>
      <c r="O46" s="11"/>
      <c r="P46" s="7">
        <v>63.36</v>
      </c>
      <c r="Q46" s="2"/>
      <c r="R46" s="6">
        <f t="shared" si="20"/>
        <v>0</v>
      </c>
      <c r="S46" s="2"/>
      <c r="T46" s="7"/>
      <c r="U46" s="2"/>
      <c r="V46" s="6">
        <f t="shared" si="21"/>
        <v>0</v>
      </c>
      <c r="W46" s="2"/>
      <c r="X46" s="7">
        <f t="shared" si="22"/>
        <v>63.36</v>
      </c>
      <c r="Y46" s="2"/>
      <c r="Z46" s="6">
        <f t="shared" si="23"/>
        <v>0</v>
      </c>
    </row>
    <row r="47" spans="1:26" s="28" customFormat="1" outlineLevel="1" collapsed="1" x14ac:dyDescent="0.3">
      <c r="A47" s="29"/>
      <c r="B47" s="14" t="str">
        <f>CONCATENATE("     ","Supplies                                          ")</f>
        <v xml:space="preserve">     Supplies                                          </v>
      </c>
      <c r="C47" s="14"/>
      <c r="D47" s="1">
        <f>SUM(OSRRefD22_5x_0)</f>
        <v>0</v>
      </c>
      <c r="E47" s="1"/>
      <c r="F47" s="5">
        <f t="shared" ref="F47:F51" si="24">IF(D$12=0,0,D47/D$12)</f>
        <v>0</v>
      </c>
      <c r="G47" s="1"/>
      <c r="H47" s="1">
        <f>SUM(OSRRefH22_5x_0)</f>
        <v>600</v>
      </c>
      <c r="I47" s="1"/>
      <c r="J47" s="5">
        <f t="shared" ref="J47:J51" si="25">IF(H$12=0,0,H47/H$12)</f>
        <v>0</v>
      </c>
      <c r="K47" s="1"/>
      <c r="L47" s="1">
        <f t="shared" ref="L47:L51" si="26">+D47-H47</f>
        <v>-600</v>
      </c>
      <c r="M47" s="1"/>
      <c r="N47" s="5">
        <f t="shared" ref="N47:N51" si="27">IF(H47=0,0,L47/H47)</f>
        <v>-1</v>
      </c>
      <c r="O47" s="14"/>
      <c r="P47" s="1">
        <f>SUM(OSRRefP22_5x_0)</f>
        <v>11.12</v>
      </c>
      <c r="Q47" s="1"/>
      <c r="R47" s="5">
        <f t="shared" ref="R47:R51" si="28">IF(P$12=0,0,P47/P$12)</f>
        <v>0</v>
      </c>
      <c r="S47" s="1"/>
      <c r="T47" s="1">
        <f>SUM(OSRRefT22_5x_0)</f>
        <v>4200</v>
      </c>
      <c r="U47" s="1"/>
      <c r="V47" s="5">
        <f t="shared" ref="V47:V51" si="29">IF(T$12=0,0,T47/T$12)</f>
        <v>0</v>
      </c>
      <c r="W47" s="1"/>
      <c r="X47" s="1">
        <f t="shared" ref="X47:X51" si="30">+P47-T47</f>
        <v>-4188.88</v>
      </c>
      <c r="Y47" s="1"/>
      <c r="Z47" s="5">
        <f t="shared" ref="Z47:Z51" si="31">IF(T47=0,0,X47/T47)</f>
        <v>-0.99735238095238099</v>
      </c>
    </row>
    <row r="48" spans="1:26" s="24" customFormat="1" hidden="1" outlineLevel="2" x14ac:dyDescent="0.3">
      <c r="A48" s="27"/>
      <c r="B48" s="11" t="str">
        <f>CONCATENATE("          ", "6241", " - ", "OFFICE EXPENSE")</f>
        <v xml:space="preserve">          6241 - OFFICE EXPENSE</v>
      </c>
      <c r="C48" s="11"/>
      <c r="D48" s="7"/>
      <c r="E48" s="2"/>
      <c r="F48" s="6">
        <f t="shared" si="24"/>
        <v>0</v>
      </c>
      <c r="G48" s="2"/>
      <c r="H48" s="7">
        <v>600</v>
      </c>
      <c r="I48" s="2"/>
      <c r="J48" s="6">
        <f t="shared" si="25"/>
        <v>0</v>
      </c>
      <c r="K48" s="2"/>
      <c r="L48" s="7">
        <f t="shared" si="26"/>
        <v>-600</v>
      </c>
      <c r="M48" s="2"/>
      <c r="N48" s="6">
        <f t="shared" si="27"/>
        <v>-1</v>
      </c>
      <c r="O48" s="11"/>
      <c r="P48" s="7">
        <v>11.12</v>
      </c>
      <c r="Q48" s="2"/>
      <c r="R48" s="6">
        <f t="shared" si="28"/>
        <v>0</v>
      </c>
      <c r="S48" s="2"/>
      <c r="T48" s="7">
        <v>4200</v>
      </c>
      <c r="U48" s="2"/>
      <c r="V48" s="6">
        <f t="shared" si="29"/>
        <v>0</v>
      </c>
      <c r="W48" s="2"/>
      <c r="X48" s="7">
        <f t="shared" si="30"/>
        <v>-4188.88</v>
      </c>
      <c r="Y48" s="2"/>
      <c r="Z48" s="6">
        <f t="shared" si="31"/>
        <v>-0.99735238095238099</v>
      </c>
    </row>
    <row r="49" spans="1:26" s="28" customFormat="1" outlineLevel="1" collapsed="1" x14ac:dyDescent="0.3">
      <c r="A49" s="29"/>
      <c r="B49" s="14" t="str">
        <f>CONCATENATE("     ","Telephone/Data Lines                              ")</f>
        <v xml:space="preserve">     Telephone/Data Lines                              </v>
      </c>
      <c r="C49" s="14"/>
      <c r="D49" s="1">
        <f>SUM(OSRRefD22_6x_0)</f>
        <v>36.299999999999997</v>
      </c>
      <c r="E49" s="1"/>
      <c r="F49" s="5">
        <f t="shared" si="24"/>
        <v>0</v>
      </c>
      <c r="G49" s="1"/>
      <c r="H49" s="1">
        <f>SUM(OSRRefH22_6x_0)</f>
        <v>72</v>
      </c>
      <c r="I49" s="1"/>
      <c r="J49" s="5">
        <f t="shared" si="25"/>
        <v>0</v>
      </c>
      <c r="K49" s="1"/>
      <c r="L49" s="1">
        <f t="shared" si="26"/>
        <v>-35.700000000000003</v>
      </c>
      <c r="M49" s="1"/>
      <c r="N49" s="5">
        <f t="shared" si="27"/>
        <v>-0.49583333333333335</v>
      </c>
      <c r="O49" s="14"/>
      <c r="P49" s="1">
        <f>SUM(OSRRefP22_6x_0)</f>
        <v>324.39999999999998</v>
      </c>
      <c r="Q49" s="1"/>
      <c r="R49" s="5">
        <f t="shared" si="28"/>
        <v>0</v>
      </c>
      <c r="S49" s="1"/>
      <c r="T49" s="1">
        <f>SUM(OSRRefT22_6x_0)</f>
        <v>504</v>
      </c>
      <c r="U49" s="1"/>
      <c r="V49" s="5">
        <f t="shared" si="29"/>
        <v>0</v>
      </c>
      <c r="W49" s="1"/>
      <c r="X49" s="1">
        <f t="shared" si="30"/>
        <v>-179.60000000000002</v>
      </c>
      <c r="Y49" s="1"/>
      <c r="Z49" s="5">
        <f t="shared" si="31"/>
        <v>-0.35634920634920642</v>
      </c>
    </row>
    <row r="50" spans="1:26" s="24" customFormat="1" hidden="1" outlineLevel="2" x14ac:dyDescent="0.3">
      <c r="A50" s="27"/>
      <c r="B50" s="11" t="str">
        <f>CONCATENATE("          ", "6303", " - ", "DATA PHONE LINES")</f>
        <v xml:space="preserve">          6303 - DATA PHONE LINES</v>
      </c>
      <c r="C50" s="11"/>
      <c r="D50" s="7"/>
      <c r="E50" s="2"/>
      <c r="F50" s="6">
        <f t="shared" si="24"/>
        <v>0</v>
      </c>
      <c r="G50" s="2"/>
      <c r="H50" s="7">
        <v>36</v>
      </c>
      <c r="I50" s="2"/>
      <c r="J50" s="6">
        <f t="shared" si="25"/>
        <v>0</v>
      </c>
      <c r="K50" s="2"/>
      <c r="L50" s="7">
        <f t="shared" si="26"/>
        <v>-36</v>
      </c>
      <c r="M50" s="2"/>
      <c r="N50" s="6">
        <f t="shared" si="27"/>
        <v>-1</v>
      </c>
      <c r="O50" s="11"/>
      <c r="P50" s="7"/>
      <c r="Q50" s="2"/>
      <c r="R50" s="6">
        <f t="shared" si="28"/>
        <v>0</v>
      </c>
      <c r="S50" s="2"/>
      <c r="T50" s="7">
        <v>252</v>
      </c>
      <c r="U50" s="2"/>
      <c r="V50" s="6">
        <f t="shared" si="29"/>
        <v>0</v>
      </c>
      <c r="W50" s="2"/>
      <c r="X50" s="7">
        <f t="shared" si="30"/>
        <v>-252</v>
      </c>
      <c r="Y50" s="2"/>
      <c r="Z50" s="6">
        <f t="shared" si="31"/>
        <v>-1</v>
      </c>
    </row>
    <row r="51" spans="1:26" s="24" customFormat="1" hidden="1" outlineLevel="2" x14ac:dyDescent="0.3">
      <c r="A51" s="27"/>
      <c r="B51" s="11" t="str">
        <f>CONCATENATE("          ", "6309", " - ", "TELEPHONE")</f>
        <v xml:space="preserve">          6309 - TELEPHONE</v>
      </c>
      <c r="C51" s="11"/>
      <c r="D51" s="7">
        <v>36.299999999999997</v>
      </c>
      <c r="E51" s="2"/>
      <c r="F51" s="6">
        <f t="shared" si="24"/>
        <v>0</v>
      </c>
      <c r="G51" s="2"/>
      <c r="H51" s="7">
        <v>36</v>
      </c>
      <c r="I51" s="2"/>
      <c r="J51" s="6">
        <f t="shared" si="25"/>
        <v>0</v>
      </c>
      <c r="K51" s="2"/>
      <c r="L51" s="7">
        <f t="shared" si="26"/>
        <v>0.29999999999999716</v>
      </c>
      <c r="M51" s="2"/>
      <c r="N51" s="6">
        <f t="shared" si="27"/>
        <v>8.3333333333332552E-3</v>
      </c>
      <c r="O51" s="11"/>
      <c r="P51" s="7">
        <v>324.39999999999998</v>
      </c>
      <c r="Q51" s="2"/>
      <c r="R51" s="6">
        <f t="shared" si="28"/>
        <v>0</v>
      </c>
      <c r="S51" s="2"/>
      <c r="T51" s="7">
        <v>252</v>
      </c>
      <c r="U51" s="2"/>
      <c r="V51" s="6">
        <f t="shared" si="29"/>
        <v>0</v>
      </c>
      <c r="W51" s="2"/>
      <c r="X51" s="7">
        <f t="shared" si="30"/>
        <v>72.399999999999977</v>
      </c>
      <c r="Y51" s="2"/>
      <c r="Z51" s="6">
        <f t="shared" si="31"/>
        <v>0.28730158730158722</v>
      </c>
    </row>
    <row r="52" spans="1:26" s="28" customFormat="1" outlineLevel="1" collapsed="1" x14ac:dyDescent="0.3">
      <c r="A52" s="29"/>
      <c r="B52" s="14" t="str">
        <f>CONCATENATE("     ","Training                                          ")</f>
        <v xml:space="preserve">     Training                                          </v>
      </c>
      <c r="C52" s="14"/>
      <c r="D52" s="1">
        <f>SUM(OSRRefD22_7x_0)</f>
        <v>0</v>
      </c>
      <c r="E52" s="1"/>
      <c r="F52" s="5">
        <f t="shared" ref="F52:F53" si="32">IF(D$12=0,0,D52/D$12)</f>
        <v>0</v>
      </c>
      <c r="G52" s="1"/>
      <c r="H52" s="1">
        <f>SUM(OSRRefH22_7x_0)</f>
        <v>0</v>
      </c>
      <c r="I52" s="1"/>
      <c r="J52" s="5">
        <f t="shared" ref="J52:J53" si="33">IF(H$12=0,0,H52/H$12)</f>
        <v>0</v>
      </c>
      <c r="K52" s="1"/>
      <c r="L52" s="1">
        <f t="shared" ref="L52:L53" si="34">+D52-H52</f>
        <v>0</v>
      </c>
      <c r="M52" s="1"/>
      <c r="N52" s="5">
        <f t="shared" ref="N52:N53" si="35">IF(H52=0,0,L52/H52)</f>
        <v>0</v>
      </c>
      <c r="O52" s="14"/>
      <c r="P52" s="1">
        <f>SUM(OSRRefP22_7x_0)</f>
        <v>0</v>
      </c>
      <c r="Q52" s="1"/>
      <c r="R52" s="5">
        <f t="shared" ref="R52:R53" si="36">IF(P$12=0,0,P52/P$12)</f>
        <v>0</v>
      </c>
      <c r="S52" s="1"/>
      <c r="T52" s="1">
        <f>SUM(OSRRefT22_7x_0)</f>
        <v>1000</v>
      </c>
      <c r="U52" s="1"/>
      <c r="V52" s="5">
        <f t="shared" ref="V52:V53" si="37">IF(T$12=0,0,T52/T$12)</f>
        <v>0</v>
      </c>
      <c r="W52" s="1"/>
      <c r="X52" s="1">
        <f t="shared" ref="X52:X53" si="38">+P52-T52</f>
        <v>-1000</v>
      </c>
      <c r="Y52" s="1"/>
      <c r="Z52" s="5">
        <f t="shared" ref="Z52:Z53" si="39">IF(T52=0,0,X52/T52)</f>
        <v>-1</v>
      </c>
    </row>
    <row r="53" spans="1:26" s="24" customFormat="1" hidden="1" outlineLevel="2" x14ac:dyDescent="0.3">
      <c r="A53" s="27"/>
      <c r="B53" s="11" t="str">
        <f>CONCATENATE("          ", "6376", " - ", "TRAINING")</f>
        <v xml:space="preserve">          6376 - TRAINING</v>
      </c>
      <c r="C53" s="11"/>
      <c r="D53" s="7"/>
      <c r="E53" s="2"/>
      <c r="F53" s="6">
        <f t="shared" si="32"/>
        <v>0</v>
      </c>
      <c r="G53" s="2"/>
      <c r="H53" s="7"/>
      <c r="I53" s="2"/>
      <c r="J53" s="6">
        <f t="shared" si="33"/>
        <v>0</v>
      </c>
      <c r="K53" s="2"/>
      <c r="L53" s="7">
        <f t="shared" si="34"/>
        <v>0</v>
      </c>
      <c r="M53" s="2"/>
      <c r="N53" s="6">
        <f t="shared" si="35"/>
        <v>0</v>
      </c>
      <c r="O53" s="11"/>
      <c r="P53" s="7"/>
      <c r="Q53" s="2"/>
      <c r="R53" s="6">
        <f t="shared" si="36"/>
        <v>0</v>
      </c>
      <c r="S53" s="2"/>
      <c r="T53" s="7">
        <v>1000</v>
      </c>
      <c r="U53" s="2"/>
      <c r="V53" s="6">
        <f t="shared" si="37"/>
        <v>0</v>
      </c>
      <c r="W53" s="2"/>
      <c r="X53" s="7">
        <f t="shared" si="38"/>
        <v>-1000</v>
      </c>
      <c r="Y53" s="2"/>
      <c r="Z53" s="6">
        <f t="shared" si="39"/>
        <v>-1</v>
      </c>
    </row>
    <row r="54" spans="1:26" s="55" customFormat="1" x14ac:dyDescent="0.3">
      <c r="A54" s="36"/>
      <c r="B54" s="36"/>
      <c r="C54" s="36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6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3">
      <c r="A55" s="10"/>
      <c r="B55" s="25" t="s">
        <v>293</v>
      </c>
      <c r="C55" s="10"/>
      <c r="D55" s="4">
        <f>SUM(0)</f>
        <v>0</v>
      </c>
      <c r="E55" s="4"/>
      <c r="F55" s="12">
        <f>IF(D$12=0,0,D55/D$12)</f>
        <v>0</v>
      </c>
      <c r="G55" s="4"/>
      <c r="H55" s="4">
        <f>SUM(0)</f>
        <v>0</v>
      </c>
      <c r="I55" s="4"/>
      <c r="J55" s="12">
        <f>IF(H$12=0,0,H55/H$12)</f>
        <v>0</v>
      </c>
      <c r="K55" s="4"/>
      <c r="L55" s="4">
        <f>+D55-H55</f>
        <v>0</v>
      </c>
      <c r="M55" s="4"/>
      <c r="N55" s="12">
        <f>IF(H55=0,0,L55/H55)</f>
        <v>0</v>
      </c>
      <c r="O55" s="10"/>
      <c r="P55" s="4">
        <f>SUM(0)</f>
        <v>0</v>
      </c>
      <c r="Q55" s="4"/>
      <c r="R55" s="12">
        <f>IF(P$12=0,0,P55/P$12)</f>
        <v>0</v>
      </c>
      <c r="S55" s="4"/>
      <c r="T55" s="4">
        <f>SUM(0)</f>
        <v>0</v>
      </c>
      <c r="U55" s="4"/>
      <c r="V55" s="12">
        <f>IF(T$12=0,0,T55/T$12)</f>
        <v>0</v>
      </c>
      <c r="W55" s="4"/>
      <c r="X55" s="4">
        <f>+P55-T55</f>
        <v>0</v>
      </c>
      <c r="Y55" s="4"/>
      <c r="Z55" s="12">
        <f>IF(T55=0,0,X55/T55)</f>
        <v>0</v>
      </c>
    </row>
    <row r="56" spans="1:26" x14ac:dyDescent="0.3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3">
      <c r="A57" s="10"/>
      <c r="B57" s="26" t="s">
        <v>277</v>
      </c>
      <c r="C57" s="26"/>
      <c r="D57" s="21">
        <f>+D16-D18+D55</f>
        <v>-6888.15</v>
      </c>
      <c r="E57" s="13"/>
      <c r="F57" s="22">
        <f>IF(D$12=0,0,D57/D$12)</f>
        <v>0</v>
      </c>
      <c r="G57" s="13"/>
      <c r="H57" s="21">
        <f>+H16-H18+H55</f>
        <v>-14579.94678461538</v>
      </c>
      <c r="I57" s="13"/>
      <c r="J57" s="22">
        <f>IF(H$12=0,0,H57/H$12)</f>
        <v>0</v>
      </c>
      <c r="K57" s="15"/>
      <c r="L57" s="21">
        <f>+D57-H57</f>
        <v>7691.7967846153806</v>
      </c>
      <c r="M57" s="15"/>
      <c r="N57" s="22">
        <f>IF(H57=0,0,L57/H57)</f>
        <v>-0.52756000404142012</v>
      </c>
      <c r="O57" s="25"/>
      <c r="P57" s="21">
        <f>+P16-P18+P55</f>
        <v>-60888.26</v>
      </c>
      <c r="Q57" s="13"/>
      <c r="R57" s="22">
        <f>IF(P$12=0,0,P57/P$12)</f>
        <v>0</v>
      </c>
      <c r="S57" s="13"/>
      <c r="T57" s="21">
        <f>+T16-T18+T55</f>
        <v>-94823.59966461538</v>
      </c>
      <c r="U57" s="13"/>
      <c r="V57" s="22">
        <f>IF(T$12=0,0,T57/T$12)</f>
        <v>0</v>
      </c>
      <c r="W57" s="15"/>
      <c r="X57" s="21">
        <f>+P57-T57</f>
        <v>33935.339664615378</v>
      </c>
      <c r="Y57" s="15"/>
      <c r="Z57" s="22">
        <f>IF(T57=0,0,X57/T57)</f>
        <v>-0.35787862709960777</v>
      </c>
    </row>
    <row r="58" spans="1:26" x14ac:dyDescent="0.3">
      <c r="A58" s="9"/>
      <c r="B58" s="10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3">
      <c r="A59" s="52"/>
      <c r="B59" s="10" t="s">
        <v>128</v>
      </c>
      <c r="C59" s="10"/>
      <c r="D59" s="4"/>
      <c r="E59" s="4"/>
      <c r="F59" s="12">
        <f>IF(D$12=0,0,D59/D$12)</f>
        <v>0</v>
      </c>
      <c r="G59" s="4"/>
      <c r="H59" s="4"/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/>
      <c r="Q59" s="4"/>
      <c r="R59" s="12">
        <f>IF(P$12=0,0,P59/P$12)</f>
        <v>0</v>
      </c>
      <c r="S59" s="4"/>
      <c r="T59" s="4"/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3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ht="15" thickBot="1" x14ac:dyDescent="0.35">
      <c r="A61" s="10"/>
      <c r="B61" s="26" t="s">
        <v>126</v>
      </c>
      <c r="C61" s="26"/>
      <c r="D61" s="32">
        <f>+D57-D59</f>
        <v>-6888.15</v>
      </c>
      <c r="E61" s="13"/>
      <c r="F61" s="31">
        <f>IF(D$12=0,0,D61/D$12)</f>
        <v>0</v>
      </c>
      <c r="G61" s="13"/>
      <c r="H61" s="32">
        <f>+H57-H59</f>
        <v>-14579.94678461538</v>
      </c>
      <c r="I61" s="13"/>
      <c r="J61" s="31">
        <f>IF(H$12=0,0,H61/H$12)</f>
        <v>0</v>
      </c>
      <c r="K61" s="15"/>
      <c r="L61" s="32">
        <f>D61-H61</f>
        <v>7691.7967846153806</v>
      </c>
      <c r="M61" s="15"/>
      <c r="N61" s="31">
        <f>IF(H61=0,0,L61/H61)</f>
        <v>-0.52756000404142012</v>
      </c>
      <c r="O61" s="25"/>
      <c r="P61" s="32">
        <f>+P57-P59</f>
        <v>-60888.26</v>
      </c>
      <c r="Q61" s="13"/>
      <c r="R61" s="31">
        <f>IF(P$12=0,0,P61/P$12)</f>
        <v>0</v>
      </c>
      <c r="S61" s="13"/>
      <c r="T61" s="32">
        <f>+T57-T59</f>
        <v>-94823.59966461538</v>
      </c>
      <c r="U61" s="13"/>
      <c r="V61" s="31">
        <f>IF(T$12=0,0,T61/T$12)</f>
        <v>0</v>
      </c>
      <c r="W61" s="15"/>
      <c r="X61" s="32">
        <f>P61-T61</f>
        <v>33935.339664615378</v>
      </c>
      <c r="Y61" s="15"/>
      <c r="Z61" s="31">
        <f>IF(T61=0,0,X61/T61)</f>
        <v>-0.35787862709960777</v>
      </c>
    </row>
    <row r="62" spans="1:26" ht="15" thickTop="1" x14ac:dyDescent="0.3">
      <c r="A62" s="9"/>
      <c r="B62" s="9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x14ac:dyDescent="0.3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" thickBot="1" x14ac:dyDescent="0.35">
      <c r="A64" s="10"/>
      <c r="B64" s="26" t="s">
        <v>294</v>
      </c>
      <c r="C64" s="26"/>
      <c r="D64" s="34">
        <f>SUM(D61:D63)</f>
        <v>-6888.15</v>
      </c>
      <c r="E64" s="13"/>
      <c r="F64" s="35">
        <f>IF(D$12=0,0,D64/D$12)</f>
        <v>0</v>
      </c>
      <c r="G64" s="13"/>
      <c r="H64" s="34">
        <f>SUM(H61:H63)</f>
        <v>-14579.94678461538</v>
      </c>
      <c r="I64" s="13"/>
      <c r="J64" s="35">
        <f>IF(H$12=0,0,H64/H$12)</f>
        <v>0</v>
      </c>
      <c r="K64" s="15"/>
      <c r="L64" s="34">
        <f>+D64-H64</f>
        <v>7691.7967846153806</v>
      </c>
      <c r="M64" s="15"/>
      <c r="N64" s="35">
        <f>IF(H64=0,0,L64/H64)</f>
        <v>-0.52756000404142012</v>
      </c>
      <c r="O64" s="25"/>
      <c r="P64" s="34">
        <f>SUM(P61:P63)</f>
        <v>-60888.26</v>
      </c>
      <c r="Q64" s="13"/>
      <c r="R64" s="35">
        <f>IF(P$12=0,0,P64/P$12)</f>
        <v>0</v>
      </c>
      <c r="S64" s="13"/>
      <c r="T64" s="34">
        <f>SUM(T61:T63)</f>
        <v>-94823.59966461538</v>
      </c>
      <c r="U64" s="13"/>
      <c r="V64" s="35">
        <f>IF(T$12=0,0,T64/T$12)</f>
        <v>0</v>
      </c>
      <c r="W64" s="15"/>
      <c r="X64" s="34">
        <f>+P64-T64</f>
        <v>33935.339664615378</v>
      </c>
      <c r="Y64" s="15"/>
      <c r="Z64" s="35">
        <f>IF(T64=0,0,X64/T64)</f>
        <v>-0.35787862709960777</v>
      </c>
    </row>
    <row r="65" spans="1:24" ht="15" thickTop="1" x14ac:dyDescent="0.3">
      <c r="A65" s="9"/>
      <c r="C65" s="9"/>
      <c r="D65" s="17"/>
      <c r="E65" s="17"/>
      <c r="G65" s="17"/>
      <c r="H65" s="17"/>
      <c r="I65" s="17"/>
      <c r="J65" s="43"/>
      <c r="K65" s="17"/>
      <c r="L65" s="17"/>
      <c r="M65" s="17"/>
      <c r="P65" s="17"/>
      <c r="Q65" s="17"/>
      <c r="R65" s="43"/>
      <c r="S65" s="17"/>
      <c r="T65" s="17"/>
      <c r="U65" s="17"/>
      <c r="V65" s="43"/>
      <c r="W65" s="17"/>
      <c r="X65" s="17"/>
    </row>
    <row r="66" spans="1:24" x14ac:dyDescent="0.3">
      <c r="A66" s="9"/>
      <c r="B66" s="53">
        <v>44604.019995405091</v>
      </c>
      <c r="D66" s="17"/>
      <c r="E66" s="17"/>
      <c r="G66" s="17"/>
      <c r="H66" s="17"/>
      <c r="I66" s="17"/>
      <c r="J66" s="43"/>
      <c r="K66" s="17"/>
      <c r="L66" s="17"/>
      <c r="M66" s="17"/>
      <c r="P66" s="17"/>
      <c r="Q66" s="17"/>
      <c r="R66" s="43"/>
      <c r="S66" s="17"/>
      <c r="T66" s="17"/>
      <c r="U66" s="17"/>
      <c r="V66" s="43"/>
      <c r="W66" s="17"/>
      <c r="X66" s="17"/>
    </row>
    <row r="67" spans="1:24" x14ac:dyDescent="0.3">
      <c r="A67" s="9"/>
      <c r="B67" s="63" t="s">
        <v>56</v>
      </c>
      <c r="D67" s="17"/>
      <c r="E67" s="17"/>
      <c r="G67" s="17"/>
      <c r="H67" s="17"/>
      <c r="I67" s="17"/>
      <c r="J67" s="43"/>
      <c r="K67" s="17"/>
      <c r="L67" s="17"/>
      <c r="M67" s="17"/>
      <c r="P67" s="17"/>
      <c r="Q67" s="17"/>
      <c r="R67" s="43"/>
      <c r="S67" s="17"/>
      <c r="T67" s="17"/>
      <c r="U67" s="17"/>
      <c r="V67" s="43"/>
      <c r="W67" s="17"/>
      <c r="X67" s="17"/>
    </row>
    <row r="68" spans="1:24" x14ac:dyDescent="0.3">
      <c r="A68" s="9"/>
      <c r="B68" s="58"/>
      <c r="D68" s="17"/>
      <c r="E68" s="17"/>
      <c r="G68" s="17"/>
      <c r="H68" s="17"/>
      <c r="I68" s="17"/>
      <c r="J68" s="43"/>
      <c r="K68" s="17"/>
      <c r="L68" s="17"/>
      <c r="M68" s="17"/>
      <c r="P68" s="17"/>
      <c r="Q68" s="17"/>
      <c r="R68" s="43"/>
      <c r="S68" s="17"/>
      <c r="T68" s="17"/>
      <c r="U68" s="17"/>
      <c r="V68" s="43"/>
      <c r="W68" s="17"/>
      <c r="X68" s="17"/>
    </row>
    <row r="69" spans="1:24" x14ac:dyDescent="0.3">
      <c r="D69" s="17"/>
      <c r="E69" s="17"/>
      <c r="G69" s="17"/>
      <c r="H69" s="17"/>
      <c r="I69" s="17"/>
      <c r="J69" s="43"/>
      <c r="K69" s="17"/>
      <c r="L69" s="17"/>
      <c r="M69" s="17"/>
      <c r="P69" s="17"/>
      <c r="Q69" s="17"/>
      <c r="R69" s="43"/>
      <c r="S69" s="17"/>
      <c r="T69" s="17"/>
      <c r="U69" s="17"/>
      <c r="V69" s="43"/>
      <c r="W69" s="17"/>
      <c r="X69" s="17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outlinePr summaryBelow="0" summaryRight="0"/>
  </sheetPr>
  <dimension ref="A2:Z17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107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760387.65000000014</v>
      </c>
      <c r="E12" s="4"/>
      <c r="F12" s="12"/>
      <c r="G12" s="4"/>
      <c r="H12" s="4">
        <f>SUM(OSRRefH13x_0)</f>
        <v>2029660</v>
      </c>
      <c r="I12" s="4"/>
      <c r="J12" s="12"/>
      <c r="K12" s="4"/>
      <c r="L12" s="4">
        <f t="shared" ref="L12:L21" si="0">+D12-H12</f>
        <v>-1269272.3499999999</v>
      </c>
      <c r="M12" s="4"/>
      <c r="N12" s="12">
        <f t="shared" ref="N12:N21" si="1">IF(H12=0,0,L12/H12)</f>
        <v>-0.6253620557137648</v>
      </c>
      <c r="O12" s="10"/>
      <c r="P12" s="4">
        <f>SUM(OSRRefP13x_0)</f>
        <v>4497925.5399999991</v>
      </c>
      <c r="Q12" s="4"/>
      <c r="R12" s="12"/>
      <c r="S12" s="4"/>
      <c r="T12" s="4">
        <f>SUM(OSRRefT13x_0)</f>
        <v>7136909</v>
      </c>
      <c r="U12" s="4"/>
      <c r="V12" s="12"/>
      <c r="W12" s="4"/>
      <c r="X12" s="4">
        <f t="shared" ref="X12:X21" si="2">+P12-T12</f>
        <v>-2638983.4600000009</v>
      </c>
      <c r="Y12" s="4"/>
      <c r="Z12" s="12">
        <f t="shared" ref="Z12:Z21" si="3">IF(T12=0,0,X12/T12)</f>
        <v>-0.36976560300824923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--658739.54</f>
        <v>658739.54</v>
      </c>
      <c r="E13" s="2"/>
      <c r="F13" s="19"/>
      <c r="G13" s="2"/>
      <c r="H13" s="2">
        <v>1974057</v>
      </c>
      <c r="I13" s="2"/>
      <c r="J13" s="19"/>
      <c r="K13" s="2"/>
      <c r="L13" s="2">
        <f t="shared" si="0"/>
        <v>-1315317.46</v>
      </c>
      <c r="M13" s="2"/>
      <c r="N13" s="19">
        <f t="shared" si="1"/>
        <v>-0.66630166200874641</v>
      </c>
      <c r="O13" s="11"/>
      <c r="P13" s="2">
        <f>--3784245.9</f>
        <v>3784245.9</v>
      </c>
      <c r="Q13" s="2"/>
      <c r="R13" s="19"/>
      <c r="S13" s="2"/>
      <c r="T13" s="2">
        <v>6801193</v>
      </c>
      <c r="U13" s="2"/>
      <c r="V13" s="19"/>
      <c r="W13" s="2"/>
      <c r="X13" s="2">
        <f t="shared" si="2"/>
        <v>-3016947.1</v>
      </c>
      <c r="Y13" s="2"/>
      <c r="Z13" s="19">
        <f t="shared" si="3"/>
        <v>-0.4435908670728797</v>
      </c>
    </row>
    <row r="14" spans="1:26" s="24" customFormat="1" hidden="1" outlineLevel="1" x14ac:dyDescent="0.3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>0</f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--698.72</f>
        <v>698.72</v>
      </c>
      <c r="Q14" s="2"/>
      <c r="R14" s="19"/>
      <c r="S14" s="2"/>
      <c r="T14" s="2"/>
      <c r="U14" s="2"/>
      <c r="V14" s="19"/>
      <c r="W14" s="2"/>
      <c r="X14" s="2">
        <f t="shared" si="2"/>
        <v>698.72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--134600.91</f>
        <v>134600.91</v>
      </c>
      <c r="E15" s="2"/>
      <c r="F15" s="19"/>
      <c r="G15" s="2"/>
      <c r="H15" s="2">
        <v>55603</v>
      </c>
      <c r="I15" s="2"/>
      <c r="J15" s="19"/>
      <c r="K15" s="2"/>
      <c r="L15" s="2">
        <f t="shared" si="0"/>
        <v>78997.91</v>
      </c>
      <c r="M15" s="2"/>
      <c r="N15" s="19">
        <f t="shared" si="1"/>
        <v>1.4207490603025017</v>
      </c>
      <c r="O15" s="11"/>
      <c r="P15" s="2">
        <f>--924537.98</f>
        <v>924537.98</v>
      </c>
      <c r="Q15" s="2"/>
      <c r="R15" s="19"/>
      <c r="S15" s="2"/>
      <c r="T15" s="2">
        <v>335716</v>
      </c>
      <c r="U15" s="2"/>
      <c r="V15" s="19"/>
      <c r="W15" s="2"/>
      <c r="X15" s="2">
        <f t="shared" si="2"/>
        <v>588821.98</v>
      </c>
      <c r="Y15" s="2"/>
      <c r="Z15" s="19">
        <f t="shared" si="3"/>
        <v>1.7539288565334985</v>
      </c>
    </row>
    <row r="16" spans="1:26" s="24" customFormat="1" hidden="1" outlineLevel="1" x14ac:dyDescent="0.3">
      <c r="A16" s="44"/>
      <c r="B16" s="11" t="str">
        <f>CONCATENATE("          ", "4141", " - ", "NON-TAXABLE SALES-LOGO GIFTS")</f>
        <v xml:space="preserve">          4141 - NON-TAXABLE SALES-LOGO GIFTS</v>
      </c>
      <c r="C16" s="11"/>
      <c r="D16" s="2">
        <f t="shared" ref="D16:D18" si="4"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ref="P16:P18" si="5">0</f>
        <v>0</v>
      </c>
      <c r="Q16" s="2"/>
      <c r="R16" s="19"/>
      <c r="S16" s="2"/>
      <c r="T16" s="2"/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"4146", " - ", "NON-TAXABLE SALES-COIN OP MACH")</f>
        <v xml:space="preserve">          4146 - NON-TAXABLE SALES-COIN OP MACH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si="5"/>
        <v>0</v>
      </c>
      <c r="Q17" s="2"/>
      <c r="R17" s="19"/>
      <c r="S17" s="2"/>
      <c r="T17" s="2"/>
      <c r="U17" s="2"/>
      <c r="V17" s="19"/>
      <c r="W17" s="2"/>
      <c r="X17" s="2">
        <f t="shared" si="2"/>
        <v>0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"4153", " - ", "NON-TAXABLE SALES-FOOD")</f>
        <v xml:space="preserve">          4153 - NON-TAXABLE SALES-FOOD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5"/>
        <v>0</v>
      </c>
      <c r="Q18" s="2"/>
      <c r="R18" s="19"/>
      <c r="S18" s="2"/>
      <c r="T18" s="2"/>
      <c r="U18" s="2"/>
      <c r="V18" s="19"/>
      <c r="W18" s="2"/>
      <c r="X18" s="2">
        <f t="shared" si="2"/>
        <v>0</v>
      </c>
      <c r="Y18" s="2"/>
      <c r="Z18" s="19">
        <f t="shared" si="3"/>
        <v>0</v>
      </c>
    </row>
    <row r="19" spans="1:26" s="24" customFormat="1" hidden="1" outlineLevel="1" x14ac:dyDescent="0.3">
      <c r="A19" s="44"/>
      <c r="B19" s="11" t="str">
        <f>CONCATENATE("          ", "4200", " - ", "TAXABLE RETURNS")</f>
        <v xml:space="preserve">          4200 - TAXABLE RETURNS</v>
      </c>
      <c r="C19" s="11"/>
      <c r="D19" s="2">
        <f>-25690.22</f>
        <v>-25690.22</v>
      </c>
      <c r="E19" s="2"/>
      <c r="F19" s="19"/>
      <c r="G19" s="2"/>
      <c r="H19" s="2"/>
      <c r="I19" s="2"/>
      <c r="J19" s="19"/>
      <c r="K19" s="2"/>
      <c r="L19" s="2">
        <f t="shared" si="0"/>
        <v>-25690.22</v>
      </c>
      <c r="M19" s="2"/>
      <c r="N19" s="19">
        <f t="shared" si="1"/>
        <v>0</v>
      </c>
      <c r="O19" s="11"/>
      <c r="P19" s="2">
        <f>-113109.03</f>
        <v>-113109.03</v>
      </c>
      <c r="Q19" s="2"/>
      <c r="R19" s="19"/>
      <c r="S19" s="2"/>
      <c r="T19" s="2"/>
      <c r="U19" s="2"/>
      <c r="V19" s="19"/>
      <c r="W19" s="2"/>
      <c r="X19" s="2">
        <f t="shared" si="2"/>
        <v>-113109.03</v>
      </c>
      <c r="Y19" s="2"/>
      <c r="Z19" s="19">
        <f t="shared" si="3"/>
        <v>0</v>
      </c>
    </row>
    <row r="20" spans="1:26" s="24" customFormat="1" hidden="1" outlineLevel="1" x14ac:dyDescent="0.3">
      <c r="A20" s="44"/>
      <c r="B20" s="11" t="str">
        <f>CONCATENATE("          ", "4300", " - ", "NON-TAX RETURNS")</f>
        <v xml:space="preserve">          4300 - NON-TAX RETURNS</v>
      </c>
      <c r="C20" s="11"/>
      <c r="D20" s="2">
        <f>-874.74</f>
        <v>-874.74</v>
      </c>
      <c r="E20" s="2"/>
      <c r="F20" s="19"/>
      <c r="G20" s="2"/>
      <c r="H20" s="2"/>
      <c r="I20" s="2"/>
      <c r="J20" s="19"/>
      <c r="K20" s="2"/>
      <c r="L20" s="2">
        <f t="shared" si="0"/>
        <v>-874.74</v>
      </c>
      <c r="M20" s="2"/>
      <c r="N20" s="19">
        <f t="shared" si="1"/>
        <v>0</v>
      </c>
      <c r="O20" s="11"/>
      <c r="P20" s="2">
        <f>-28054.08</f>
        <v>-28054.080000000002</v>
      </c>
      <c r="Q20" s="2"/>
      <c r="R20" s="19"/>
      <c r="S20" s="2"/>
      <c r="T20" s="2"/>
      <c r="U20" s="2"/>
      <c r="V20" s="19"/>
      <c r="W20" s="2"/>
      <c r="X20" s="2">
        <f t="shared" si="2"/>
        <v>-28054.080000000002</v>
      </c>
      <c r="Y20" s="2"/>
      <c r="Z20" s="19">
        <f t="shared" si="3"/>
        <v>0</v>
      </c>
    </row>
    <row r="21" spans="1:26" s="24" customFormat="1" hidden="1" outlineLevel="1" x14ac:dyDescent="0.3">
      <c r="A21" s="44"/>
      <c r="B21" s="11" t="str">
        <f>CONCATENATE("          ", "4500", " - ", "SALES DISCOUNT")</f>
        <v xml:space="preserve">          4500 - SALES DISCOUNT</v>
      </c>
      <c r="C21" s="11"/>
      <c r="D21" s="2">
        <f>-6387.84</f>
        <v>-6387.84</v>
      </c>
      <c r="E21" s="2"/>
      <c r="F21" s="19"/>
      <c r="G21" s="2"/>
      <c r="H21" s="2"/>
      <c r="I21" s="2"/>
      <c r="J21" s="19"/>
      <c r="K21" s="2"/>
      <c r="L21" s="2">
        <f t="shared" si="0"/>
        <v>-6387.84</v>
      </c>
      <c r="M21" s="2"/>
      <c r="N21" s="19">
        <f t="shared" si="1"/>
        <v>0</v>
      </c>
      <c r="O21" s="11"/>
      <c r="P21" s="2">
        <f>-70393.95</f>
        <v>-70393.95</v>
      </c>
      <c r="Q21" s="2"/>
      <c r="R21" s="19"/>
      <c r="S21" s="2"/>
      <c r="T21" s="2"/>
      <c r="U21" s="2"/>
      <c r="V21" s="19"/>
      <c r="W21" s="2"/>
      <c r="X21" s="2">
        <f t="shared" si="2"/>
        <v>-70393.95</v>
      </c>
      <c r="Y21" s="2"/>
      <c r="Z21" s="19">
        <f t="shared" si="3"/>
        <v>0</v>
      </c>
    </row>
    <row r="22" spans="1:26" x14ac:dyDescent="0.3">
      <c r="A22" s="9"/>
      <c r="B22" s="10"/>
      <c r="C22" s="9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collapsed="1" x14ac:dyDescent="0.3">
      <c r="A23" s="10"/>
      <c r="B23" s="25" t="s">
        <v>257</v>
      </c>
      <c r="C23" s="10"/>
      <c r="D23" s="4">
        <f>SUM(OSRRefD16x_0)</f>
        <v>457442.16</v>
      </c>
      <c r="E23" s="4"/>
      <c r="F23" s="12">
        <f t="shared" ref="F23:F52" si="6">IF(D$12=0,0,D23/D$12)</f>
        <v>0.60159072809770109</v>
      </c>
      <c r="G23" s="4"/>
      <c r="H23" s="4">
        <f>SUM(OSRRefH16x_0)</f>
        <v>1329492</v>
      </c>
      <c r="I23" s="4"/>
      <c r="J23" s="12">
        <f t="shared" ref="J23:J52" si="7">IF(H$12=0,0,H23/H$12)</f>
        <v>0.65503187726023082</v>
      </c>
      <c r="K23" s="4"/>
      <c r="L23" s="4">
        <f t="shared" ref="L23:L52" si="8">+D23-H23</f>
        <v>-872049.84000000008</v>
      </c>
      <c r="M23" s="4"/>
      <c r="N23" s="12">
        <f t="shared" ref="N23:N52" si="9">IF(H23=0,0,L23/H23)</f>
        <v>-0.65592710599236403</v>
      </c>
      <c r="O23" s="10"/>
      <c r="P23" s="4">
        <f>SUM(OSRRefP16x_0)</f>
        <v>2715821.7999999993</v>
      </c>
      <c r="Q23" s="4"/>
      <c r="R23" s="12">
        <f t="shared" ref="R23:R52" si="10">IF(P$12=0,0,P23/P$12)</f>
        <v>0.60379429936050033</v>
      </c>
      <c r="S23" s="4"/>
      <c r="T23" s="4">
        <f>SUM(OSRRefT16x_0)</f>
        <v>4500329</v>
      </c>
      <c r="U23" s="4"/>
      <c r="V23" s="12">
        <f t="shared" ref="V23:V52" si="11">IF(T$12=0,0,T23/T$12)</f>
        <v>0.63057116182930173</v>
      </c>
      <c r="W23" s="4"/>
      <c r="X23" s="4">
        <f t="shared" ref="X23:X52" si="12">+P23-T23</f>
        <v>-1784507.2000000007</v>
      </c>
      <c r="Y23" s="4"/>
      <c r="Z23" s="12">
        <f t="shared" ref="Z23:Z52" si="13">IF(T23=0,0,X23/T23)</f>
        <v>-0.39652816494083004</v>
      </c>
    </row>
    <row r="24" spans="1:26" s="24" customFormat="1" hidden="1" outlineLevel="1" x14ac:dyDescent="0.3">
      <c r="A24" s="44"/>
      <c r="B24" s="11" t="str">
        <f>CONCATENATE("          ", "5000", " - ", "PURCHASES @ COST")</f>
        <v xml:space="preserve">          5000 - PURCHASES @ COST</v>
      </c>
      <c r="C24" s="11"/>
      <c r="D24" s="2">
        <v>488333.93</v>
      </c>
      <c r="E24" s="2"/>
      <c r="F24" s="19">
        <f t="shared" si="6"/>
        <v>0.64221707177911147</v>
      </c>
      <c r="G24" s="2"/>
      <c r="H24" s="2">
        <v>1329492</v>
      </c>
      <c r="I24" s="2"/>
      <c r="J24" s="19">
        <f t="shared" si="7"/>
        <v>0.65503187726023082</v>
      </c>
      <c r="K24" s="2"/>
      <c r="L24" s="2">
        <f t="shared" si="8"/>
        <v>-841158.07000000007</v>
      </c>
      <c r="M24" s="2"/>
      <c r="N24" s="19">
        <f t="shared" si="9"/>
        <v>-0.63269133623970664</v>
      </c>
      <c r="O24" s="11"/>
      <c r="P24" s="2">
        <v>3020258.34</v>
      </c>
      <c r="Q24" s="2"/>
      <c r="R24" s="19">
        <f t="shared" si="10"/>
        <v>0.67147806541946453</v>
      </c>
      <c r="S24" s="2"/>
      <c r="T24" s="2">
        <v>4500329</v>
      </c>
      <c r="U24" s="2"/>
      <c r="V24" s="19">
        <f t="shared" si="11"/>
        <v>0.63057116182930173</v>
      </c>
      <c r="W24" s="2"/>
      <c r="X24" s="2">
        <f t="shared" si="12"/>
        <v>-1480070.6600000001</v>
      </c>
      <c r="Y24" s="2"/>
      <c r="Z24" s="19">
        <f t="shared" si="13"/>
        <v>-0.32888054628894914</v>
      </c>
    </row>
    <row r="25" spans="1:26" s="24" customFormat="1" hidden="1" outlineLevel="1" x14ac:dyDescent="0.3">
      <c r="A25" s="44"/>
      <c r="B25" s="11" t="str">
        <f>CONCATENATE("          ", "5001", " - ", "PURCHASES @ COST-NEW TEXT")</f>
        <v xml:space="preserve">          5001 - PURCHASES @ COST-NEW TEXT</v>
      </c>
      <c r="C25" s="11"/>
      <c r="D25" s="2"/>
      <c r="E25" s="2"/>
      <c r="F25" s="19">
        <f t="shared" si="6"/>
        <v>0</v>
      </c>
      <c r="G25" s="2"/>
      <c r="H25" s="2"/>
      <c r="I25" s="2"/>
      <c r="J25" s="19">
        <f t="shared" si="7"/>
        <v>0</v>
      </c>
      <c r="K25" s="2"/>
      <c r="L25" s="2">
        <f t="shared" si="8"/>
        <v>0</v>
      </c>
      <c r="M25" s="2"/>
      <c r="N25" s="19">
        <f t="shared" si="9"/>
        <v>0</v>
      </c>
      <c r="O25" s="11"/>
      <c r="P25" s="2">
        <v>0</v>
      </c>
      <c r="Q25" s="2"/>
      <c r="R25" s="19">
        <f t="shared" si="10"/>
        <v>0</v>
      </c>
      <c r="S25" s="2"/>
      <c r="T25" s="2"/>
      <c r="U25" s="2"/>
      <c r="V25" s="19">
        <f t="shared" si="11"/>
        <v>0</v>
      </c>
      <c r="W25" s="2"/>
      <c r="X25" s="2">
        <f t="shared" si="12"/>
        <v>0</v>
      </c>
      <c r="Y25" s="2"/>
      <c r="Z25" s="19">
        <f t="shared" si="13"/>
        <v>0</v>
      </c>
    </row>
    <row r="26" spans="1:26" s="24" customFormat="1" hidden="1" outlineLevel="1" x14ac:dyDescent="0.3">
      <c r="A26" s="44"/>
      <c r="B26" s="11" t="str">
        <f>CONCATENATE("          ", "5002", " - ", "PURCHASES @ COST-USED TEXT")</f>
        <v xml:space="preserve">          5002 - PURCHASES @ COST-USED TEXT</v>
      </c>
      <c r="C26" s="11"/>
      <c r="D26" s="2"/>
      <c r="E26" s="2"/>
      <c r="F26" s="19">
        <f t="shared" si="6"/>
        <v>0</v>
      </c>
      <c r="G26" s="2"/>
      <c r="H26" s="2"/>
      <c r="I26" s="2"/>
      <c r="J26" s="19">
        <f t="shared" si="7"/>
        <v>0</v>
      </c>
      <c r="K26" s="2"/>
      <c r="L26" s="2">
        <f t="shared" si="8"/>
        <v>0</v>
      </c>
      <c r="M26" s="2"/>
      <c r="N26" s="19">
        <f t="shared" si="9"/>
        <v>0</v>
      </c>
      <c r="O26" s="11"/>
      <c r="P26" s="2">
        <v>0</v>
      </c>
      <c r="Q26" s="2"/>
      <c r="R26" s="19">
        <f t="shared" si="10"/>
        <v>0</v>
      </c>
      <c r="S26" s="2"/>
      <c r="T26" s="2"/>
      <c r="U26" s="2"/>
      <c r="V26" s="19">
        <f t="shared" si="11"/>
        <v>0</v>
      </c>
      <c r="W26" s="2"/>
      <c r="X26" s="2">
        <f t="shared" si="12"/>
        <v>0</v>
      </c>
      <c r="Y26" s="2"/>
      <c r="Z26" s="19">
        <f t="shared" si="13"/>
        <v>0</v>
      </c>
    </row>
    <row r="27" spans="1:26" s="24" customFormat="1" hidden="1" outlineLevel="1" x14ac:dyDescent="0.3">
      <c r="A27" s="44"/>
      <c r="B27" s="11" t="str">
        <f>CONCATENATE("          ", "5004", " - ", "PURCHASES @ COST-DIGITAL TEXT")</f>
        <v xml:space="preserve">          5004 - PURCHASES @ COST-DIGITAL TEXT</v>
      </c>
      <c r="C27" s="11"/>
      <c r="D27" s="2"/>
      <c r="E27" s="2"/>
      <c r="F27" s="19">
        <f t="shared" si="6"/>
        <v>0</v>
      </c>
      <c r="G27" s="2"/>
      <c r="H27" s="2"/>
      <c r="I27" s="2"/>
      <c r="J27" s="19">
        <f t="shared" si="7"/>
        <v>0</v>
      </c>
      <c r="K27" s="2"/>
      <c r="L27" s="2">
        <f t="shared" si="8"/>
        <v>0</v>
      </c>
      <c r="M27" s="2"/>
      <c r="N27" s="19">
        <f t="shared" si="9"/>
        <v>0</v>
      </c>
      <c r="O27" s="11"/>
      <c r="P27" s="2">
        <v>0</v>
      </c>
      <c r="Q27" s="2"/>
      <c r="R27" s="19">
        <f t="shared" si="10"/>
        <v>0</v>
      </c>
      <c r="S27" s="2"/>
      <c r="T27" s="2"/>
      <c r="U27" s="2"/>
      <c r="V27" s="19">
        <f t="shared" si="11"/>
        <v>0</v>
      </c>
      <c r="W27" s="2"/>
      <c r="X27" s="2">
        <f t="shared" si="12"/>
        <v>0</v>
      </c>
      <c r="Y27" s="2"/>
      <c r="Z27" s="19">
        <f t="shared" si="13"/>
        <v>0</v>
      </c>
    </row>
    <row r="28" spans="1:26" s="24" customFormat="1" hidden="1" outlineLevel="1" x14ac:dyDescent="0.3">
      <c r="A28" s="44"/>
      <c r="B28" s="11" t="str">
        <f>CONCATENATE("          ", "5026", " - ", "PURCHASES @ COST-WRITING INSTR")</f>
        <v xml:space="preserve">          5026 - PURCHASES @ COST-WRITING INSTR</v>
      </c>
      <c r="C28" s="11"/>
      <c r="D28" s="2"/>
      <c r="E28" s="2"/>
      <c r="F28" s="19">
        <f t="shared" si="6"/>
        <v>0</v>
      </c>
      <c r="G28" s="2"/>
      <c r="H28" s="2"/>
      <c r="I28" s="2"/>
      <c r="J28" s="19">
        <f t="shared" si="7"/>
        <v>0</v>
      </c>
      <c r="K28" s="2"/>
      <c r="L28" s="2">
        <f t="shared" si="8"/>
        <v>0</v>
      </c>
      <c r="M28" s="2"/>
      <c r="N28" s="19">
        <f t="shared" si="9"/>
        <v>0</v>
      </c>
      <c r="O28" s="11"/>
      <c r="P28" s="2">
        <v>0</v>
      </c>
      <c r="Q28" s="2"/>
      <c r="R28" s="19">
        <f t="shared" si="10"/>
        <v>0</v>
      </c>
      <c r="S28" s="2"/>
      <c r="T28" s="2"/>
      <c r="U28" s="2"/>
      <c r="V28" s="19">
        <f t="shared" si="11"/>
        <v>0</v>
      </c>
      <c r="W28" s="2"/>
      <c r="X28" s="2">
        <f t="shared" si="12"/>
        <v>0</v>
      </c>
      <c r="Y28" s="2"/>
      <c r="Z28" s="19">
        <f t="shared" si="13"/>
        <v>0</v>
      </c>
    </row>
    <row r="29" spans="1:26" s="24" customFormat="1" hidden="1" outlineLevel="1" x14ac:dyDescent="0.3">
      <c r="A29" s="44"/>
      <c r="B29" s="11" t="str">
        <f>CONCATENATE("          ", "5027", " - ", "PURCHASES @ COST-SCHOOL SUPPLI")</f>
        <v xml:space="preserve">          5027 - PURCHASES @ COST-SCHOOL SUPPLI</v>
      </c>
      <c r="C29" s="11"/>
      <c r="D29" s="2"/>
      <c r="E29" s="2"/>
      <c r="F29" s="19">
        <f t="shared" si="6"/>
        <v>0</v>
      </c>
      <c r="G29" s="2"/>
      <c r="H29" s="2"/>
      <c r="I29" s="2"/>
      <c r="J29" s="19">
        <f t="shared" si="7"/>
        <v>0</v>
      </c>
      <c r="K29" s="2"/>
      <c r="L29" s="2">
        <f t="shared" si="8"/>
        <v>0</v>
      </c>
      <c r="M29" s="2"/>
      <c r="N29" s="19">
        <f t="shared" si="9"/>
        <v>0</v>
      </c>
      <c r="O29" s="11"/>
      <c r="P29" s="2">
        <v>0</v>
      </c>
      <c r="Q29" s="2"/>
      <c r="R29" s="19">
        <f t="shared" si="10"/>
        <v>0</v>
      </c>
      <c r="S29" s="2"/>
      <c r="T29" s="2"/>
      <c r="U29" s="2"/>
      <c r="V29" s="19">
        <f t="shared" si="11"/>
        <v>0</v>
      </c>
      <c r="W29" s="2"/>
      <c r="X29" s="2">
        <f t="shared" si="12"/>
        <v>0</v>
      </c>
      <c r="Y29" s="2"/>
      <c r="Z29" s="19">
        <f t="shared" si="13"/>
        <v>0</v>
      </c>
    </row>
    <row r="30" spans="1:26" s="24" customFormat="1" hidden="1" outlineLevel="1" x14ac:dyDescent="0.3">
      <c r="A30" s="44"/>
      <c r="B30" s="11" t="str">
        <f>CONCATENATE("          ", "5028", " - ", "PURCHASES @ COST-ART/TECH")</f>
        <v xml:space="preserve">          5028 - PURCHASES @ COST-ART/TECH</v>
      </c>
      <c r="C30" s="11"/>
      <c r="D30" s="2"/>
      <c r="E30" s="2"/>
      <c r="F30" s="19">
        <f t="shared" si="6"/>
        <v>0</v>
      </c>
      <c r="G30" s="2"/>
      <c r="H30" s="2"/>
      <c r="I30" s="2"/>
      <c r="J30" s="19">
        <f t="shared" si="7"/>
        <v>0</v>
      </c>
      <c r="K30" s="2"/>
      <c r="L30" s="2">
        <f t="shared" si="8"/>
        <v>0</v>
      </c>
      <c r="M30" s="2"/>
      <c r="N30" s="19">
        <f t="shared" si="9"/>
        <v>0</v>
      </c>
      <c r="O30" s="11"/>
      <c r="P30" s="2">
        <v>0</v>
      </c>
      <c r="Q30" s="2"/>
      <c r="R30" s="19">
        <f t="shared" si="10"/>
        <v>0</v>
      </c>
      <c r="S30" s="2"/>
      <c r="T30" s="2"/>
      <c r="U30" s="2"/>
      <c r="V30" s="19">
        <f t="shared" si="11"/>
        <v>0</v>
      </c>
      <c r="W30" s="2"/>
      <c r="X30" s="2">
        <f t="shared" si="12"/>
        <v>0</v>
      </c>
      <c r="Y30" s="2"/>
      <c r="Z30" s="19">
        <f t="shared" si="13"/>
        <v>0</v>
      </c>
    </row>
    <row r="31" spans="1:26" s="24" customFormat="1" hidden="1" outlineLevel="1" x14ac:dyDescent="0.3">
      <c r="A31" s="44"/>
      <c r="B31" s="11" t="str">
        <f>CONCATENATE("          ", "5031", " - ", "PURCHASES @ COST-FOOD")</f>
        <v xml:space="preserve">          5031 - PURCHASES @ COST-FOOD</v>
      </c>
      <c r="C31" s="11"/>
      <c r="D31" s="2"/>
      <c r="E31" s="2"/>
      <c r="F31" s="19">
        <f t="shared" si="6"/>
        <v>0</v>
      </c>
      <c r="G31" s="2"/>
      <c r="H31" s="2"/>
      <c r="I31" s="2"/>
      <c r="J31" s="19">
        <f t="shared" si="7"/>
        <v>0</v>
      </c>
      <c r="K31" s="2"/>
      <c r="L31" s="2">
        <f t="shared" si="8"/>
        <v>0</v>
      </c>
      <c r="M31" s="2"/>
      <c r="N31" s="19">
        <f t="shared" si="9"/>
        <v>0</v>
      </c>
      <c r="O31" s="11"/>
      <c r="P31" s="2">
        <v>0</v>
      </c>
      <c r="Q31" s="2"/>
      <c r="R31" s="19">
        <f t="shared" si="10"/>
        <v>0</v>
      </c>
      <c r="S31" s="2"/>
      <c r="T31" s="2"/>
      <c r="U31" s="2"/>
      <c r="V31" s="19">
        <f t="shared" si="11"/>
        <v>0</v>
      </c>
      <c r="W31" s="2"/>
      <c r="X31" s="2">
        <f t="shared" si="12"/>
        <v>0</v>
      </c>
      <c r="Y31" s="2"/>
      <c r="Z31" s="19">
        <f t="shared" si="13"/>
        <v>0</v>
      </c>
    </row>
    <row r="32" spans="1:26" s="24" customFormat="1" hidden="1" outlineLevel="1" x14ac:dyDescent="0.3">
      <c r="A32" s="44"/>
      <c r="B32" s="11" t="str">
        <f>CONCATENATE("          ", "5040", " - ", "PURCHASES @ COST-LOGO CLOTHING")</f>
        <v xml:space="preserve">          5040 - PURCHASES @ COST-LOGO CLOTHING</v>
      </c>
      <c r="C32" s="11"/>
      <c r="D32" s="2"/>
      <c r="E32" s="2"/>
      <c r="F32" s="19">
        <f t="shared" si="6"/>
        <v>0</v>
      </c>
      <c r="G32" s="2"/>
      <c r="H32" s="2"/>
      <c r="I32" s="2"/>
      <c r="J32" s="19">
        <f t="shared" si="7"/>
        <v>0</v>
      </c>
      <c r="K32" s="2"/>
      <c r="L32" s="2">
        <f t="shared" si="8"/>
        <v>0</v>
      </c>
      <c r="M32" s="2"/>
      <c r="N32" s="19">
        <f t="shared" si="9"/>
        <v>0</v>
      </c>
      <c r="O32" s="11"/>
      <c r="P32" s="2">
        <v>0</v>
      </c>
      <c r="Q32" s="2"/>
      <c r="R32" s="19">
        <f t="shared" si="10"/>
        <v>0</v>
      </c>
      <c r="S32" s="2"/>
      <c r="T32" s="2"/>
      <c r="U32" s="2"/>
      <c r="V32" s="19">
        <f t="shared" si="11"/>
        <v>0</v>
      </c>
      <c r="W32" s="2"/>
      <c r="X32" s="2">
        <f t="shared" si="12"/>
        <v>0</v>
      </c>
      <c r="Y32" s="2"/>
      <c r="Z32" s="19">
        <f t="shared" si="13"/>
        <v>0</v>
      </c>
    </row>
    <row r="33" spans="1:26" s="24" customFormat="1" hidden="1" outlineLevel="1" x14ac:dyDescent="0.3">
      <c r="A33" s="44"/>
      <c r="B33" s="11" t="str">
        <f>CONCATENATE("          ", "5041", " - ", "PURCHASES @ COST-LOGO GIFTS")</f>
        <v xml:space="preserve">          5041 - PURCHASES @ COST-LOGO GIFTS</v>
      </c>
      <c r="C33" s="11"/>
      <c r="D33" s="2"/>
      <c r="E33" s="2"/>
      <c r="F33" s="19">
        <f t="shared" si="6"/>
        <v>0</v>
      </c>
      <c r="G33" s="2"/>
      <c r="H33" s="2"/>
      <c r="I33" s="2"/>
      <c r="J33" s="19">
        <f t="shared" si="7"/>
        <v>0</v>
      </c>
      <c r="K33" s="2"/>
      <c r="L33" s="2">
        <f t="shared" si="8"/>
        <v>0</v>
      </c>
      <c r="M33" s="2"/>
      <c r="N33" s="19">
        <f t="shared" si="9"/>
        <v>0</v>
      </c>
      <c r="O33" s="11"/>
      <c r="P33" s="2">
        <v>0</v>
      </c>
      <c r="Q33" s="2"/>
      <c r="R33" s="19">
        <f t="shared" si="10"/>
        <v>0</v>
      </c>
      <c r="S33" s="2"/>
      <c r="T33" s="2"/>
      <c r="U33" s="2"/>
      <c r="V33" s="19">
        <f t="shared" si="11"/>
        <v>0</v>
      </c>
      <c r="W33" s="2"/>
      <c r="X33" s="2">
        <f t="shared" si="12"/>
        <v>0</v>
      </c>
      <c r="Y33" s="2"/>
      <c r="Z33" s="19">
        <f t="shared" si="13"/>
        <v>0</v>
      </c>
    </row>
    <row r="34" spans="1:26" s="24" customFormat="1" hidden="1" outlineLevel="1" x14ac:dyDescent="0.3">
      <c r="A34" s="44"/>
      <c r="B34" s="11" t="str">
        <f>CONCATENATE("          ", "5042", " - ", "PURCHASES @ COST-EVERYDAY GIFT")</f>
        <v xml:space="preserve">          5042 - PURCHASES @ COST-EVERYDAY GIFT</v>
      </c>
      <c r="C34" s="11"/>
      <c r="D34" s="2"/>
      <c r="E34" s="2"/>
      <c r="F34" s="19">
        <f t="shared" si="6"/>
        <v>0</v>
      </c>
      <c r="G34" s="2"/>
      <c r="H34" s="2"/>
      <c r="I34" s="2"/>
      <c r="J34" s="19">
        <f t="shared" si="7"/>
        <v>0</v>
      </c>
      <c r="K34" s="2"/>
      <c r="L34" s="2">
        <f t="shared" si="8"/>
        <v>0</v>
      </c>
      <c r="M34" s="2"/>
      <c r="N34" s="19">
        <f t="shared" si="9"/>
        <v>0</v>
      </c>
      <c r="O34" s="11"/>
      <c r="P34" s="2">
        <v>0</v>
      </c>
      <c r="Q34" s="2"/>
      <c r="R34" s="19">
        <f t="shared" si="10"/>
        <v>0</v>
      </c>
      <c r="S34" s="2"/>
      <c r="T34" s="2"/>
      <c r="U34" s="2"/>
      <c r="V34" s="19">
        <f t="shared" si="11"/>
        <v>0</v>
      </c>
      <c r="W34" s="2"/>
      <c r="X34" s="2">
        <f t="shared" si="12"/>
        <v>0</v>
      </c>
      <c r="Y34" s="2"/>
      <c r="Z34" s="19">
        <f t="shared" si="13"/>
        <v>0</v>
      </c>
    </row>
    <row r="35" spans="1:26" s="24" customFormat="1" hidden="1" outlineLevel="1" x14ac:dyDescent="0.3">
      <c r="A35" s="44"/>
      <c r="B35" s="11" t="str">
        <f>CONCATENATE("          ", "5043", " - ", "PURCHASES @ COST-CARDS")</f>
        <v xml:space="preserve">          5043 - PURCHASES @ COST-CARDS</v>
      </c>
      <c r="C35" s="11"/>
      <c r="D35" s="2"/>
      <c r="E35" s="2"/>
      <c r="F35" s="19">
        <f t="shared" si="6"/>
        <v>0</v>
      </c>
      <c r="G35" s="2"/>
      <c r="H35" s="2"/>
      <c r="I35" s="2"/>
      <c r="J35" s="19">
        <f t="shared" si="7"/>
        <v>0</v>
      </c>
      <c r="K35" s="2"/>
      <c r="L35" s="2">
        <f t="shared" si="8"/>
        <v>0</v>
      </c>
      <c r="M35" s="2"/>
      <c r="N35" s="19">
        <f t="shared" si="9"/>
        <v>0</v>
      </c>
      <c r="O35" s="11"/>
      <c r="P35" s="2">
        <v>0</v>
      </c>
      <c r="Q35" s="2"/>
      <c r="R35" s="19">
        <f t="shared" si="10"/>
        <v>0</v>
      </c>
      <c r="S35" s="2"/>
      <c r="T35" s="2"/>
      <c r="U35" s="2"/>
      <c r="V35" s="19">
        <f t="shared" si="11"/>
        <v>0</v>
      </c>
      <c r="W35" s="2"/>
      <c r="X35" s="2">
        <f t="shared" si="12"/>
        <v>0</v>
      </c>
      <c r="Y35" s="2"/>
      <c r="Z35" s="19">
        <f t="shared" si="13"/>
        <v>0</v>
      </c>
    </row>
    <row r="36" spans="1:26" s="24" customFormat="1" hidden="1" outlineLevel="1" x14ac:dyDescent="0.3">
      <c r="A36" s="44"/>
      <c r="B36" s="11" t="str">
        <f>CONCATENATE("          ", "5044", " - ", "PURCHASES @ COST-ACCESSORIES")</f>
        <v xml:space="preserve">          5044 - PURCHASES @ COST-ACCESSORIES</v>
      </c>
      <c r="C36" s="11"/>
      <c r="D36" s="2"/>
      <c r="E36" s="2"/>
      <c r="F36" s="19">
        <f t="shared" si="6"/>
        <v>0</v>
      </c>
      <c r="G36" s="2"/>
      <c r="H36" s="2"/>
      <c r="I36" s="2"/>
      <c r="J36" s="19">
        <f t="shared" si="7"/>
        <v>0</v>
      </c>
      <c r="K36" s="2"/>
      <c r="L36" s="2">
        <f t="shared" si="8"/>
        <v>0</v>
      </c>
      <c r="M36" s="2"/>
      <c r="N36" s="19">
        <f t="shared" si="9"/>
        <v>0</v>
      </c>
      <c r="O36" s="11"/>
      <c r="P36" s="2">
        <v>0</v>
      </c>
      <c r="Q36" s="2"/>
      <c r="R36" s="19">
        <f t="shared" si="10"/>
        <v>0</v>
      </c>
      <c r="S36" s="2"/>
      <c r="T36" s="2"/>
      <c r="U36" s="2"/>
      <c r="V36" s="19">
        <f t="shared" si="11"/>
        <v>0</v>
      </c>
      <c r="W36" s="2"/>
      <c r="X36" s="2">
        <f t="shared" si="12"/>
        <v>0</v>
      </c>
      <c r="Y36" s="2"/>
      <c r="Z36" s="19">
        <f t="shared" si="13"/>
        <v>0</v>
      </c>
    </row>
    <row r="37" spans="1:26" s="24" customFormat="1" hidden="1" outlineLevel="1" x14ac:dyDescent="0.3">
      <c r="A37" s="44"/>
      <c r="B37" s="11" t="str">
        <f>CONCATENATE("          ", "5045", " - ", "PURCHASES @ COST-SPECIAL ORDER")</f>
        <v xml:space="preserve">          5045 - PURCHASES @ COST-SPECIAL ORDER</v>
      </c>
      <c r="C37" s="11"/>
      <c r="D37" s="2"/>
      <c r="E37" s="2"/>
      <c r="F37" s="19">
        <f t="shared" si="6"/>
        <v>0</v>
      </c>
      <c r="G37" s="2"/>
      <c r="H37" s="2"/>
      <c r="I37" s="2"/>
      <c r="J37" s="19">
        <f t="shared" si="7"/>
        <v>0</v>
      </c>
      <c r="K37" s="2"/>
      <c r="L37" s="2">
        <f t="shared" si="8"/>
        <v>0</v>
      </c>
      <c r="M37" s="2"/>
      <c r="N37" s="19">
        <f t="shared" si="9"/>
        <v>0</v>
      </c>
      <c r="O37" s="11"/>
      <c r="P37" s="2">
        <v>0</v>
      </c>
      <c r="Q37" s="2"/>
      <c r="R37" s="19">
        <f t="shared" si="10"/>
        <v>0</v>
      </c>
      <c r="S37" s="2"/>
      <c r="T37" s="2"/>
      <c r="U37" s="2"/>
      <c r="V37" s="19">
        <f t="shared" si="11"/>
        <v>0</v>
      </c>
      <c r="W37" s="2"/>
      <c r="X37" s="2">
        <f t="shared" si="12"/>
        <v>0</v>
      </c>
      <c r="Y37" s="2"/>
      <c r="Z37" s="19">
        <f t="shared" si="13"/>
        <v>0</v>
      </c>
    </row>
    <row r="38" spans="1:26" s="24" customFormat="1" hidden="1" outlineLevel="1" x14ac:dyDescent="0.3">
      <c r="A38" s="44"/>
      <c r="B38" s="11" t="str">
        <f>CONCATENATE("          ", "5053", " - ", "PURCHASES @ COST-FOOD")</f>
        <v xml:space="preserve">          5053 - PURCHASES @ COST-FOOD</v>
      </c>
      <c r="C38" s="11"/>
      <c r="D38" s="2">
        <v>238.42</v>
      </c>
      <c r="E38" s="2"/>
      <c r="F38" s="19">
        <f t="shared" si="6"/>
        <v>3.1355059488406991E-4</v>
      </c>
      <c r="G38" s="2"/>
      <c r="H38" s="2"/>
      <c r="I38" s="2"/>
      <c r="J38" s="19">
        <f t="shared" si="7"/>
        <v>0</v>
      </c>
      <c r="K38" s="2"/>
      <c r="L38" s="2">
        <f t="shared" si="8"/>
        <v>238.42</v>
      </c>
      <c r="M38" s="2"/>
      <c r="N38" s="19">
        <f t="shared" si="9"/>
        <v>0</v>
      </c>
      <c r="O38" s="11"/>
      <c r="P38" s="2">
        <v>41937.61</v>
      </c>
      <c r="Q38" s="2"/>
      <c r="R38" s="19">
        <f t="shared" si="10"/>
        <v>9.3237670626268327E-3</v>
      </c>
      <c r="S38" s="2"/>
      <c r="T38" s="2"/>
      <c r="U38" s="2"/>
      <c r="V38" s="19">
        <f t="shared" si="11"/>
        <v>0</v>
      </c>
      <c r="W38" s="2"/>
      <c r="X38" s="2">
        <f t="shared" si="12"/>
        <v>41937.61</v>
      </c>
      <c r="Y38" s="2"/>
      <c r="Z38" s="19">
        <f t="shared" si="13"/>
        <v>0</v>
      </c>
    </row>
    <row r="39" spans="1:26" s="24" customFormat="1" hidden="1" outlineLevel="1" x14ac:dyDescent="0.3">
      <c r="A39" s="44"/>
      <c r="B39" s="11" t="str">
        <f>CONCATENATE("          ", "5059", " - ", "PURCHASES @ COST-FOOD")</f>
        <v xml:space="preserve">          5059 - PURCHASES @ COST-FOOD</v>
      </c>
      <c r="C39" s="11"/>
      <c r="D39" s="2">
        <v>5649.36</v>
      </c>
      <c r="E39" s="2"/>
      <c r="F39" s="19">
        <f t="shared" si="6"/>
        <v>7.4295788470525505E-3</v>
      </c>
      <c r="G39" s="2"/>
      <c r="H39" s="2"/>
      <c r="I39" s="2"/>
      <c r="J39" s="19">
        <f t="shared" si="7"/>
        <v>0</v>
      </c>
      <c r="K39" s="2"/>
      <c r="L39" s="2">
        <f t="shared" si="8"/>
        <v>5649.36</v>
      </c>
      <c r="M39" s="2"/>
      <c r="N39" s="19">
        <f t="shared" si="9"/>
        <v>0</v>
      </c>
      <c r="O39" s="11"/>
      <c r="P39" s="2">
        <v>10407.48</v>
      </c>
      <c r="Q39" s="2"/>
      <c r="R39" s="19">
        <f t="shared" si="10"/>
        <v>2.3138399930026413E-3</v>
      </c>
      <c r="S39" s="2"/>
      <c r="T39" s="2"/>
      <c r="U39" s="2"/>
      <c r="V39" s="19">
        <f t="shared" si="11"/>
        <v>0</v>
      </c>
      <c r="W39" s="2"/>
      <c r="X39" s="2">
        <f t="shared" si="12"/>
        <v>10407.48</v>
      </c>
      <c r="Y39" s="2"/>
      <c r="Z39" s="19">
        <f t="shared" si="13"/>
        <v>0</v>
      </c>
    </row>
    <row r="40" spans="1:26" s="24" customFormat="1" hidden="1" outlineLevel="1" x14ac:dyDescent="0.3">
      <c r="A40" s="44"/>
      <c r="B40" s="11" t="str">
        <f>CONCATENATE("          ", "5200", " - ", "PURCHASES OFFSET")</f>
        <v xml:space="preserve">          5200 - PURCHASES OFFSET</v>
      </c>
      <c r="C40" s="11"/>
      <c r="D40" s="2">
        <v>-472988.62</v>
      </c>
      <c r="E40" s="2"/>
      <c r="F40" s="19">
        <f t="shared" si="6"/>
        <v>-0.62203616799930916</v>
      </c>
      <c r="G40" s="2"/>
      <c r="H40" s="2"/>
      <c r="I40" s="2"/>
      <c r="J40" s="19">
        <f t="shared" si="7"/>
        <v>0</v>
      </c>
      <c r="K40" s="2"/>
      <c r="L40" s="2">
        <f t="shared" si="8"/>
        <v>-472988.62</v>
      </c>
      <c r="M40" s="2"/>
      <c r="N40" s="19">
        <f t="shared" si="9"/>
        <v>0</v>
      </c>
      <c r="O40" s="11"/>
      <c r="P40" s="2">
        <v>-2823984.16</v>
      </c>
      <c r="Q40" s="2"/>
      <c r="R40" s="19">
        <f t="shared" si="10"/>
        <v>-0.62784146489005699</v>
      </c>
      <c r="S40" s="2"/>
      <c r="T40" s="2"/>
      <c r="U40" s="2"/>
      <c r="V40" s="19">
        <f t="shared" si="11"/>
        <v>0</v>
      </c>
      <c r="W40" s="2"/>
      <c r="X40" s="2">
        <f t="shared" si="12"/>
        <v>-2823984.16</v>
      </c>
      <c r="Y40" s="2"/>
      <c r="Z40" s="19">
        <f t="shared" si="13"/>
        <v>0</v>
      </c>
    </row>
    <row r="41" spans="1:26" s="24" customFormat="1" hidden="1" outlineLevel="1" x14ac:dyDescent="0.3">
      <c r="A41" s="44"/>
      <c r="B41" s="11" t="str">
        <f>CONCATENATE("          ", "5300", " - ", "COG$ OFFSET")</f>
        <v xml:space="preserve">          5300 - COG$ OFFSET</v>
      </c>
      <c r="C41" s="11"/>
      <c r="D41" s="2">
        <v>414305.51</v>
      </c>
      <c r="E41" s="2"/>
      <c r="F41" s="19">
        <f t="shared" si="6"/>
        <v>0.54486091403509762</v>
      </c>
      <c r="G41" s="2"/>
      <c r="H41" s="2"/>
      <c r="I41" s="2"/>
      <c r="J41" s="19">
        <f t="shared" si="7"/>
        <v>0</v>
      </c>
      <c r="K41" s="2"/>
      <c r="L41" s="2">
        <f t="shared" si="8"/>
        <v>414305.51</v>
      </c>
      <c r="M41" s="2"/>
      <c r="N41" s="19">
        <f t="shared" si="9"/>
        <v>0</v>
      </c>
      <c r="O41" s="11"/>
      <c r="P41" s="2">
        <v>2375016.67</v>
      </c>
      <c r="Q41" s="2"/>
      <c r="R41" s="19">
        <f t="shared" si="10"/>
        <v>0.52802489700618749</v>
      </c>
      <c r="S41" s="2"/>
      <c r="T41" s="2"/>
      <c r="U41" s="2"/>
      <c r="V41" s="19">
        <f t="shared" si="11"/>
        <v>0</v>
      </c>
      <c r="W41" s="2"/>
      <c r="X41" s="2">
        <f t="shared" si="12"/>
        <v>2375016.67</v>
      </c>
      <c r="Y41" s="2"/>
      <c r="Z41" s="19">
        <f t="shared" si="13"/>
        <v>0</v>
      </c>
    </row>
    <row r="42" spans="1:26" s="24" customFormat="1" hidden="1" outlineLevel="1" x14ac:dyDescent="0.3">
      <c r="A42" s="44"/>
      <c r="B42" s="11" t="str">
        <f>CONCATENATE("          ", "5500", " - ", "FREIGHT-IN")</f>
        <v xml:space="preserve">          5500 - FREIGHT-IN</v>
      </c>
      <c r="C42" s="11"/>
      <c r="D42" s="2">
        <v>21903.56</v>
      </c>
      <c r="E42" s="2"/>
      <c r="F42" s="19">
        <f t="shared" si="6"/>
        <v>2.880578084086452E-2</v>
      </c>
      <c r="G42" s="2"/>
      <c r="H42" s="2"/>
      <c r="I42" s="2"/>
      <c r="J42" s="19">
        <f t="shared" si="7"/>
        <v>0</v>
      </c>
      <c r="K42" s="2"/>
      <c r="L42" s="2">
        <f t="shared" si="8"/>
        <v>21903.56</v>
      </c>
      <c r="M42" s="2"/>
      <c r="N42" s="19">
        <f t="shared" si="9"/>
        <v>0</v>
      </c>
      <c r="O42" s="11"/>
      <c r="P42" s="2">
        <v>92185.86</v>
      </c>
      <c r="Q42" s="2"/>
      <c r="R42" s="19">
        <f t="shared" si="10"/>
        <v>2.0495194769275797E-2</v>
      </c>
      <c r="S42" s="2"/>
      <c r="T42" s="2"/>
      <c r="U42" s="2"/>
      <c r="V42" s="19">
        <f t="shared" si="11"/>
        <v>0</v>
      </c>
      <c r="W42" s="2"/>
      <c r="X42" s="2">
        <f t="shared" si="12"/>
        <v>92185.86</v>
      </c>
      <c r="Y42" s="2"/>
      <c r="Z42" s="19">
        <f t="shared" si="13"/>
        <v>0</v>
      </c>
    </row>
    <row r="43" spans="1:26" s="24" customFormat="1" hidden="1" outlineLevel="1" x14ac:dyDescent="0.3">
      <c r="A43" s="44"/>
      <c r="B43" s="11" t="str">
        <f>CONCATENATE("          ", "5501", " - ", "FREIGHT-IN-NEW TEXT")</f>
        <v xml:space="preserve">          5501 - FREIGHT-IN-NEW TEXT</v>
      </c>
      <c r="C43" s="11"/>
      <c r="D43" s="2"/>
      <c r="E43" s="2"/>
      <c r="F43" s="19">
        <f t="shared" si="6"/>
        <v>0</v>
      </c>
      <c r="G43" s="2"/>
      <c r="H43" s="2"/>
      <c r="I43" s="2"/>
      <c r="J43" s="19">
        <f t="shared" si="7"/>
        <v>0</v>
      </c>
      <c r="K43" s="2"/>
      <c r="L43" s="2">
        <f t="shared" si="8"/>
        <v>0</v>
      </c>
      <c r="M43" s="2"/>
      <c r="N43" s="19">
        <f t="shared" si="9"/>
        <v>0</v>
      </c>
      <c r="O43" s="11"/>
      <c r="P43" s="2">
        <v>0</v>
      </c>
      <c r="Q43" s="2"/>
      <c r="R43" s="19">
        <f t="shared" si="10"/>
        <v>0</v>
      </c>
      <c r="S43" s="2"/>
      <c r="T43" s="2"/>
      <c r="U43" s="2"/>
      <c r="V43" s="19">
        <f t="shared" si="11"/>
        <v>0</v>
      </c>
      <c r="W43" s="2"/>
      <c r="X43" s="2">
        <f t="shared" si="12"/>
        <v>0</v>
      </c>
      <c r="Y43" s="2"/>
      <c r="Z43" s="19">
        <f t="shared" si="13"/>
        <v>0</v>
      </c>
    </row>
    <row r="44" spans="1:26" s="24" customFormat="1" hidden="1" outlineLevel="1" x14ac:dyDescent="0.3">
      <c r="A44" s="44"/>
      <c r="B44" s="11" t="str">
        <f>CONCATENATE("          ", "5502", " - ", "FREIGHT-IN-USED TEXT")</f>
        <v xml:space="preserve">          5502 - FREIGHT-IN-USED TEXT</v>
      </c>
      <c r="C44" s="11"/>
      <c r="D44" s="2"/>
      <c r="E44" s="2"/>
      <c r="F44" s="19">
        <f t="shared" si="6"/>
        <v>0</v>
      </c>
      <c r="G44" s="2"/>
      <c r="H44" s="2"/>
      <c r="I44" s="2"/>
      <c r="J44" s="19">
        <f t="shared" si="7"/>
        <v>0</v>
      </c>
      <c r="K44" s="2"/>
      <c r="L44" s="2">
        <f t="shared" si="8"/>
        <v>0</v>
      </c>
      <c r="M44" s="2"/>
      <c r="N44" s="19">
        <f t="shared" si="9"/>
        <v>0</v>
      </c>
      <c r="O44" s="11"/>
      <c r="P44" s="2">
        <v>0</v>
      </c>
      <c r="Q44" s="2"/>
      <c r="R44" s="19">
        <f t="shared" si="10"/>
        <v>0</v>
      </c>
      <c r="S44" s="2"/>
      <c r="T44" s="2"/>
      <c r="U44" s="2"/>
      <c r="V44" s="19">
        <f t="shared" si="11"/>
        <v>0</v>
      </c>
      <c r="W44" s="2"/>
      <c r="X44" s="2">
        <f t="shared" si="12"/>
        <v>0</v>
      </c>
      <c r="Y44" s="2"/>
      <c r="Z44" s="19">
        <f t="shared" si="13"/>
        <v>0</v>
      </c>
    </row>
    <row r="45" spans="1:26" s="24" customFormat="1" hidden="1" outlineLevel="1" x14ac:dyDescent="0.3">
      <c r="A45" s="44"/>
      <c r="B45" s="11" t="str">
        <f>CONCATENATE("          ", "5518", " - ", "FREIGHT-IN-STUDY GUIDES")</f>
        <v xml:space="preserve">          5518 - FREIGHT-IN-STUDY GUIDES</v>
      </c>
      <c r="C45" s="11"/>
      <c r="D45" s="2"/>
      <c r="E45" s="2"/>
      <c r="F45" s="19">
        <f t="shared" si="6"/>
        <v>0</v>
      </c>
      <c r="G45" s="2"/>
      <c r="H45" s="2"/>
      <c r="I45" s="2"/>
      <c r="J45" s="19">
        <f t="shared" si="7"/>
        <v>0</v>
      </c>
      <c r="K45" s="2"/>
      <c r="L45" s="2">
        <f t="shared" si="8"/>
        <v>0</v>
      </c>
      <c r="M45" s="2"/>
      <c r="N45" s="19">
        <f t="shared" si="9"/>
        <v>0</v>
      </c>
      <c r="O45" s="11"/>
      <c r="P45" s="2">
        <v>0</v>
      </c>
      <c r="Q45" s="2"/>
      <c r="R45" s="19">
        <f t="shared" si="10"/>
        <v>0</v>
      </c>
      <c r="S45" s="2"/>
      <c r="T45" s="2"/>
      <c r="U45" s="2"/>
      <c r="V45" s="19">
        <f t="shared" si="11"/>
        <v>0</v>
      </c>
      <c r="W45" s="2"/>
      <c r="X45" s="2">
        <f t="shared" si="12"/>
        <v>0</v>
      </c>
      <c r="Y45" s="2"/>
      <c r="Z45" s="19">
        <f t="shared" si="13"/>
        <v>0</v>
      </c>
    </row>
    <row r="46" spans="1:26" s="24" customFormat="1" hidden="1" outlineLevel="1" x14ac:dyDescent="0.3">
      <c r="A46" s="44"/>
      <c r="B46" s="11" t="str">
        <f>CONCATENATE("          ", "5527", " - ", "FREIGHT-IN-SCHOOL SUPPLIES")</f>
        <v xml:space="preserve">          5527 - FREIGHT-IN-SCHOOL SUPPLIES</v>
      </c>
      <c r="C46" s="11"/>
      <c r="D46" s="2"/>
      <c r="E46" s="2"/>
      <c r="F46" s="19">
        <f t="shared" si="6"/>
        <v>0</v>
      </c>
      <c r="G46" s="2"/>
      <c r="H46" s="2"/>
      <c r="I46" s="2"/>
      <c r="J46" s="19">
        <f t="shared" si="7"/>
        <v>0</v>
      </c>
      <c r="K46" s="2"/>
      <c r="L46" s="2">
        <f t="shared" si="8"/>
        <v>0</v>
      </c>
      <c r="M46" s="2"/>
      <c r="N46" s="19">
        <f t="shared" si="9"/>
        <v>0</v>
      </c>
      <c r="O46" s="11"/>
      <c r="P46" s="2">
        <v>0</v>
      </c>
      <c r="Q46" s="2"/>
      <c r="R46" s="19">
        <f t="shared" si="10"/>
        <v>0</v>
      </c>
      <c r="S46" s="2"/>
      <c r="T46" s="2"/>
      <c r="U46" s="2"/>
      <c r="V46" s="19">
        <f t="shared" si="11"/>
        <v>0</v>
      </c>
      <c r="W46" s="2"/>
      <c r="X46" s="2">
        <f t="shared" si="12"/>
        <v>0</v>
      </c>
      <c r="Y46" s="2"/>
      <c r="Z46" s="19">
        <f t="shared" si="13"/>
        <v>0</v>
      </c>
    </row>
    <row r="47" spans="1:26" s="24" customFormat="1" hidden="1" outlineLevel="1" x14ac:dyDescent="0.3">
      <c r="A47" s="44"/>
      <c r="B47" s="11" t="str">
        <f>CONCATENATE("          ", "5528", " - ", "FREIGHT-IN-ART/TECH")</f>
        <v xml:space="preserve">          5528 - FREIGHT-IN-ART/TECH</v>
      </c>
      <c r="C47" s="11"/>
      <c r="D47" s="2"/>
      <c r="E47" s="2"/>
      <c r="F47" s="19">
        <f t="shared" si="6"/>
        <v>0</v>
      </c>
      <c r="G47" s="2"/>
      <c r="H47" s="2"/>
      <c r="I47" s="2"/>
      <c r="J47" s="19">
        <f t="shared" si="7"/>
        <v>0</v>
      </c>
      <c r="K47" s="2"/>
      <c r="L47" s="2">
        <f t="shared" si="8"/>
        <v>0</v>
      </c>
      <c r="M47" s="2"/>
      <c r="N47" s="19">
        <f t="shared" si="9"/>
        <v>0</v>
      </c>
      <c r="O47" s="11"/>
      <c r="P47" s="2">
        <v>0</v>
      </c>
      <c r="Q47" s="2"/>
      <c r="R47" s="19">
        <f t="shared" si="10"/>
        <v>0</v>
      </c>
      <c r="S47" s="2"/>
      <c r="T47" s="2"/>
      <c r="U47" s="2"/>
      <c r="V47" s="19">
        <f t="shared" si="11"/>
        <v>0</v>
      </c>
      <c r="W47" s="2"/>
      <c r="X47" s="2">
        <f t="shared" si="12"/>
        <v>0</v>
      </c>
      <c r="Y47" s="2"/>
      <c r="Z47" s="19">
        <f t="shared" si="13"/>
        <v>0</v>
      </c>
    </row>
    <row r="48" spans="1:26" s="24" customFormat="1" hidden="1" outlineLevel="1" x14ac:dyDescent="0.3">
      <c r="A48" s="44"/>
      <c r="B48" s="11" t="str">
        <f>CONCATENATE("          ", "5540", " - ", "FREIGHT-IN-LOGO CLOTHING")</f>
        <v xml:space="preserve">          5540 - FREIGHT-IN-LOGO CLOTHING</v>
      </c>
      <c r="C48" s="11"/>
      <c r="D48" s="2"/>
      <c r="E48" s="2"/>
      <c r="F48" s="19">
        <f t="shared" si="6"/>
        <v>0</v>
      </c>
      <c r="G48" s="2"/>
      <c r="H48" s="2"/>
      <c r="I48" s="2"/>
      <c r="J48" s="19">
        <f t="shared" si="7"/>
        <v>0</v>
      </c>
      <c r="K48" s="2"/>
      <c r="L48" s="2">
        <f t="shared" si="8"/>
        <v>0</v>
      </c>
      <c r="M48" s="2"/>
      <c r="N48" s="19">
        <f t="shared" si="9"/>
        <v>0</v>
      </c>
      <c r="O48" s="11"/>
      <c r="P48" s="2">
        <v>0</v>
      </c>
      <c r="Q48" s="2"/>
      <c r="R48" s="19">
        <f t="shared" si="10"/>
        <v>0</v>
      </c>
      <c r="S48" s="2"/>
      <c r="T48" s="2"/>
      <c r="U48" s="2"/>
      <c r="V48" s="19">
        <f t="shared" si="11"/>
        <v>0</v>
      </c>
      <c r="W48" s="2"/>
      <c r="X48" s="2">
        <f t="shared" si="12"/>
        <v>0</v>
      </c>
      <c r="Y48" s="2"/>
      <c r="Z48" s="19">
        <f t="shared" si="13"/>
        <v>0</v>
      </c>
    </row>
    <row r="49" spans="1:26" s="24" customFormat="1" hidden="1" outlineLevel="1" x14ac:dyDescent="0.3">
      <c r="A49" s="44"/>
      <c r="B49" s="11" t="str">
        <f>CONCATENATE("          ", "5541", " - ", "FREIGHT-IN-LOGO GIFTS")</f>
        <v xml:space="preserve">          5541 - FREIGHT-IN-LOGO GIFTS</v>
      </c>
      <c r="C49" s="11"/>
      <c r="D49" s="2"/>
      <c r="E49" s="2"/>
      <c r="F49" s="19">
        <f t="shared" si="6"/>
        <v>0</v>
      </c>
      <c r="G49" s="2"/>
      <c r="H49" s="2"/>
      <c r="I49" s="2"/>
      <c r="J49" s="19">
        <f t="shared" si="7"/>
        <v>0</v>
      </c>
      <c r="K49" s="2"/>
      <c r="L49" s="2">
        <f t="shared" si="8"/>
        <v>0</v>
      </c>
      <c r="M49" s="2"/>
      <c r="N49" s="19">
        <f t="shared" si="9"/>
        <v>0</v>
      </c>
      <c r="O49" s="11"/>
      <c r="P49" s="2">
        <v>0</v>
      </c>
      <c r="Q49" s="2"/>
      <c r="R49" s="19">
        <f t="shared" si="10"/>
        <v>0</v>
      </c>
      <c r="S49" s="2"/>
      <c r="T49" s="2"/>
      <c r="U49" s="2"/>
      <c r="V49" s="19">
        <f t="shared" si="11"/>
        <v>0</v>
      </c>
      <c r="W49" s="2"/>
      <c r="X49" s="2">
        <f t="shared" si="12"/>
        <v>0</v>
      </c>
      <c r="Y49" s="2"/>
      <c r="Z49" s="19">
        <f t="shared" si="13"/>
        <v>0</v>
      </c>
    </row>
    <row r="50" spans="1:26" s="24" customFormat="1" hidden="1" outlineLevel="1" x14ac:dyDescent="0.3">
      <c r="A50" s="44"/>
      <c r="B50" s="11" t="str">
        <f>CONCATENATE("          ", "5542", " - ", "FREIGHT-IN-EVERYDAY GIFTS")</f>
        <v xml:space="preserve">          5542 - FREIGHT-IN-EVERYDAY GIFTS</v>
      </c>
      <c r="C50" s="11"/>
      <c r="D50" s="2"/>
      <c r="E50" s="2"/>
      <c r="F50" s="19">
        <f t="shared" si="6"/>
        <v>0</v>
      </c>
      <c r="G50" s="2"/>
      <c r="H50" s="2"/>
      <c r="I50" s="2"/>
      <c r="J50" s="19">
        <f t="shared" si="7"/>
        <v>0</v>
      </c>
      <c r="K50" s="2"/>
      <c r="L50" s="2">
        <f t="shared" si="8"/>
        <v>0</v>
      </c>
      <c r="M50" s="2"/>
      <c r="N50" s="19">
        <f t="shared" si="9"/>
        <v>0</v>
      </c>
      <c r="O50" s="11"/>
      <c r="P50" s="2">
        <v>0</v>
      </c>
      <c r="Q50" s="2"/>
      <c r="R50" s="19">
        <f t="shared" si="10"/>
        <v>0</v>
      </c>
      <c r="S50" s="2"/>
      <c r="T50" s="2"/>
      <c r="U50" s="2"/>
      <c r="V50" s="19">
        <f t="shared" si="11"/>
        <v>0</v>
      </c>
      <c r="W50" s="2"/>
      <c r="X50" s="2">
        <f t="shared" si="12"/>
        <v>0</v>
      </c>
      <c r="Y50" s="2"/>
      <c r="Z50" s="19">
        <f t="shared" si="13"/>
        <v>0</v>
      </c>
    </row>
    <row r="51" spans="1:26" s="24" customFormat="1" hidden="1" outlineLevel="1" x14ac:dyDescent="0.3">
      <c r="A51" s="44"/>
      <c r="B51" s="11" t="str">
        <f>CONCATENATE("          ", "5544", " - ", "FREIGHT-IN-ACCESSORIES")</f>
        <v xml:space="preserve">          5544 - FREIGHT-IN-ACCESSORIES</v>
      </c>
      <c r="C51" s="11"/>
      <c r="D51" s="2"/>
      <c r="E51" s="2"/>
      <c r="F51" s="19">
        <f t="shared" si="6"/>
        <v>0</v>
      </c>
      <c r="G51" s="2"/>
      <c r="H51" s="2"/>
      <c r="I51" s="2"/>
      <c r="J51" s="19">
        <f t="shared" si="7"/>
        <v>0</v>
      </c>
      <c r="K51" s="2"/>
      <c r="L51" s="2">
        <f t="shared" si="8"/>
        <v>0</v>
      </c>
      <c r="M51" s="2"/>
      <c r="N51" s="19">
        <f t="shared" si="9"/>
        <v>0</v>
      </c>
      <c r="O51" s="11"/>
      <c r="P51" s="2">
        <v>0</v>
      </c>
      <c r="Q51" s="2"/>
      <c r="R51" s="19">
        <f t="shared" si="10"/>
        <v>0</v>
      </c>
      <c r="S51" s="2"/>
      <c r="T51" s="2"/>
      <c r="U51" s="2"/>
      <c r="V51" s="19">
        <f t="shared" si="11"/>
        <v>0</v>
      </c>
      <c r="W51" s="2"/>
      <c r="X51" s="2">
        <f t="shared" si="12"/>
        <v>0</v>
      </c>
      <c r="Y51" s="2"/>
      <c r="Z51" s="19">
        <f t="shared" si="13"/>
        <v>0</v>
      </c>
    </row>
    <row r="52" spans="1:26" s="24" customFormat="1" hidden="1" outlineLevel="1" x14ac:dyDescent="0.3">
      <c r="A52" s="44"/>
      <c r="B52" s="11" t="str">
        <f>CONCATENATE("          ", "5545", " - ", "FREIGHT-IN-SPECIAL ORDERS")</f>
        <v xml:space="preserve">          5545 - FREIGHT-IN-SPECIAL ORDERS</v>
      </c>
      <c r="C52" s="11"/>
      <c r="D52" s="2"/>
      <c r="E52" s="2"/>
      <c r="F52" s="19">
        <f t="shared" si="6"/>
        <v>0</v>
      </c>
      <c r="G52" s="2"/>
      <c r="H52" s="2"/>
      <c r="I52" s="2"/>
      <c r="J52" s="19">
        <f t="shared" si="7"/>
        <v>0</v>
      </c>
      <c r="K52" s="2"/>
      <c r="L52" s="2">
        <f t="shared" si="8"/>
        <v>0</v>
      </c>
      <c r="M52" s="2"/>
      <c r="N52" s="19">
        <f t="shared" si="9"/>
        <v>0</v>
      </c>
      <c r="O52" s="11"/>
      <c r="P52" s="2">
        <v>0</v>
      </c>
      <c r="Q52" s="2"/>
      <c r="R52" s="19">
        <f t="shared" si="10"/>
        <v>0</v>
      </c>
      <c r="S52" s="2"/>
      <c r="T52" s="2"/>
      <c r="U52" s="2"/>
      <c r="V52" s="19">
        <f t="shared" si="11"/>
        <v>0</v>
      </c>
      <c r="W52" s="2"/>
      <c r="X52" s="2">
        <f t="shared" si="12"/>
        <v>0</v>
      </c>
      <c r="Y52" s="2"/>
      <c r="Z52" s="19">
        <f t="shared" si="13"/>
        <v>0</v>
      </c>
    </row>
    <row r="53" spans="1:26" x14ac:dyDescent="0.3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3">
      <c r="A54" s="10"/>
      <c r="B54" s="26" t="s">
        <v>108</v>
      </c>
      <c r="C54" s="26"/>
      <c r="D54" s="21">
        <f>D12-D23</f>
        <v>302945.49000000017</v>
      </c>
      <c r="E54" s="13"/>
      <c r="F54" s="22">
        <f>IF(D$12=0,0,D54/D$12)</f>
        <v>0.39840927190229891</v>
      </c>
      <c r="G54" s="13"/>
      <c r="H54" s="21">
        <f>H12-H23</f>
        <v>700168</v>
      </c>
      <c r="I54" s="13"/>
      <c r="J54" s="22">
        <f>IF(H$12=0,0,H54/H$12)</f>
        <v>0.34496812273976923</v>
      </c>
      <c r="K54" s="15"/>
      <c r="L54" s="21">
        <f>+D54-H54</f>
        <v>-397222.50999999983</v>
      </c>
      <c r="M54" s="15"/>
      <c r="N54" s="22">
        <f>IF(H54=0,0,L54/H54)</f>
        <v>-0.56732457067446651</v>
      </c>
      <c r="O54" s="25"/>
      <c r="P54" s="21">
        <f>P12-P23</f>
        <v>1782103.7399999998</v>
      </c>
      <c r="Q54" s="13"/>
      <c r="R54" s="22">
        <f>IF(P$12=0,0,P54/P$12)</f>
        <v>0.39620570063949972</v>
      </c>
      <c r="S54" s="13"/>
      <c r="T54" s="21">
        <f>T12-T23</f>
        <v>2636580</v>
      </c>
      <c r="U54" s="13"/>
      <c r="V54" s="22">
        <f>IF(T$12=0,0,T54/T$12)</f>
        <v>0.36942883817069827</v>
      </c>
      <c r="W54" s="15"/>
      <c r="X54" s="21">
        <f>+P54-T54</f>
        <v>-854476.26000000024</v>
      </c>
      <c r="Y54" s="15"/>
      <c r="Z54" s="22">
        <f>IF(T54=0,0,X54/T54)</f>
        <v>-0.32408508749971565</v>
      </c>
    </row>
    <row r="55" spans="1:26" x14ac:dyDescent="0.3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3">
      <c r="A56" s="10"/>
      <c r="B56" s="25" t="s">
        <v>295</v>
      </c>
      <c r="C56" s="10"/>
      <c r="D56" s="20">
        <f>SUM(OSRRefD22x_0)</f>
        <v>389267.99999999983</v>
      </c>
      <c r="E56" s="20"/>
      <c r="F56" s="33">
        <f t="shared" ref="F56:F67" si="14">IF(D$12=0,0,D56/D$12)</f>
        <v>0.51193361701758278</v>
      </c>
      <c r="G56" s="20"/>
      <c r="H56" s="20">
        <f>SUM(OSRRefH22x_0)</f>
        <v>472252.470923891</v>
      </c>
      <c r="I56" s="20"/>
      <c r="J56" s="33">
        <f t="shared" ref="J56:J67" si="15">IF(H$12=0,0,H56/H$12)</f>
        <v>0.23267565549101377</v>
      </c>
      <c r="K56" s="4"/>
      <c r="L56" s="20">
        <f t="shared" ref="L56:L67" si="16">+D56-H56</f>
        <v>-82984.470923891175</v>
      </c>
      <c r="M56" s="4"/>
      <c r="N56" s="33">
        <f t="shared" ref="N56:N67" si="17">IF(H56=0,0,L56/H56)</f>
        <v>-0.17572056481048057</v>
      </c>
      <c r="O56" s="10"/>
      <c r="P56" s="20">
        <f>SUM(OSRRefP22x_0)</f>
        <v>2374797.7199999997</v>
      </c>
      <c r="Q56" s="20"/>
      <c r="R56" s="33">
        <f t="shared" ref="R56:R67" si="18">IF(P$12=0,0,P56/P$12)</f>
        <v>0.52797621901050862</v>
      </c>
      <c r="S56" s="20"/>
      <c r="T56" s="20">
        <f>SUM(OSRRefT22x_0)</f>
        <v>2703310.7079040175</v>
      </c>
      <c r="U56" s="20"/>
      <c r="V56" s="33">
        <f t="shared" ref="V56:V67" si="19">IF(T$12=0,0,T56/T$12)</f>
        <v>0.37877892346729058</v>
      </c>
      <c r="W56" s="4"/>
      <c r="X56" s="20">
        <f t="shared" ref="X56:X67" si="20">+P56-T56</f>
        <v>-328512.98790401779</v>
      </c>
      <c r="Y56" s="4"/>
      <c r="Z56" s="33">
        <f t="shared" ref="Z56:Z67" si="21">IF(T56=0,0,X56/T56)</f>
        <v>-0.12152246759630778</v>
      </c>
    </row>
    <row r="57" spans="1:26" s="28" customFormat="1" outlineLevel="1" collapsed="1" x14ac:dyDescent="0.3">
      <c r="A57" s="29"/>
      <c r="B57" s="14" t="str">
        <f>CONCATENATE("     ","*Benefits                                         ")</f>
        <v xml:space="preserve">     *Benefits                                         </v>
      </c>
      <c r="C57" s="14"/>
      <c r="D57" s="1">
        <f>SUM(OSRRefD22_0x_0)</f>
        <v>64428.79</v>
      </c>
      <c r="E57" s="1"/>
      <c r="F57" s="5">
        <f t="shared" si="14"/>
        <v>8.4731505042197869E-2</v>
      </c>
      <c r="G57" s="1"/>
      <c r="H57" s="1">
        <f>SUM(OSRRefH22_0x_0)</f>
        <v>59996.798855785208</v>
      </c>
      <c r="I57" s="1"/>
      <c r="J57" s="5">
        <f t="shared" si="15"/>
        <v>2.956002426799819E-2</v>
      </c>
      <c r="K57" s="1"/>
      <c r="L57" s="1">
        <f t="shared" si="16"/>
        <v>4431.9911442147932</v>
      </c>
      <c r="M57" s="1"/>
      <c r="N57" s="5">
        <f t="shared" si="17"/>
        <v>7.3870460236853744E-2</v>
      </c>
      <c r="O57" s="14"/>
      <c r="P57" s="1">
        <f>SUM(OSRRefP22_0x_0)</f>
        <v>368397.76</v>
      </c>
      <c r="Q57" s="1"/>
      <c r="R57" s="5">
        <f t="shared" si="18"/>
        <v>8.1903925870680391E-2</v>
      </c>
      <c r="S57" s="1"/>
      <c r="T57" s="1">
        <f>SUM(OSRRefT22_0x_0)</f>
        <v>376995.9382532998</v>
      </c>
      <c r="U57" s="1"/>
      <c r="V57" s="5">
        <f t="shared" si="19"/>
        <v>5.2823419529841251E-2</v>
      </c>
      <c r="W57" s="1"/>
      <c r="X57" s="1">
        <f t="shared" si="20"/>
        <v>-8598.1782532997895</v>
      </c>
      <c r="Y57" s="1"/>
      <c r="Z57" s="5">
        <f t="shared" si="21"/>
        <v>-2.2807084588595115E-2</v>
      </c>
    </row>
    <row r="58" spans="1:26" s="24" customFormat="1" hidden="1" outlineLevel="2" x14ac:dyDescent="0.3">
      <c r="A58" s="27"/>
      <c r="B58" s="11" t="str">
        <f>CONCATENATE("          ", "6111", " - ", "F.I.C.A.")</f>
        <v xml:space="preserve">          6111 - F.I.C.A.</v>
      </c>
      <c r="C58" s="11"/>
      <c r="D58" s="7">
        <v>7922.8</v>
      </c>
      <c r="E58" s="2"/>
      <c r="F58" s="6">
        <f t="shared" si="14"/>
        <v>1.0419422251268809E-2</v>
      </c>
      <c r="G58" s="2"/>
      <c r="H58" s="7">
        <v>12895.0617442439</v>
      </c>
      <c r="I58" s="2"/>
      <c r="J58" s="6">
        <f t="shared" si="15"/>
        <v>6.3533112660464804E-3</v>
      </c>
      <c r="K58" s="2"/>
      <c r="L58" s="7">
        <f t="shared" si="16"/>
        <v>-4972.2617442438996</v>
      </c>
      <c r="M58" s="2"/>
      <c r="N58" s="6">
        <f t="shared" si="17"/>
        <v>-0.3855942563798439</v>
      </c>
      <c r="O58" s="11"/>
      <c r="P58" s="7">
        <v>65085.85</v>
      </c>
      <c r="Q58" s="2"/>
      <c r="R58" s="6">
        <f t="shared" si="18"/>
        <v>1.4470192852503292E-2</v>
      </c>
      <c r="S58" s="2"/>
      <c r="T58" s="7">
        <v>76805.673348804805</v>
      </c>
      <c r="U58" s="2"/>
      <c r="V58" s="6">
        <f t="shared" si="19"/>
        <v>1.0761756013535384E-2</v>
      </c>
      <c r="W58" s="2"/>
      <c r="X58" s="7">
        <f t="shared" si="20"/>
        <v>-11719.823348804806</v>
      </c>
      <c r="Y58" s="2"/>
      <c r="Z58" s="6">
        <f t="shared" si="21"/>
        <v>-0.15259059438982422</v>
      </c>
    </row>
    <row r="59" spans="1:26" s="24" customFormat="1" hidden="1" outlineLevel="2" x14ac:dyDescent="0.3">
      <c r="A59" s="27"/>
      <c r="B59" s="11" t="str">
        <f>CONCATENATE("          ", "6112", " - ", "COMPENSATION INSURANCE")</f>
        <v xml:space="preserve">          6112 - COMPENSATION INSURANCE</v>
      </c>
      <c r="C59" s="11"/>
      <c r="D59" s="7">
        <v>2521.08</v>
      </c>
      <c r="E59" s="2"/>
      <c r="F59" s="6">
        <f t="shared" si="14"/>
        <v>3.3155193932989306E-3</v>
      </c>
      <c r="G59" s="2"/>
      <c r="H59" s="7">
        <v>4730.2511730807701</v>
      </c>
      <c r="I59" s="2"/>
      <c r="J59" s="6">
        <f t="shared" si="15"/>
        <v>2.3305633323220491E-3</v>
      </c>
      <c r="K59" s="2"/>
      <c r="L59" s="7">
        <f t="shared" si="16"/>
        <v>-2209.1711730807701</v>
      </c>
      <c r="M59" s="2"/>
      <c r="N59" s="6">
        <f t="shared" si="17"/>
        <v>-0.46703041598570266</v>
      </c>
      <c r="O59" s="11"/>
      <c r="P59" s="7">
        <v>17824.04</v>
      </c>
      <c r="Q59" s="2"/>
      <c r="R59" s="6">
        <f t="shared" si="18"/>
        <v>3.9627245585750637E-3</v>
      </c>
      <c r="S59" s="2"/>
      <c r="T59" s="7">
        <v>24741.880363700799</v>
      </c>
      <c r="U59" s="2"/>
      <c r="V59" s="6">
        <f t="shared" si="19"/>
        <v>3.4667501524400547E-3</v>
      </c>
      <c r="W59" s="2"/>
      <c r="X59" s="7">
        <f t="shared" si="20"/>
        <v>-6917.8403637007978</v>
      </c>
      <c r="Y59" s="2"/>
      <c r="Z59" s="6">
        <f t="shared" si="21"/>
        <v>-0.27960042898962806</v>
      </c>
    </row>
    <row r="60" spans="1:26" s="24" customFormat="1" hidden="1" outlineLevel="2" x14ac:dyDescent="0.3">
      <c r="A60" s="27"/>
      <c r="B60" s="11" t="str">
        <f>CONCATENATE("          ", "6113", " - ", "GROUP INSURANCE")</f>
        <v xml:space="preserve">          6113 - GROUP INSURANCE</v>
      </c>
      <c r="C60" s="11"/>
      <c r="D60" s="7">
        <v>18089.939999999999</v>
      </c>
      <c r="E60" s="2"/>
      <c r="F60" s="6">
        <f t="shared" si="14"/>
        <v>2.3790417953263702E-2</v>
      </c>
      <c r="G60" s="2"/>
      <c r="H60" s="7">
        <v>18761.1538461538</v>
      </c>
      <c r="I60" s="2"/>
      <c r="J60" s="6">
        <f t="shared" si="15"/>
        <v>9.2434958791885336E-3</v>
      </c>
      <c r="K60" s="2"/>
      <c r="L60" s="7">
        <f t="shared" si="16"/>
        <v>-671.21384615380157</v>
      </c>
      <c r="M60" s="2"/>
      <c r="N60" s="6">
        <f t="shared" si="17"/>
        <v>-3.5776789192068066E-2</v>
      </c>
      <c r="O60" s="11"/>
      <c r="P60" s="7">
        <v>124930.79</v>
      </c>
      <c r="Q60" s="2"/>
      <c r="R60" s="6">
        <f t="shared" si="18"/>
        <v>2.7775201898962518E-2</v>
      </c>
      <c r="S60" s="2"/>
      <c r="T60" s="7">
        <v>131997.65384615399</v>
      </c>
      <c r="U60" s="2"/>
      <c r="V60" s="6">
        <f t="shared" si="19"/>
        <v>1.8495073125656219E-2</v>
      </c>
      <c r="W60" s="2"/>
      <c r="X60" s="7">
        <f t="shared" si="20"/>
        <v>-7066.8638461539958</v>
      </c>
      <c r="Y60" s="2"/>
      <c r="Z60" s="6">
        <f t="shared" si="21"/>
        <v>-5.3537798894445293E-2</v>
      </c>
    </row>
    <row r="61" spans="1:26" s="24" customFormat="1" hidden="1" outlineLevel="2" x14ac:dyDescent="0.3">
      <c r="A61" s="27"/>
      <c r="B61" s="11" t="str">
        <f>CONCATENATE("          ", "6114", " - ", "STATE UNEMPLOYMENT INSURANCE")</f>
        <v xml:space="preserve">          6114 - STATE UNEMPLOYMENT INSURANCE</v>
      </c>
      <c r="C61" s="11"/>
      <c r="D61" s="7">
        <v>434.13</v>
      </c>
      <c r="E61" s="2"/>
      <c r="F61" s="6">
        <f t="shared" si="14"/>
        <v>5.7093247108892407E-4</v>
      </c>
      <c r="G61" s="2"/>
      <c r="H61" s="7">
        <v>592.44151350865297</v>
      </c>
      <c r="I61" s="2"/>
      <c r="J61" s="6">
        <f t="shared" si="15"/>
        <v>2.9189199841779068E-4</v>
      </c>
      <c r="K61" s="2"/>
      <c r="L61" s="7">
        <f t="shared" si="16"/>
        <v>-158.31151350865298</v>
      </c>
      <c r="M61" s="2"/>
      <c r="N61" s="6">
        <f t="shared" si="17"/>
        <v>-0.26721880539916071</v>
      </c>
      <c r="O61" s="11"/>
      <c r="P61" s="7">
        <v>3190.3</v>
      </c>
      <c r="Q61" s="2"/>
      <c r="R61" s="6">
        <f t="shared" si="18"/>
        <v>7.0928252849645904E-4</v>
      </c>
      <c r="S61" s="2"/>
      <c r="T61" s="7">
        <v>3024.9672507075002</v>
      </c>
      <c r="U61" s="2"/>
      <c r="V61" s="6">
        <f t="shared" si="19"/>
        <v>4.2384837059117613E-4</v>
      </c>
      <c r="W61" s="2"/>
      <c r="X61" s="7">
        <f t="shared" si="20"/>
        <v>165.33274929250001</v>
      </c>
      <c r="Y61" s="2"/>
      <c r="Z61" s="6">
        <f t="shared" si="21"/>
        <v>5.4656046029533327E-2</v>
      </c>
    </row>
    <row r="62" spans="1:26" s="24" customFormat="1" hidden="1" outlineLevel="2" x14ac:dyDescent="0.3">
      <c r="A62" s="27"/>
      <c r="B62" s="11" t="str">
        <f>CONCATENATE("          ", "6115", " - ", "P.E.R.S.")</f>
        <v xml:space="preserve">          6115 - P.E.R.S.</v>
      </c>
      <c r="C62" s="11"/>
      <c r="D62" s="7">
        <v>6275.91</v>
      </c>
      <c r="E62" s="2"/>
      <c r="F62" s="6">
        <f t="shared" si="14"/>
        <v>8.2535664539001904E-3</v>
      </c>
      <c r="G62" s="2"/>
      <c r="H62" s="7">
        <v>5766.90857321154</v>
      </c>
      <c r="I62" s="2"/>
      <c r="J62" s="6">
        <f t="shared" si="15"/>
        <v>2.8413175473781518E-3</v>
      </c>
      <c r="K62" s="2"/>
      <c r="L62" s="7">
        <f t="shared" si="16"/>
        <v>509.00142678845987</v>
      </c>
      <c r="M62" s="2"/>
      <c r="N62" s="6">
        <f t="shared" si="17"/>
        <v>8.8262440842720266E-2</v>
      </c>
      <c r="O62" s="11"/>
      <c r="P62" s="7">
        <v>48883.73</v>
      </c>
      <c r="Q62" s="2"/>
      <c r="R62" s="6">
        <f t="shared" si="18"/>
        <v>1.0868061190715044E-2</v>
      </c>
      <c r="S62" s="2"/>
      <c r="T62" s="7">
        <v>37572.42661545</v>
      </c>
      <c r="U62" s="2"/>
      <c r="V62" s="6">
        <f t="shared" si="19"/>
        <v>5.2645237056336298E-3</v>
      </c>
      <c r="W62" s="2"/>
      <c r="X62" s="7">
        <f t="shared" si="20"/>
        <v>11311.303384550003</v>
      </c>
      <c r="Y62" s="2"/>
      <c r="Z62" s="6">
        <f t="shared" si="21"/>
        <v>0.30105330966030097</v>
      </c>
    </row>
    <row r="63" spans="1:26" s="24" customFormat="1" hidden="1" outlineLevel="2" x14ac:dyDescent="0.3">
      <c r="A63" s="27"/>
      <c r="B63" s="11" t="str">
        <f>CONCATENATE("          ", "6116", " - ", "EDUCATIONAL BENEFITS")</f>
        <v xml:space="preserve">          6116 - EDUCATIONAL BENEFITS</v>
      </c>
      <c r="C63" s="11"/>
      <c r="D63" s="7"/>
      <c r="E63" s="2"/>
      <c r="F63" s="6">
        <f t="shared" si="14"/>
        <v>0</v>
      </c>
      <c r="G63" s="2"/>
      <c r="H63" s="7">
        <v>0</v>
      </c>
      <c r="I63" s="2"/>
      <c r="J63" s="6">
        <f t="shared" si="15"/>
        <v>0</v>
      </c>
      <c r="K63" s="2"/>
      <c r="L63" s="7">
        <f t="shared" si="16"/>
        <v>0</v>
      </c>
      <c r="M63" s="2"/>
      <c r="N63" s="6">
        <f t="shared" si="17"/>
        <v>0</v>
      </c>
      <c r="O63" s="11"/>
      <c r="P63" s="7"/>
      <c r="Q63" s="2"/>
      <c r="R63" s="6">
        <f t="shared" si="18"/>
        <v>0</v>
      </c>
      <c r="S63" s="2"/>
      <c r="T63" s="7">
        <v>0</v>
      </c>
      <c r="U63" s="2"/>
      <c r="V63" s="6">
        <f t="shared" si="19"/>
        <v>0</v>
      </c>
      <c r="W63" s="2"/>
      <c r="X63" s="7">
        <f t="shared" si="20"/>
        <v>0</v>
      </c>
      <c r="Y63" s="2"/>
      <c r="Z63" s="6">
        <f t="shared" si="21"/>
        <v>0</v>
      </c>
    </row>
    <row r="64" spans="1:26" s="24" customFormat="1" hidden="1" outlineLevel="2" x14ac:dyDescent="0.3">
      <c r="A64" s="27"/>
      <c r="B64" s="11" t="str">
        <f>CONCATENATE("          ", "6117", " - ", "RETIREMENT STAFF HOURLY")</f>
        <v xml:space="preserve">          6117 - RETIREMENT STAFF HOURLY</v>
      </c>
      <c r="C64" s="11"/>
      <c r="D64" s="7">
        <v>1180.31</v>
      </c>
      <c r="E64" s="2"/>
      <c r="F64" s="6">
        <f t="shared" si="14"/>
        <v>1.5522477252227858E-3</v>
      </c>
      <c r="G64" s="2"/>
      <c r="H64" s="7"/>
      <c r="I64" s="2"/>
      <c r="J64" s="6">
        <f t="shared" si="15"/>
        <v>0</v>
      </c>
      <c r="K64" s="2"/>
      <c r="L64" s="7">
        <f t="shared" si="16"/>
        <v>1180.31</v>
      </c>
      <c r="M64" s="2"/>
      <c r="N64" s="6">
        <f t="shared" si="17"/>
        <v>0</v>
      </c>
      <c r="O64" s="11"/>
      <c r="P64" s="7">
        <v>4874.72</v>
      </c>
      <c r="Q64" s="2"/>
      <c r="R64" s="6">
        <f t="shared" si="18"/>
        <v>1.0837707197794122E-3</v>
      </c>
      <c r="S64" s="2"/>
      <c r="T64" s="7"/>
      <c r="U64" s="2"/>
      <c r="V64" s="6">
        <f t="shared" si="19"/>
        <v>0</v>
      </c>
      <c r="W64" s="2"/>
      <c r="X64" s="7">
        <f t="shared" si="20"/>
        <v>4874.72</v>
      </c>
      <c r="Y64" s="2"/>
      <c r="Z64" s="6">
        <f t="shared" si="21"/>
        <v>0</v>
      </c>
    </row>
    <row r="65" spans="1:26" s="24" customFormat="1" hidden="1" outlineLevel="2" x14ac:dyDescent="0.3">
      <c r="A65" s="27"/>
      <c r="B65" s="11" t="str">
        <f>CONCATENATE("          ", "6118", " - ", "VACATION")</f>
        <v xml:space="preserve">          6118 - VACATION</v>
      </c>
      <c r="C65" s="11"/>
      <c r="D65" s="7">
        <v>10202.14</v>
      </c>
      <c r="E65" s="2"/>
      <c r="F65" s="6">
        <f t="shared" si="14"/>
        <v>1.341702485567723E-2</v>
      </c>
      <c r="G65" s="2"/>
      <c r="H65" s="7">
        <v>5030.6720235288503</v>
      </c>
      <c r="I65" s="2"/>
      <c r="J65" s="6">
        <f t="shared" si="15"/>
        <v>2.4785786897947686E-3</v>
      </c>
      <c r="K65" s="2"/>
      <c r="L65" s="7">
        <f t="shared" si="16"/>
        <v>5171.4679764711491</v>
      </c>
      <c r="M65" s="2"/>
      <c r="N65" s="6">
        <f t="shared" si="17"/>
        <v>1.0279875039127546</v>
      </c>
      <c r="O65" s="11"/>
      <c r="P65" s="7">
        <v>44740.52</v>
      </c>
      <c r="Q65" s="2"/>
      <c r="R65" s="6">
        <f t="shared" si="18"/>
        <v>9.9469232209655496E-3</v>
      </c>
      <c r="S65" s="2"/>
      <c r="T65" s="7">
        <v>33303.6473151096</v>
      </c>
      <c r="U65" s="2"/>
      <c r="V65" s="6">
        <f t="shared" si="19"/>
        <v>4.6663965191527032E-3</v>
      </c>
      <c r="W65" s="2"/>
      <c r="X65" s="7">
        <f t="shared" si="20"/>
        <v>11436.872684890397</v>
      </c>
      <c r="Y65" s="2"/>
      <c r="Z65" s="6">
        <f t="shared" si="21"/>
        <v>0.3434120166082103</v>
      </c>
    </row>
    <row r="66" spans="1:26" s="24" customFormat="1" hidden="1" outlineLevel="2" x14ac:dyDescent="0.3">
      <c r="A66" s="27"/>
      <c r="B66" s="11" t="str">
        <f>CONCATENATE("          ", "6119", " - ", "SICK LEAVE")</f>
        <v xml:space="preserve">          6119 - SICK LEAVE</v>
      </c>
      <c r="C66" s="11"/>
      <c r="D66" s="7">
        <v>14493.19</v>
      </c>
      <c r="E66" s="2"/>
      <c r="F66" s="6">
        <f t="shared" si="14"/>
        <v>1.9060264853065403E-2</v>
      </c>
      <c r="G66" s="2"/>
      <c r="H66" s="7">
        <v>9945.3099820576899</v>
      </c>
      <c r="I66" s="2"/>
      <c r="J66" s="6">
        <f t="shared" si="15"/>
        <v>4.8999881665193626E-3</v>
      </c>
      <c r="K66" s="2"/>
      <c r="L66" s="7">
        <f t="shared" si="16"/>
        <v>4547.8800179423106</v>
      </c>
      <c r="M66" s="2"/>
      <c r="N66" s="6">
        <f t="shared" si="17"/>
        <v>0.45728891569464702</v>
      </c>
      <c r="O66" s="11"/>
      <c r="P66" s="7">
        <v>39566.699999999997</v>
      </c>
      <c r="Q66" s="2"/>
      <c r="R66" s="6">
        <f t="shared" si="18"/>
        <v>8.7966551798454185E-3</v>
      </c>
      <c r="S66" s="2"/>
      <c r="T66" s="7">
        <v>52749.689513373101</v>
      </c>
      <c r="U66" s="2"/>
      <c r="V66" s="6">
        <f t="shared" si="19"/>
        <v>7.3911114059844541E-3</v>
      </c>
      <c r="W66" s="2"/>
      <c r="X66" s="7">
        <f t="shared" si="20"/>
        <v>-13182.989513373104</v>
      </c>
      <c r="Y66" s="2"/>
      <c r="Z66" s="6">
        <f t="shared" si="21"/>
        <v>-0.24991596415048004</v>
      </c>
    </row>
    <row r="67" spans="1:26" s="24" customFormat="1" hidden="1" outlineLevel="2" x14ac:dyDescent="0.3">
      <c r="A67" s="27"/>
      <c r="B67" s="11" t="str">
        <f>CONCATENATE("          ", "6156", " - ", "EMPLOYEE MEALS")</f>
        <v xml:space="preserve">          6156 - EMPLOYEE MEALS</v>
      </c>
      <c r="C67" s="11"/>
      <c r="D67" s="7">
        <v>3309.29</v>
      </c>
      <c r="E67" s="2"/>
      <c r="F67" s="6">
        <f t="shared" si="14"/>
        <v>4.3521090854118944E-3</v>
      </c>
      <c r="G67" s="2"/>
      <c r="H67" s="7">
        <v>2275</v>
      </c>
      <c r="I67" s="2"/>
      <c r="J67" s="6">
        <f t="shared" si="15"/>
        <v>1.1208773883310504E-3</v>
      </c>
      <c r="K67" s="2"/>
      <c r="L67" s="7">
        <f t="shared" si="16"/>
        <v>1034.29</v>
      </c>
      <c r="M67" s="2"/>
      <c r="N67" s="6">
        <f t="shared" si="17"/>
        <v>0.45463296703296702</v>
      </c>
      <c r="O67" s="11"/>
      <c r="P67" s="7">
        <v>19301.11</v>
      </c>
      <c r="Q67" s="2"/>
      <c r="R67" s="6">
        <f t="shared" si="18"/>
        <v>4.2911137208376292E-3</v>
      </c>
      <c r="S67" s="2"/>
      <c r="T67" s="7">
        <v>16800</v>
      </c>
      <c r="U67" s="2"/>
      <c r="V67" s="6">
        <f t="shared" si="19"/>
        <v>2.3539602368476326E-3</v>
      </c>
      <c r="W67" s="2"/>
      <c r="X67" s="7">
        <f t="shared" si="20"/>
        <v>2501.1100000000006</v>
      </c>
      <c r="Y67" s="2"/>
      <c r="Z67" s="6">
        <f t="shared" si="21"/>
        <v>0.14887559523809527</v>
      </c>
    </row>
    <row r="68" spans="1:26" s="28" customFormat="1" outlineLevel="1" collapsed="1" x14ac:dyDescent="0.3">
      <c r="A68" s="29"/>
      <c r="B68" s="14" t="str">
        <f>CONCATENATE("     ","*Payroll                                          ")</f>
        <v xml:space="preserve">     *Payroll                                          </v>
      </c>
      <c r="C68" s="14"/>
      <c r="D68" s="1">
        <f>SUM(OSRRefD22_1x_0)</f>
        <v>207744.45</v>
      </c>
      <c r="E68" s="1"/>
      <c r="F68" s="5">
        <f t="shared" ref="F68:F78" si="22">IF(D$12=0,0,D68/D$12)</f>
        <v>0.27320860616292225</v>
      </c>
      <c r="G68" s="1"/>
      <c r="H68" s="1">
        <f>SUM(OSRRefH22_1x_0)</f>
        <v>273411.17206810578</v>
      </c>
      <c r="I68" s="1"/>
      <c r="J68" s="5">
        <f t="shared" ref="J68:J78" si="23">IF(H$12=0,0,H68/H$12)</f>
        <v>0.13470786834647466</v>
      </c>
      <c r="K68" s="1"/>
      <c r="L68" s="1">
        <f t="shared" ref="L68:L78" si="24">+D68-H68</f>
        <v>-65666.722068105766</v>
      </c>
      <c r="M68" s="1"/>
      <c r="N68" s="5">
        <f t="shared" ref="N68:N78" si="25">IF(H68=0,0,L68/H68)</f>
        <v>-0.24017570888342635</v>
      </c>
      <c r="O68" s="14"/>
      <c r="P68" s="1">
        <f>SUM(OSRRefP22_1x_0)</f>
        <v>1187511.9099999999</v>
      </c>
      <c r="Q68" s="1"/>
      <c r="R68" s="5">
        <f t="shared" ref="R68:R78" si="26">IF(P$12=0,0,P68/P$12)</f>
        <v>0.26401324331393894</v>
      </c>
      <c r="S68" s="1"/>
      <c r="T68" s="1">
        <f>SUM(OSRRefT22_1x_0)</f>
        <v>1380556.5196507177</v>
      </c>
      <c r="U68" s="1"/>
      <c r="V68" s="5">
        <f t="shared" ref="V68:V78" si="27">IF(T$12=0,0,T68/T$12)</f>
        <v>0.19343899714158017</v>
      </c>
      <c r="W68" s="1"/>
      <c r="X68" s="1">
        <f t="shared" ref="X68:X78" si="28">+P68-T68</f>
        <v>-193044.60965071782</v>
      </c>
      <c r="Y68" s="1"/>
      <c r="Z68" s="5">
        <f t="shared" ref="Z68:Z78" si="29">IF(T68=0,0,X68/T68)</f>
        <v>-0.13983100793262582</v>
      </c>
    </row>
    <row r="69" spans="1:26" s="24" customFormat="1" hidden="1" outlineLevel="2" x14ac:dyDescent="0.3">
      <c r="A69" s="27"/>
      <c r="B69" s="11" t="str">
        <f>CONCATENATE("          ", "6001", " - ", "ADMINISTRATIVE SALARIES")</f>
        <v xml:space="preserve">          6001 - ADMINISTRATIVE SALARIES</v>
      </c>
      <c r="C69" s="11"/>
      <c r="D69" s="7">
        <v>5357.43</v>
      </c>
      <c r="E69" s="2"/>
      <c r="F69" s="6">
        <f t="shared" si="22"/>
        <v>7.0456562517815739E-3</v>
      </c>
      <c r="G69" s="2"/>
      <c r="H69" s="7">
        <v>5174.7596153846198</v>
      </c>
      <c r="I69" s="2"/>
      <c r="J69" s="6">
        <f t="shared" si="23"/>
        <v>2.5495696892014522E-3</v>
      </c>
      <c r="K69" s="2"/>
      <c r="L69" s="7">
        <f t="shared" si="24"/>
        <v>182.6703846153805</v>
      </c>
      <c r="M69" s="2"/>
      <c r="N69" s="6">
        <f t="shared" si="25"/>
        <v>3.5300264783759104E-2</v>
      </c>
      <c r="O69" s="11"/>
      <c r="P69" s="7">
        <v>33692.199999999997</v>
      </c>
      <c r="Q69" s="2"/>
      <c r="R69" s="6">
        <f t="shared" si="26"/>
        <v>7.4906086595644275E-3</v>
      </c>
      <c r="S69" s="2"/>
      <c r="T69" s="7">
        <v>32083.509615384599</v>
      </c>
      <c r="U69" s="2"/>
      <c r="V69" s="6">
        <f t="shared" si="27"/>
        <v>4.4954348745913112E-3</v>
      </c>
      <c r="W69" s="2"/>
      <c r="X69" s="7">
        <f t="shared" si="28"/>
        <v>1608.6903846153982</v>
      </c>
      <c r="Y69" s="2"/>
      <c r="Z69" s="6">
        <f t="shared" si="29"/>
        <v>5.0140723502518671E-2</v>
      </c>
    </row>
    <row r="70" spans="1:26" s="24" customFormat="1" hidden="1" outlineLevel="2" x14ac:dyDescent="0.3">
      <c r="A70" s="27"/>
      <c r="B70" s="11" t="str">
        <f>CONCATENATE("          ", "6002", " - ", "STAFF SALARIES")</f>
        <v xml:space="preserve">          6002 - STAFF SALARIES</v>
      </c>
      <c r="C70" s="11"/>
      <c r="D70" s="7">
        <v>69435.7</v>
      </c>
      <c r="E70" s="2"/>
      <c r="F70" s="6">
        <f t="shared" si="22"/>
        <v>9.1316185895444227E-2</v>
      </c>
      <c r="G70" s="2"/>
      <c r="H70" s="7">
        <v>55289.717317721203</v>
      </c>
      <c r="I70" s="2"/>
      <c r="J70" s="6">
        <f t="shared" si="23"/>
        <v>2.724087646094479E-2</v>
      </c>
      <c r="K70" s="2"/>
      <c r="L70" s="7">
        <f t="shared" si="24"/>
        <v>14145.982682278795</v>
      </c>
      <c r="M70" s="2"/>
      <c r="N70" s="6">
        <f t="shared" si="25"/>
        <v>0.25585196250849324</v>
      </c>
      <c r="O70" s="11"/>
      <c r="P70" s="7">
        <v>411074.77</v>
      </c>
      <c r="Q70" s="2"/>
      <c r="R70" s="6">
        <f t="shared" si="26"/>
        <v>9.1392079825314332E-2</v>
      </c>
      <c r="S70" s="2"/>
      <c r="T70" s="7">
        <v>360760.83390833298</v>
      </c>
      <c r="U70" s="2"/>
      <c r="V70" s="6">
        <f t="shared" si="27"/>
        <v>5.0548610597155291E-2</v>
      </c>
      <c r="W70" s="2"/>
      <c r="X70" s="7">
        <f t="shared" si="28"/>
        <v>50313.936091667041</v>
      </c>
      <c r="Y70" s="2"/>
      <c r="Z70" s="6">
        <f t="shared" si="29"/>
        <v>0.13946618192054488</v>
      </c>
    </row>
    <row r="71" spans="1:26" s="24" customFormat="1" hidden="1" outlineLevel="2" x14ac:dyDescent="0.3">
      <c r="A71" s="27"/>
      <c r="B71" s="11" t="str">
        <f>CONCATENATE("          ", "6003", " - ", "STAFF HOURLY-9 MONTH")</f>
        <v xml:space="preserve">          6003 - STAFF HOURLY-9 MONTH</v>
      </c>
      <c r="C71" s="11"/>
      <c r="D71" s="7"/>
      <c r="E71" s="2"/>
      <c r="F71" s="6">
        <f t="shared" si="22"/>
        <v>0</v>
      </c>
      <c r="G71" s="2"/>
      <c r="H71" s="7">
        <v>0</v>
      </c>
      <c r="I71" s="2"/>
      <c r="J71" s="6">
        <f t="shared" si="23"/>
        <v>0</v>
      </c>
      <c r="K71" s="2"/>
      <c r="L71" s="7">
        <f t="shared" si="24"/>
        <v>0</v>
      </c>
      <c r="M71" s="2"/>
      <c r="N71" s="6">
        <f t="shared" si="25"/>
        <v>0</v>
      </c>
      <c r="O71" s="11"/>
      <c r="P71" s="7"/>
      <c r="Q71" s="2"/>
      <c r="R71" s="6">
        <f t="shared" si="26"/>
        <v>0</v>
      </c>
      <c r="S71" s="2"/>
      <c r="T71" s="7">
        <v>0</v>
      </c>
      <c r="U71" s="2"/>
      <c r="V71" s="6">
        <f t="shared" si="27"/>
        <v>0</v>
      </c>
      <c r="W71" s="2"/>
      <c r="X71" s="7">
        <f t="shared" si="28"/>
        <v>0</v>
      </c>
      <c r="Y71" s="2"/>
      <c r="Z71" s="6">
        <f t="shared" si="29"/>
        <v>0</v>
      </c>
    </row>
    <row r="72" spans="1:26" s="24" customFormat="1" hidden="1" outlineLevel="2" x14ac:dyDescent="0.3">
      <c r="A72" s="27"/>
      <c r="B72" s="11" t="str">
        <f>CONCATENATE("          ", "6004", " - ", "STAFF HOURLY")</f>
        <v xml:space="preserve">          6004 - STAFF HOURLY</v>
      </c>
      <c r="C72" s="11"/>
      <c r="D72" s="7">
        <v>25339</v>
      </c>
      <c r="E72" s="2"/>
      <c r="F72" s="6">
        <f t="shared" si="22"/>
        <v>3.3323792147334316E-2</v>
      </c>
      <c r="G72" s="2"/>
      <c r="H72" s="7">
        <v>47719.27521</v>
      </c>
      <c r="I72" s="2"/>
      <c r="J72" s="6">
        <f t="shared" si="23"/>
        <v>2.3510969921070525E-2</v>
      </c>
      <c r="K72" s="2"/>
      <c r="L72" s="7">
        <f t="shared" si="24"/>
        <v>-22380.27521</v>
      </c>
      <c r="M72" s="2"/>
      <c r="N72" s="6">
        <f t="shared" si="25"/>
        <v>-0.46899864072767838</v>
      </c>
      <c r="O72" s="11"/>
      <c r="P72" s="7">
        <v>161352.17000000001</v>
      </c>
      <c r="Q72" s="2"/>
      <c r="R72" s="6">
        <f t="shared" si="26"/>
        <v>3.5872574715854463E-2</v>
      </c>
      <c r="S72" s="2"/>
      <c r="T72" s="7">
        <v>284003.421202</v>
      </c>
      <c r="U72" s="2"/>
      <c r="V72" s="6">
        <f t="shared" si="27"/>
        <v>3.9793616704654637E-2</v>
      </c>
      <c r="W72" s="2"/>
      <c r="X72" s="7">
        <f t="shared" si="28"/>
        <v>-122651.25120199998</v>
      </c>
      <c r="Y72" s="2"/>
      <c r="Z72" s="6">
        <f t="shared" si="29"/>
        <v>-0.43186540036348076</v>
      </c>
    </row>
    <row r="73" spans="1:26" s="24" customFormat="1" hidden="1" outlineLevel="2" x14ac:dyDescent="0.3">
      <c r="A73" s="27"/>
      <c r="B73" s="11" t="str">
        <f>CONCATENATE("          ", "6005", " - ", "TEMPORARY WAGES-HOURLY")</f>
        <v xml:space="preserve">          6005 - TEMPORARY WAGES-HOURLY</v>
      </c>
      <c r="C73" s="11"/>
      <c r="D73" s="7">
        <v>7974.09</v>
      </c>
      <c r="E73" s="2"/>
      <c r="F73" s="6">
        <f t="shared" si="22"/>
        <v>1.0486874688193579E-2</v>
      </c>
      <c r="G73" s="2"/>
      <c r="H73" s="7">
        <v>3009.34</v>
      </c>
      <c r="I73" s="2"/>
      <c r="J73" s="6">
        <f t="shared" si="23"/>
        <v>1.4826818284835884E-3</v>
      </c>
      <c r="K73" s="2"/>
      <c r="L73" s="7">
        <f t="shared" si="24"/>
        <v>4964.75</v>
      </c>
      <c r="M73" s="2"/>
      <c r="N73" s="6">
        <f t="shared" si="25"/>
        <v>1.6497803505087494</v>
      </c>
      <c r="O73" s="11"/>
      <c r="P73" s="7">
        <v>74026.48</v>
      </c>
      <c r="Q73" s="2"/>
      <c r="R73" s="6">
        <f t="shared" si="26"/>
        <v>1.6457915841799377E-2</v>
      </c>
      <c r="S73" s="2"/>
      <c r="T73" s="7">
        <v>25378.34</v>
      </c>
      <c r="U73" s="2"/>
      <c r="V73" s="6">
        <f t="shared" si="27"/>
        <v>3.5559287641190327E-3</v>
      </c>
      <c r="W73" s="2"/>
      <c r="X73" s="7">
        <f t="shared" si="28"/>
        <v>48648.14</v>
      </c>
      <c r="Y73" s="2"/>
      <c r="Z73" s="6">
        <f t="shared" si="29"/>
        <v>1.9169157635999832</v>
      </c>
    </row>
    <row r="74" spans="1:26" s="24" customFormat="1" hidden="1" outlineLevel="2" x14ac:dyDescent="0.3">
      <c r="A74" s="27"/>
      <c r="B74" s="11" t="str">
        <f>CONCATENATE("          ", "6006", " - ", "TEMPORARY PART TIME")</f>
        <v xml:space="preserve">          6006 - TEMPORARY PART TIME</v>
      </c>
      <c r="C74" s="11"/>
      <c r="D74" s="7">
        <v>2092.35</v>
      </c>
      <c r="E74" s="2"/>
      <c r="F74" s="6">
        <f t="shared" si="22"/>
        <v>2.7516885630638525E-3</v>
      </c>
      <c r="G74" s="2"/>
      <c r="H74" s="7">
        <v>0</v>
      </c>
      <c r="I74" s="2"/>
      <c r="J74" s="6">
        <f t="shared" si="23"/>
        <v>0</v>
      </c>
      <c r="K74" s="2"/>
      <c r="L74" s="7">
        <f t="shared" si="24"/>
        <v>2092.35</v>
      </c>
      <c r="M74" s="2"/>
      <c r="N74" s="6">
        <f t="shared" si="25"/>
        <v>0</v>
      </c>
      <c r="O74" s="11"/>
      <c r="P74" s="7">
        <v>11969.97</v>
      </c>
      <c r="Q74" s="2"/>
      <c r="R74" s="6">
        <f t="shared" si="26"/>
        <v>2.6612201321589688E-3</v>
      </c>
      <c r="S74" s="2"/>
      <c r="T74" s="7">
        <v>0</v>
      </c>
      <c r="U74" s="2"/>
      <c r="V74" s="6">
        <f t="shared" si="27"/>
        <v>0</v>
      </c>
      <c r="W74" s="2"/>
      <c r="X74" s="7">
        <f t="shared" si="28"/>
        <v>11969.97</v>
      </c>
      <c r="Y74" s="2"/>
      <c r="Z74" s="6">
        <f t="shared" si="29"/>
        <v>0</v>
      </c>
    </row>
    <row r="75" spans="1:26" s="24" customFormat="1" hidden="1" outlineLevel="2" x14ac:dyDescent="0.3">
      <c r="A75" s="27"/>
      <c r="B75" s="11" t="str">
        <f>CONCATENATE("          ", "6007", " - ", "STUDENT HOURLY")</f>
        <v xml:space="preserve">          6007 - STUDENT HOURLY</v>
      </c>
      <c r="C75" s="11"/>
      <c r="D75" s="7">
        <v>91886.94</v>
      </c>
      <c r="E75" s="2"/>
      <c r="F75" s="6">
        <f t="shared" si="22"/>
        <v>0.12084223093312994</v>
      </c>
      <c r="G75" s="2"/>
      <c r="H75" s="7">
        <v>50998.61</v>
      </c>
      <c r="I75" s="2"/>
      <c r="J75" s="6">
        <f t="shared" si="23"/>
        <v>2.5126676389148922E-2</v>
      </c>
      <c r="K75" s="2"/>
      <c r="L75" s="7">
        <f t="shared" si="24"/>
        <v>40888.33</v>
      </c>
      <c r="M75" s="2"/>
      <c r="N75" s="6">
        <f t="shared" si="25"/>
        <v>0.8017538125058703</v>
      </c>
      <c r="O75" s="11"/>
      <c r="P75" s="7">
        <v>432445.04</v>
      </c>
      <c r="Q75" s="2"/>
      <c r="R75" s="6">
        <f t="shared" si="26"/>
        <v>9.6143218947106021E-2</v>
      </c>
      <c r="S75" s="2"/>
      <c r="T75" s="7">
        <v>265983.09000000003</v>
      </c>
      <c r="U75" s="2"/>
      <c r="V75" s="6">
        <f t="shared" si="27"/>
        <v>3.7268667710349118E-2</v>
      </c>
      <c r="W75" s="2"/>
      <c r="X75" s="7">
        <f t="shared" si="28"/>
        <v>166461.94999999995</v>
      </c>
      <c r="Y75" s="2"/>
      <c r="Z75" s="6">
        <f t="shared" si="29"/>
        <v>0.62583658983734625</v>
      </c>
    </row>
    <row r="76" spans="1:26" s="24" customFormat="1" hidden="1" outlineLevel="2" x14ac:dyDescent="0.3">
      <c r="A76" s="27"/>
      <c r="B76" s="11" t="str">
        <f>CONCATENATE("          ", "6008", " - ", "STUDENT HOURLY-FICA EXEMPT")</f>
        <v xml:space="preserve">          6008 - STUDENT HOURLY-FICA EXEMPT</v>
      </c>
      <c r="C76" s="11"/>
      <c r="D76" s="7">
        <v>5658.94</v>
      </c>
      <c r="E76" s="2"/>
      <c r="F76" s="6">
        <f t="shared" si="22"/>
        <v>7.4421776839747444E-3</v>
      </c>
      <c r="G76" s="2"/>
      <c r="H76" s="7">
        <v>111219.469925</v>
      </c>
      <c r="I76" s="2"/>
      <c r="J76" s="6">
        <f t="shared" si="23"/>
        <v>5.4797094057625416E-2</v>
      </c>
      <c r="K76" s="2"/>
      <c r="L76" s="7">
        <f t="shared" si="24"/>
        <v>-105560.529925</v>
      </c>
      <c r="M76" s="2"/>
      <c r="N76" s="6">
        <f t="shared" si="25"/>
        <v>-0.94911916048677392</v>
      </c>
      <c r="O76" s="11"/>
      <c r="P76" s="7">
        <v>62951.28</v>
      </c>
      <c r="Q76" s="2"/>
      <c r="R76" s="6">
        <f t="shared" si="26"/>
        <v>1.3995625192141356E-2</v>
      </c>
      <c r="S76" s="2"/>
      <c r="T76" s="7">
        <v>412347.32492500002</v>
      </c>
      <c r="U76" s="2"/>
      <c r="V76" s="6">
        <f t="shared" si="27"/>
        <v>5.7776738490710758E-2</v>
      </c>
      <c r="W76" s="2"/>
      <c r="X76" s="7">
        <f t="shared" si="28"/>
        <v>-349396.04492500005</v>
      </c>
      <c r="Y76" s="2"/>
      <c r="Z76" s="6">
        <f t="shared" si="29"/>
        <v>-0.84733433153361692</v>
      </c>
    </row>
    <row r="77" spans="1:26" s="24" customFormat="1" hidden="1" outlineLevel="2" x14ac:dyDescent="0.3">
      <c r="A77" s="27"/>
      <c r="B77" s="11" t="str">
        <f>CONCATENATE("          ", "6009", " - ", "TEMPORARY-SEASONAL")</f>
        <v xml:space="preserve">          6009 - TEMPORARY-SEASONAL</v>
      </c>
      <c r="C77" s="11"/>
      <c r="D77" s="7"/>
      <c r="E77" s="2"/>
      <c r="F77" s="6">
        <f t="shared" si="22"/>
        <v>0</v>
      </c>
      <c r="G77" s="2"/>
      <c r="H77" s="7">
        <v>0</v>
      </c>
      <c r="I77" s="2"/>
      <c r="J77" s="6">
        <f t="shared" si="23"/>
        <v>0</v>
      </c>
      <c r="K77" s="2"/>
      <c r="L77" s="7">
        <f t="shared" si="24"/>
        <v>0</v>
      </c>
      <c r="M77" s="2"/>
      <c r="N77" s="6">
        <f t="shared" si="25"/>
        <v>0</v>
      </c>
      <c r="O77" s="11"/>
      <c r="P77" s="7"/>
      <c r="Q77" s="2"/>
      <c r="R77" s="6">
        <f t="shared" si="26"/>
        <v>0</v>
      </c>
      <c r="S77" s="2"/>
      <c r="T77" s="7">
        <v>0</v>
      </c>
      <c r="U77" s="2"/>
      <c r="V77" s="6">
        <f t="shared" si="27"/>
        <v>0</v>
      </c>
      <c r="W77" s="2"/>
      <c r="X77" s="7">
        <f t="shared" si="28"/>
        <v>0</v>
      </c>
      <c r="Y77" s="2"/>
      <c r="Z77" s="6">
        <f t="shared" si="29"/>
        <v>0</v>
      </c>
    </row>
    <row r="78" spans="1:26" s="24" customFormat="1" hidden="1" outlineLevel="2" x14ac:dyDescent="0.3">
      <c r="A78" s="27"/>
      <c r="B78" s="11" t="str">
        <f>CONCATENATE("          ", "6010", " - ", "GRATUITY")</f>
        <v xml:space="preserve">          6010 - GRATUITY</v>
      </c>
      <c r="C78" s="11"/>
      <c r="D78" s="7"/>
      <c r="E78" s="2"/>
      <c r="F78" s="6">
        <f t="shared" si="22"/>
        <v>0</v>
      </c>
      <c r="G78" s="2"/>
      <c r="H78" s="7">
        <v>0</v>
      </c>
      <c r="I78" s="2"/>
      <c r="J78" s="6">
        <f t="shared" si="23"/>
        <v>0</v>
      </c>
      <c r="K78" s="2"/>
      <c r="L78" s="7">
        <f t="shared" si="24"/>
        <v>0</v>
      </c>
      <c r="M78" s="2"/>
      <c r="N78" s="6">
        <f t="shared" si="25"/>
        <v>0</v>
      </c>
      <c r="O78" s="11"/>
      <c r="P78" s="7"/>
      <c r="Q78" s="2"/>
      <c r="R78" s="6">
        <f t="shared" si="26"/>
        <v>0</v>
      </c>
      <c r="S78" s="2"/>
      <c r="T78" s="7">
        <v>0</v>
      </c>
      <c r="U78" s="2"/>
      <c r="V78" s="6">
        <f t="shared" si="27"/>
        <v>0</v>
      </c>
      <c r="W78" s="2"/>
      <c r="X78" s="7">
        <f t="shared" si="28"/>
        <v>0</v>
      </c>
      <c r="Y78" s="2"/>
      <c r="Z78" s="6">
        <f t="shared" si="29"/>
        <v>0</v>
      </c>
    </row>
    <row r="79" spans="1:26" s="28" customFormat="1" outlineLevel="1" collapsed="1" x14ac:dyDescent="0.3">
      <c r="A79" s="29"/>
      <c r="B79" s="14" t="str">
        <f>CONCATENATE("     ","Advertising/Promo                                 ")</f>
        <v xml:space="preserve">     Advertising/Promo                                 </v>
      </c>
      <c r="C79" s="14"/>
      <c r="D79" s="1">
        <f>SUM(OSRRefD22_2x_0)</f>
        <v>722.24</v>
      </c>
      <c r="E79" s="1"/>
      <c r="F79" s="5">
        <f t="shared" ref="F79:F87" si="30">IF(D$12=0,0,D79/D$12)</f>
        <v>9.4983131301514413E-4</v>
      </c>
      <c r="G79" s="1"/>
      <c r="H79" s="1">
        <f>SUM(OSRRefH22_2x_0)</f>
        <v>600</v>
      </c>
      <c r="I79" s="1"/>
      <c r="J79" s="5">
        <f t="shared" ref="J79:J87" si="31">IF(H$12=0,0,H79/H$12)</f>
        <v>2.9561601450489247E-4</v>
      </c>
      <c r="K79" s="1"/>
      <c r="L79" s="1">
        <f t="shared" ref="L79:L87" si="32">+D79-H79</f>
        <v>122.24000000000001</v>
      </c>
      <c r="M79" s="1"/>
      <c r="N79" s="5">
        <f t="shared" ref="N79:N87" si="33">IF(H79=0,0,L79/H79)</f>
        <v>0.20373333333333335</v>
      </c>
      <c r="O79" s="14"/>
      <c r="P79" s="1">
        <f>SUM(OSRRefP22_2x_0)</f>
        <v>6368.45</v>
      </c>
      <c r="Q79" s="1"/>
      <c r="R79" s="5">
        <f t="shared" ref="R79:R87" si="34">IF(P$12=0,0,P79/P$12)</f>
        <v>1.4158638117428687E-3</v>
      </c>
      <c r="S79" s="1"/>
      <c r="T79" s="1">
        <f>SUM(OSRRefT22_2x_0)</f>
        <v>5500</v>
      </c>
      <c r="U79" s="1"/>
      <c r="V79" s="5">
        <f t="shared" ref="V79:V87" si="35">IF(T$12=0,0,T79/T$12)</f>
        <v>7.7064174420607011E-4</v>
      </c>
      <c r="W79" s="1"/>
      <c r="X79" s="1">
        <f t="shared" ref="X79:X87" si="36">+P79-T79</f>
        <v>868.44999999999982</v>
      </c>
      <c r="Y79" s="1"/>
      <c r="Z79" s="5">
        <f t="shared" ref="Z79:Z87" si="37">IF(T79=0,0,X79/T79)</f>
        <v>0.15789999999999996</v>
      </c>
    </row>
    <row r="80" spans="1:26" s="24" customFormat="1" hidden="1" outlineLevel="2" x14ac:dyDescent="0.3">
      <c r="A80" s="27"/>
      <c r="B80" s="11" t="str">
        <f>CONCATENATE("          ", "6362", " - ", "ADVERTISING EXPENSE")</f>
        <v xml:space="preserve">          6362 - ADVERTISING EXPENSE</v>
      </c>
      <c r="C80" s="11"/>
      <c r="D80" s="7">
        <v>722.24</v>
      </c>
      <c r="E80" s="2"/>
      <c r="F80" s="6">
        <f t="shared" si="30"/>
        <v>9.4983131301514413E-4</v>
      </c>
      <c r="G80" s="2"/>
      <c r="H80" s="7">
        <v>600</v>
      </c>
      <c r="I80" s="2"/>
      <c r="J80" s="6">
        <f t="shared" si="31"/>
        <v>2.9561601450489247E-4</v>
      </c>
      <c r="K80" s="2"/>
      <c r="L80" s="7">
        <f t="shared" si="32"/>
        <v>122.24000000000001</v>
      </c>
      <c r="M80" s="2"/>
      <c r="N80" s="6">
        <f t="shared" si="33"/>
        <v>0.20373333333333335</v>
      </c>
      <c r="O80" s="11"/>
      <c r="P80" s="7">
        <v>6368.45</v>
      </c>
      <c r="Q80" s="2"/>
      <c r="R80" s="6">
        <f t="shared" si="34"/>
        <v>1.4158638117428687E-3</v>
      </c>
      <c r="S80" s="2"/>
      <c r="T80" s="7">
        <v>5500</v>
      </c>
      <c r="U80" s="2"/>
      <c r="V80" s="6">
        <f t="shared" si="35"/>
        <v>7.7064174420607011E-4</v>
      </c>
      <c r="W80" s="2"/>
      <c r="X80" s="7">
        <f t="shared" si="36"/>
        <v>868.44999999999982</v>
      </c>
      <c r="Y80" s="2"/>
      <c r="Z80" s="6">
        <f t="shared" si="37"/>
        <v>0.15789999999999996</v>
      </c>
    </row>
    <row r="81" spans="1:26" s="28" customFormat="1" outlineLevel="1" collapsed="1" x14ac:dyDescent="0.3">
      <c r="A81" s="29"/>
      <c r="B81" s="14" t="str">
        <f>CONCATENATE("     ","Bad Debts/Over/Short                              ")</f>
        <v xml:space="preserve">     Bad Debts/Over/Short                              </v>
      </c>
      <c r="C81" s="14"/>
      <c r="D81" s="1">
        <f>SUM(OSRRefD22_3x_0)</f>
        <v>-21.8</v>
      </c>
      <c r="E81" s="1"/>
      <c r="F81" s="5">
        <f t="shared" si="30"/>
        <v>-2.8669587150711873E-5</v>
      </c>
      <c r="G81" s="1"/>
      <c r="H81" s="1">
        <f>SUM(OSRRefH22_3x_0)</f>
        <v>235</v>
      </c>
      <c r="I81" s="1"/>
      <c r="J81" s="5">
        <f t="shared" si="31"/>
        <v>1.157829390144162E-4</v>
      </c>
      <c r="K81" s="1"/>
      <c r="L81" s="1">
        <f t="shared" si="32"/>
        <v>-256.8</v>
      </c>
      <c r="M81" s="1"/>
      <c r="N81" s="5">
        <f t="shared" si="33"/>
        <v>-1.0927659574468085</v>
      </c>
      <c r="O81" s="14"/>
      <c r="P81" s="1">
        <f>SUM(OSRRefP22_3x_0)</f>
        <v>160.1</v>
      </c>
      <c r="Q81" s="1"/>
      <c r="R81" s="5">
        <f t="shared" si="34"/>
        <v>3.5594186381306796E-5</v>
      </c>
      <c r="S81" s="1"/>
      <c r="T81" s="1">
        <f>SUM(OSRRefT22_3x_0)</f>
        <v>1645</v>
      </c>
      <c r="U81" s="1"/>
      <c r="V81" s="5">
        <f t="shared" si="35"/>
        <v>2.3049193985799735E-4</v>
      </c>
      <c r="W81" s="1"/>
      <c r="X81" s="1">
        <f t="shared" si="36"/>
        <v>-1484.9</v>
      </c>
      <c r="Y81" s="1"/>
      <c r="Z81" s="5">
        <f t="shared" si="37"/>
        <v>-0.90267477203647417</v>
      </c>
    </row>
    <row r="82" spans="1:26" s="24" customFormat="1" hidden="1" outlineLevel="2" x14ac:dyDescent="0.3">
      <c r="A82" s="27"/>
      <c r="B82" s="11" t="str">
        <f>CONCATENATE("          ", "6272", " - ", "CASH (OVER/SHORT)")</f>
        <v xml:space="preserve">          6272 - CASH (OVER/SHORT)</v>
      </c>
      <c r="C82" s="11"/>
      <c r="D82" s="7">
        <v>-21.8</v>
      </c>
      <c r="E82" s="2"/>
      <c r="F82" s="6">
        <f t="shared" si="30"/>
        <v>-2.8669587150711873E-5</v>
      </c>
      <c r="G82" s="2"/>
      <c r="H82" s="7">
        <v>235</v>
      </c>
      <c r="I82" s="2"/>
      <c r="J82" s="6">
        <f t="shared" si="31"/>
        <v>1.157829390144162E-4</v>
      </c>
      <c r="K82" s="2"/>
      <c r="L82" s="7">
        <f t="shared" si="32"/>
        <v>-256.8</v>
      </c>
      <c r="M82" s="2"/>
      <c r="N82" s="6">
        <f t="shared" si="33"/>
        <v>-1.0927659574468085</v>
      </c>
      <c r="O82" s="11"/>
      <c r="P82" s="7">
        <v>160.1</v>
      </c>
      <c r="Q82" s="2"/>
      <c r="R82" s="6">
        <f t="shared" si="34"/>
        <v>3.5594186381306796E-5</v>
      </c>
      <c r="S82" s="2"/>
      <c r="T82" s="7">
        <v>1645</v>
      </c>
      <c r="U82" s="2"/>
      <c r="V82" s="6">
        <f t="shared" si="35"/>
        <v>2.3049193985799735E-4</v>
      </c>
      <c r="W82" s="2"/>
      <c r="X82" s="7">
        <f t="shared" si="36"/>
        <v>-1484.9</v>
      </c>
      <c r="Y82" s="2"/>
      <c r="Z82" s="6">
        <f t="shared" si="37"/>
        <v>-0.90267477203647417</v>
      </c>
    </row>
    <row r="83" spans="1:26" s="28" customFormat="1" outlineLevel="1" collapsed="1" x14ac:dyDescent="0.3">
      <c r="A83" s="29"/>
      <c r="B83" s="14" t="str">
        <f>CONCATENATE("     ","Bank/card Fees                                    ")</f>
        <v xml:space="preserve">     Bank/card Fees                                    </v>
      </c>
      <c r="C83" s="14"/>
      <c r="D83" s="1">
        <f>SUM(OSRRefD22_4x_0)</f>
        <v>12425.83</v>
      </c>
      <c r="E83" s="1"/>
      <c r="F83" s="5">
        <f t="shared" si="30"/>
        <v>1.6341441105730738E-2</v>
      </c>
      <c r="G83" s="1"/>
      <c r="H83" s="1">
        <f>SUM(OSRRefH22_4x_0)</f>
        <v>36934.5</v>
      </c>
      <c r="I83" s="1"/>
      <c r="J83" s="5">
        <f t="shared" si="31"/>
        <v>1.8197382812884917E-2</v>
      </c>
      <c r="K83" s="1"/>
      <c r="L83" s="1">
        <f t="shared" si="32"/>
        <v>-24508.67</v>
      </c>
      <c r="M83" s="1"/>
      <c r="N83" s="5">
        <f t="shared" si="33"/>
        <v>-0.6635711868307409</v>
      </c>
      <c r="O83" s="14"/>
      <c r="P83" s="1">
        <f>SUM(OSRRefP22_4x_0)</f>
        <v>83762.41</v>
      </c>
      <c r="Q83" s="1"/>
      <c r="R83" s="5">
        <f t="shared" si="34"/>
        <v>1.8622453674499915E-2</v>
      </c>
      <c r="S83" s="1"/>
      <c r="T83" s="1">
        <f>SUM(OSRRefT22_4x_0)</f>
        <v>144396.25</v>
      </c>
      <c r="U83" s="1"/>
      <c r="V83" s="5">
        <f t="shared" si="35"/>
        <v>2.0232323264875594E-2</v>
      </c>
      <c r="W83" s="1"/>
      <c r="X83" s="1">
        <f t="shared" si="36"/>
        <v>-60633.84</v>
      </c>
      <c r="Y83" s="1"/>
      <c r="Z83" s="5">
        <f t="shared" si="37"/>
        <v>-0.41991284399698742</v>
      </c>
    </row>
    <row r="84" spans="1:26" s="24" customFormat="1" hidden="1" outlineLevel="2" x14ac:dyDescent="0.3">
      <c r="A84" s="27"/>
      <c r="B84" s="11" t="str">
        <f>CONCATENATE("          ", "6381", " - ", "BANK/CREDIT CARD FEES")</f>
        <v xml:space="preserve">          6381 - BANK/CREDIT CARD FEES</v>
      </c>
      <c r="C84" s="11"/>
      <c r="D84" s="7">
        <v>12425.83</v>
      </c>
      <c r="E84" s="2"/>
      <c r="F84" s="6">
        <f t="shared" si="30"/>
        <v>1.6341441105730738E-2</v>
      </c>
      <c r="G84" s="2"/>
      <c r="H84" s="7">
        <v>36934.5</v>
      </c>
      <c r="I84" s="2"/>
      <c r="J84" s="6">
        <f t="shared" si="31"/>
        <v>1.8197382812884917E-2</v>
      </c>
      <c r="K84" s="2"/>
      <c r="L84" s="7">
        <f t="shared" si="32"/>
        <v>-24508.67</v>
      </c>
      <c r="M84" s="2"/>
      <c r="N84" s="6">
        <f t="shared" si="33"/>
        <v>-0.6635711868307409</v>
      </c>
      <c r="O84" s="11"/>
      <c r="P84" s="7">
        <v>83762.41</v>
      </c>
      <c r="Q84" s="2"/>
      <c r="R84" s="6">
        <f t="shared" si="34"/>
        <v>1.8622453674499915E-2</v>
      </c>
      <c r="S84" s="2"/>
      <c r="T84" s="7">
        <v>144396.25</v>
      </c>
      <c r="U84" s="2"/>
      <c r="V84" s="6">
        <f t="shared" si="35"/>
        <v>2.0232323264875594E-2</v>
      </c>
      <c r="W84" s="2"/>
      <c r="X84" s="7">
        <f t="shared" si="36"/>
        <v>-60633.84</v>
      </c>
      <c r="Y84" s="2"/>
      <c r="Z84" s="6">
        <f t="shared" si="37"/>
        <v>-0.41991284399698742</v>
      </c>
    </row>
    <row r="85" spans="1:26" s="28" customFormat="1" outlineLevel="1" collapsed="1" x14ac:dyDescent="0.3">
      <c r="A85" s="29"/>
      <c r="B85" s="14" t="str">
        <f>CONCATENATE("     ","Depreciation                                      ")</f>
        <v xml:space="preserve">     Depreciation                                      </v>
      </c>
      <c r="C85" s="14"/>
      <c r="D85" s="1">
        <f>SUM(OSRRefD22_5x_0)</f>
        <v>34674.68</v>
      </c>
      <c r="E85" s="1"/>
      <c r="F85" s="5">
        <f t="shared" si="30"/>
        <v>4.560131927445165E-2</v>
      </c>
      <c r="G85" s="1"/>
      <c r="H85" s="1">
        <f>SUM(OSRRefH22_5x_0)</f>
        <v>34553</v>
      </c>
      <c r="I85" s="1"/>
      <c r="J85" s="5">
        <f t="shared" si="31"/>
        <v>1.7024033581979247E-2</v>
      </c>
      <c r="K85" s="1"/>
      <c r="L85" s="1">
        <f t="shared" si="32"/>
        <v>121.68000000000029</v>
      </c>
      <c r="M85" s="1"/>
      <c r="N85" s="5">
        <f t="shared" si="33"/>
        <v>3.521546609556342E-3</v>
      </c>
      <c r="O85" s="14"/>
      <c r="P85" s="1">
        <f>SUM(OSRRefP22_5x_0)</f>
        <v>259062.13</v>
      </c>
      <c r="Q85" s="1"/>
      <c r="R85" s="5">
        <f t="shared" si="34"/>
        <v>5.7595913426348108E-2</v>
      </c>
      <c r="S85" s="1"/>
      <c r="T85" s="1">
        <f>SUM(OSRRefT22_5x_0)</f>
        <v>258208</v>
      </c>
      <c r="U85" s="1"/>
      <c r="V85" s="5">
        <f t="shared" si="35"/>
        <v>3.6179247906901996E-2</v>
      </c>
      <c r="W85" s="1"/>
      <c r="X85" s="1">
        <f t="shared" si="36"/>
        <v>854.13000000000466</v>
      </c>
      <c r="Y85" s="1"/>
      <c r="Z85" s="5">
        <f t="shared" si="37"/>
        <v>3.3079145495104904E-3</v>
      </c>
    </row>
    <row r="86" spans="1:26" s="24" customFormat="1" hidden="1" outlineLevel="2" x14ac:dyDescent="0.3">
      <c r="A86" s="27"/>
      <c r="B86" s="11" t="str">
        <f>CONCATENATE("          ", "6321", " - ", "BUILDING DEPRECIATION")</f>
        <v xml:space="preserve">          6321 - BUILDING DEPRECIATION</v>
      </c>
      <c r="C86" s="11"/>
      <c r="D86" s="7">
        <v>19212.11</v>
      </c>
      <c r="E86" s="2"/>
      <c r="F86" s="6">
        <f t="shared" si="30"/>
        <v>2.5266204678626746E-2</v>
      </c>
      <c r="G86" s="2"/>
      <c r="H86" s="7"/>
      <c r="I86" s="2"/>
      <c r="J86" s="6">
        <f t="shared" si="31"/>
        <v>0</v>
      </c>
      <c r="K86" s="2"/>
      <c r="L86" s="7">
        <f t="shared" si="32"/>
        <v>19212.11</v>
      </c>
      <c r="M86" s="2"/>
      <c r="N86" s="6">
        <f t="shared" si="33"/>
        <v>0</v>
      </c>
      <c r="O86" s="11"/>
      <c r="P86" s="7">
        <v>148074.28</v>
      </c>
      <c r="Q86" s="2"/>
      <c r="R86" s="6">
        <f t="shared" si="34"/>
        <v>3.2920571646457272E-2</v>
      </c>
      <c r="S86" s="2"/>
      <c r="T86" s="7"/>
      <c r="U86" s="2"/>
      <c r="V86" s="6">
        <f t="shared" si="35"/>
        <v>0</v>
      </c>
      <c r="W86" s="2"/>
      <c r="X86" s="7">
        <f t="shared" si="36"/>
        <v>148074.28</v>
      </c>
      <c r="Y86" s="2"/>
      <c r="Z86" s="6">
        <f t="shared" si="37"/>
        <v>0</v>
      </c>
    </row>
    <row r="87" spans="1:26" s="24" customFormat="1" hidden="1" outlineLevel="2" x14ac:dyDescent="0.3">
      <c r="A87" s="27"/>
      <c r="B87" s="11" t="str">
        <f>CONCATENATE("          ", "6322", " - ", "EQUIPMENT DEPRECIATION EXPENSE")</f>
        <v xml:space="preserve">          6322 - EQUIPMENT DEPRECIATION EXPENSE</v>
      </c>
      <c r="C87" s="11"/>
      <c r="D87" s="7">
        <v>15462.57</v>
      </c>
      <c r="E87" s="2"/>
      <c r="F87" s="6">
        <f t="shared" si="30"/>
        <v>2.0335114595824901E-2</v>
      </c>
      <c r="G87" s="2"/>
      <c r="H87" s="7">
        <v>34553</v>
      </c>
      <c r="I87" s="2"/>
      <c r="J87" s="6">
        <f t="shared" si="31"/>
        <v>1.7024033581979247E-2</v>
      </c>
      <c r="K87" s="2"/>
      <c r="L87" s="7">
        <f t="shared" si="32"/>
        <v>-19090.43</v>
      </c>
      <c r="M87" s="2"/>
      <c r="N87" s="6">
        <f t="shared" si="33"/>
        <v>-0.55249703354267354</v>
      </c>
      <c r="O87" s="11"/>
      <c r="P87" s="7">
        <v>110987.85</v>
      </c>
      <c r="Q87" s="2"/>
      <c r="R87" s="6">
        <f t="shared" si="34"/>
        <v>2.4675341779890832E-2</v>
      </c>
      <c r="S87" s="2"/>
      <c r="T87" s="7">
        <v>258208</v>
      </c>
      <c r="U87" s="2"/>
      <c r="V87" s="6">
        <f t="shared" si="35"/>
        <v>3.6179247906901996E-2</v>
      </c>
      <c r="W87" s="2"/>
      <c r="X87" s="7">
        <f t="shared" si="36"/>
        <v>-147220.15</v>
      </c>
      <c r="Y87" s="2"/>
      <c r="Z87" s="6">
        <f t="shared" si="37"/>
        <v>-0.57016107169413799</v>
      </c>
    </row>
    <row r="88" spans="1:26" s="28" customFormat="1" outlineLevel="1" collapsed="1" x14ac:dyDescent="0.3">
      <c r="A88" s="29"/>
      <c r="B88" s="14" t="str">
        <f>CONCATENATE("     ","Discounts and Markdowns                           ")</f>
        <v xml:space="preserve">     Discounts and Markdowns                           </v>
      </c>
      <c r="C88" s="14"/>
      <c r="D88" s="1">
        <f>SUM(OSRRefD22_6x_0)</f>
        <v>-1290.25</v>
      </c>
      <c r="E88" s="1"/>
      <c r="F88" s="5">
        <f t="shared" ref="F88:F90" si="38">IF(D$12=0,0,D88/D$12)</f>
        <v>-1.6968318725323849E-3</v>
      </c>
      <c r="G88" s="1"/>
      <c r="H88" s="1">
        <f>SUM(OSRRefH22_6x_0)</f>
        <v>0</v>
      </c>
      <c r="I88" s="1"/>
      <c r="J88" s="5">
        <f t="shared" ref="J88:J90" si="39">IF(H$12=0,0,H88/H$12)</f>
        <v>0</v>
      </c>
      <c r="K88" s="1"/>
      <c r="L88" s="1">
        <f t="shared" ref="L88:L90" si="40">+D88-H88</f>
        <v>-1290.25</v>
      </c>
      <c r="M88" s="1"/>
      <c r="N88" s="5">
        <f t="shared" ref="N88:N90" si="41">IF(H88=0,0,L88/H88)</f>
        <v>0</v>
      </c>
      <c r="O88" s="14"/>
      <c r="P88" s="1">
        <f>SUM(OSRRefP22_6x_0)</f>
        <v>2064.5499999999997</v>
      </c>
      <c r="Q88" s="1"/>
      <c r="R88" s="5">
        <f t="shared" ref="R88:R90" si="42">IF(P$12=0,0,P88/P$12)</f>
        <v>4.5900048403202338E-4</v>
      </c>
      <c r="S88" s="1"/>
      <c r="T88" s="1">
        <f>SUM(OSRRefT22_6x_0)</f>
        <v>0</v>
      </c>
      <c r="U88" s="1"/>
      <c r="V88" s="5">
        <f t="shared" ref="V88:V90" si="43">IF(T$12=0,0,T88/T$12)</f>
        <v>0</v>
      </c>
      <c r="W88" s="1"/>
      <c r="X88" s="1">
        <f t="shared" ref="X88:X90" si="44">+P88-T88</f>
        <v>2064.5499999999997</v>
      </c>
      <c r="Y88" s="1"/>
      <c r="Z88" s="5">
        <f t="shared" ref="Z88:Z90" si="45">IF(T88=0,0,X88/T88)</f>
        <v>0</v>
      </c>
    </row>
    <row r="89" spans="1:26" s="24" customFormat="1" hidden="1" outlineLevel="2" x14ac:dyDescent="0.3">
      <c r="A89" s="27"/>
      <c r="B89" s="11" t="str">
        <f>CONCATENATE("          ", "6382", " - ", "DISCOUNTS/MARK DOWNS")</f>
        <v xml:space="preserve">          6382 - DISCOUNTS/MARK DOWNS</v>
      </c>
      <c r="C89" s="11"/>
      <c r="D89" s="7">
        <v>-1238.6500000000001</v>
      </c>
      <c r="E89" s="2"/>
      <c r="F89" s="6">
        <f t="shared" si="38"/>
        <v>-1.6289717488178561E-3</v>
      </c>
      <c r="G89" s="2"/>
      <c r="H89" s="7"/>
      <c r="I89" s="2"/>
      <c r="J89" s="6">
        <f t="shared" si="39"/>
        <v>0</v>
      </c>
      <c r="K89" s="2"/>
      <c r="L89" s="7">
        <f t="shared" si="40"/>
        <v>-1238.6500000000001</v>
      </c>
      <c r="M89" s="2"/>
      <c r="N89" s="6">
        <f t="shared" si="41"/>
        <v>0</v>
      </c>
      <c r="O89" s="11"/>
      <c r="P89" s="7">
        <v>2171.35</v>
      </c>
      <c r="Q89" s="2"/>
      <c r="R89" s="6">
        <f t="shared" si="42"/>
        <v>4.8274476326702381E-4</v>
      </c>
      <c r="S89" s="2"/>
      <c r="T89" s="7">
        <v>0</v>
      </c>
      <c r="U89" s="2"/>
      <c r="V89" s="6">
        <f t="shared" si="43"/>
        <v>0</v>
      </c>
      <c r="W89" s="2"/>
      <c r="X89" s="7">
        <f t="shared" si="44"/>
        <v>2171.35</v>
      </c>
      <c r="Y89" s="2"/>
      <c r="Z89" s="6">
        <f t="shared" si="45"/>
        <v>0</v>
      </c>
    </row>
    <row r="90" spans="1:26" s="24" customFormat="1" hidden="1" outlineLevel="2" x14ac:dyDescent="0.3">
      <c r="A90" s="27"/>
      <c r="B90" s="11" t="str">
        <f>CONCATENATE("          ", "9175", " - ", "EARNED DISCOUNTS")</f>
        <v xml:space="preserve">          9175 - EARNED DISCOUNTS</v>
      </c>
      <c r="C90" s="11"/>
      <c r="D90" s="7">
        <v>-51.6</v>
      </c>
      <c r="E90" s="2"/>
      <c r="F90" s="6">
        <f t="shared" si="38"/>
        <v>-6.7860123714529022E-5</v>
      </c>
      <c r="G90" s="2"/>
      <c r="H90" s="7"/>
      <c r="I90" s="2"/>
      <c r="J90" s="6">
        <f t="shared" si="39"/>
        <v>0</v>
      </c>
      <c r="K90" s="2"/>
      <c r="L90" s="7">
        <f t="shared" si="40"/>
        <v>-51.6</v>
      </c>
      <c r="M90" s="2"/>
      <c r="N90" s="6">
        <f t="shared" si="41"/>
        <v>0</v>
      </c>
      <c r="O90" s="11"/>
      <c r="P90" s="7">
        <v>-106.8</v>
      </c>
      <c r="Q90" s="2"/>
      <c r="R90" s="6">
        <f t="shared" si="42"/>
        <v>-2.3744279235000412E-5</v>
      </c>
      <c r="S90" s="2"/>
      <c r="T90" s="7"/>
      <c r="U90" s="2"/>
      <c r="V90" s="6">
        <f t="shared" si="43"/>
        <v>0</v>
      </c>
      <c r="W90" s="2"/>
      <c r="X90" s="7">
        <f t="shared" si="44"/>
        <v>-106.8</v>
      </c>
      <c r="Y90" s="2"/>
      <c r="Z90" s="6">
        <f t="shared" si="45"/>
        <v>0</v>
      </c>
    </row>
    <row r="91" spans="1:26" s="28" customFormat="1" outlineLevel="1" collapsed="1" x14ac:dyDescent="0.3">
      <c r="A91" s="29"/>
      <c r="B91" s="14" t="str">
        <f>CONCATENATE("     ","Donations                                         ")</f>
        <v xml:space="preserve">     Donations                                         </v>
      </c>
      <c r="C91" s="14"/>
      <c r="D91" s="1">
        <f>SUM(OSRRefD22_7x_0)</f>
        <v>0</v>
      </c>
      <c r="E91" s="1"/>
      <c r="F91" s="5">
        <f t="shared" ref="F91:F99" si="46">IF(D$12=0,0,D91/D$12)</f>
        <v>0</v>
      </c>
      <c r="G91" s="1"/>
      <c r="H91" s="1">
        <f>SUM(OSRRefH22_7x_0)</f>
        <v>1250</v>
      </c>
      <c r="I91" s="1"/>
      <c r="J91" s="5">
        <f t="shared" ref="J91:J99" si="47">IF(H$12=0,0,H91/H$12)</f>
        <v>6.1586669688519263E-4</v>
      </c>
      <c r="K91" s="1"/>
      <c r="L91" s="1">
        <f t="shared" ref="L91:L99" si="48">+D91-H91</f>
        <v>-1250</v>
      </c>
      <c r="M91" s="1"/>
      <c r="N91" s="5">
        <f t="shared" ref="N91:N99" si="49">IF(H91=0,0,L91/H91)</f>
        <v>-1</v>
      </c>
      <c r="O91" s="14"/>
      <c r="P91" s="1">
        <f>SUM(OSRRefP22_7x_0)</f>
        <v>2820.22</v>
      </c>
      <c r="Q91" s="1"/>
      <c r="R91" s="5">
        <f t="shared" ref="R91:R99" si="50">IF(P$12=0,0,P91/P$12)</f>
        <v>6.2700459910236767E-4</v>
      </c>
      <c r="S91" s="1"/>
      <c r="T91" s="1">
        <f>SUM(OSRRefT22_7x_0)</f>
        <v>8750</v>
      </c>
      <c r="U91" s="1"/>
      <c r="V91" s="5">
        <f t="shared" ref="V91:V99" si="51">IF(T$12=0,0,T91/T$12)</f>
        <v>1.2260209566914754E-3</v>
      </c>
      <c r="W91" s="1"/>
      <c r="X91" s="1">
        <f t="shared" ref="X91:X99" si="52">+P91-T91</f>
        <v>-5929.7800000000007</v>
      </c>
      <c r="Y91" s="1"/>
      <c r="Z91" s="5">
        <f t="shared" ref="Z91:Z99" si="53">IF(T91=0,0,X91/T91)</f>
        <v>-0.67768914285714288</v>
      </c>
    </row>
    <row r="92" spans="1:26" s="24" customFormat="1" hidden="1" outlineLevel="2" x14ac:dyDescent="0.3">
      <c r="A92" s="27"/>
      <c r="B92" s="11" t="str">
        <f>CONCATENATE("          ", "6399", " - ", "DONATION-ON CAMPUS")</f>
        <v xml:space="preserve">          6399 - DONATION-ON CAMPUS</v>
      </c>
      <c r="C92" s="11"/>
      <c r="D92" s="7"/>
      <c r="E92" s="2"/>
      <c r="F92" s="6">
        <f t="shared" si="46"/>
        <v>0</v>
      </c>
      <c r="G92" s="2"/>
      <c r="H92" s="7">
        <v>1250</v>
      </c>
      <c r="I92" s="2"/>
      <c r="J92" s="6">
        <f t="shared" si="47"/>
        <v>6.1586669688519263E-4</v>
      </c>
      <c r="K92" s="2"/>
      <c r="L92" s="7">
        <f t="shared" si="48"/>
        <v>-1250</v>
      </c>
      <c r="M92" s="2"/>
      <c r="N92" s="6">
        <f t="shared" si="49"/>
        <v>-1</v>
      </c>
      <c r="O92" s="11"/>
      <c r="P92" s="7">
        <v>2820.22</v>
      </c>
      <c r="Q92" s="2"/>
      <c r="R92" s="6">
        <f t="shared" si="50"/>
        <v>6.2700459910236767E-4</v>
      </c>
      <c r="S92" s="2"/>
      <c r="T92" s="7">
        <v>8750</v>
      </c>
      <c r="U92" s="2"/>
      <c r="V92" s="6">
        <f t="shared" si="51"/>
        <v>1.2260209566914754E-3</v>
      </c>
      <c r="W92" s="2"/>
      <c r="X92" s="7">
        <f t="shared" si="52"/>
        <v>-5929.7800000000007</v>
      </c>
      <c r="Y92" s="2"/>
      <c r="Z92" s="6">
        <f t="shared" si="53"/>
        <v>-0.67768914285714288</v>
      </c>
    </row>
    <row r="93" spans="1:26" s="28" customFormat="1" outlineLevel="1" collapsed="1" x14ac:dyDescent="0.3">
      <c r="A93" s="29"/>
      <c r="B93" s="14" t="str">
        <f>CONCATENATE("     ","Employees' Appreciation                           ")</f>
        <v xml:space="preserve">     Employees' Appreciation                           </v>
      </c>
      <c r="C93" s="14"/>
      <c r="D93" s="1">
        <f>SUM(OSRRefD22_8x_0)</f>
        <v>1421.38</v>
      </c>
      <c r="E93" s="1"/>
      <c r="F93" s="5">
        <f t="shared" si="46"/>
        <v>1.869283384599947E-3</v>
      </c>
      <c r="G93" s="1"/>
      <c r="H93" s="1">
        <f>SUM(OSRRefH22_8x_0)</f>
        <v>225</v>
      </c>
      <c r="I93" s="1"/>
      <c r="J93" s="5">
        <f t="shared" si="47"/>
        <v>1.1085600543933466E-4</v>
      </c>
      <c r="K93" s="1"/>
      <c r="L93" s="1">
        <f t="shared" si="48"/>
        <v>1196.3800000000001</v>
      </c>
      <c r="M93" s="1"/>
      <c r="N93" s="5">
        <f t="shared" si="49"/>
        <v>5.3172444444444453</v>
      </c>
      <c r="O93" s="14"/>
      <c r="P93" s="1">
        <f>SUM(OSRRefP22_8x_0)</f>
        <v>4245.1899999999996</v>
      </c>
      <c r="Q93" s="1"/>
      <c r="R93" s="5">
        <f t="shared" si="50"/>
        <v>9.4381064387295311E-4</v>
      </c>
      <c r="S93" s="1"/>
      <c r="T93" s="1">
        <f>SUM(OSRRefT22_8x_0)</f>
        <v>1625</v>
      </c>
      <c r="U93" s="1"/>
      <c r="V93" s="5">
        <f t="shared" si="51"/>
        <v>2.2768960624270255E-4</v>
      </c>
      <c r="W93" s="1"/>
      <c r="X93" s="1">
        <f t="shared" si="52"/>
        <v>2620.1899999999996</v>
      </c>
      <c r="Y93" s="1"/>
      <c r="Z93" s="5">
        <f t="shared" si="53"/>
        <v>1.6124246153846151</v>
      </c>
    </row>
    <row r="94" spans="1:26" s="24" customFormat="1" hidden="1" outlineLevel="2" x14ac:dyDescent="0.3">
      <c r="A94" s="27"/>
      <c r="B94" s="11" t="str">
        <f>CONCATENATE("          ", "6277", " - ", "EMPLOYEE APPRECIATION")</f>
        <v xml:space="preserve">          6277 - EMPLOYEE APPRECIATION</v>
      </c>
      <c r="C94" s="11"/>
      <c r="D94" s="7">
        <v>1421.38</v>
      </c>
      <c r="E94" s="2"/>
      <c r="F94" s="6">
        <f t="shared" si="46"/>
        <v>1.869283384599947E-3</v>
      </c>
      <c r="G94" s="2"/>
      <c r="H94" s="7">
        <v>225</v>
      </c>
      <c r="I94" s="2"/>
      <c r="J94" s="6">
        <f t="shared" si="47"/>
        <v>1.1085600543933466E-4</v>
      </c>
      <c r="K94" s="2"/>
      <c r="L94" s="7">
        <f t="shared" si="48"/>
        <v>1196.3800000000001</v>
      </c>
      <c r="M94" s="2"/>
      <c r="N94" s="6">
        <f t="shared" si="49"/>
        <v>5.3172444444444453</v>
      </c>
      <c r="O94" s="11"/>
      <c r="P94" s="7">
        <v>4245.1899999999996</v>
      </c>
      <c r="Q94" s="2"/>
      <c r="R94" s="6">
        <f t="shared" si="50"/>
        <v>9.4381064387295311E-4</v>
      </c>
      <c r="S94" s="2"/>
      <c r="T94" s="7">
        <v>1625</v>
      </c>
      <c r="U94" s="2"/>
      <c r="V94" s="6">
        <f t="shared" si="51"/>
        <v>2.2768960624270255E-4</v>
      </c>
      <c r="W94" s="2"/>
      <c r="X94" s="7">
        <f t="shared" si="52"/>
        <v>2620.1899999999996</v>
      </c>
      <c r="Y94" s="2"/>
      <c r="Z94" s="6">
        <f t="shared" si="53"/>
        <v>1.6124246153846151</v>
      </c>
    </row>
    <row r="95" spans="1:26" s="28" customFormat="1" outlineLevel="1" collapsed="1" x14ac:dyDescent="0.3">
      <c r="A95" s="29"/>
      <c r="B95" s="14" t="str">
        <f>CONCATENATE("     ","Equipment Rental                                  ")</f>
        <v xml:space="preserve">     Equipment Rental                                  </v>
      </c>
      <c r="C95" s="14"/>
      <c r="D95" s="1">
        <f>SUM(OSRRefD22_9x_0)</f>
        <v>1479.42</v>
      </c>
      <c r="E95" s="1"/>
      <c r="F95" s="5">
        <f t="shared" si="46"/>
        <v>1.9456128725920258E-3</v>
      </c>
      <c r="G95" s="1"/>
      <c r="H95" s="1">
        <f>SUM(OSRRefH22_9x_0)</f>
        <v>1876</v>
      </c>
      <c r="I95" s="1"/>
      <c r="J95" s="5">
        <f t="shared" si="47"/>
        <v>9.2429273868529702E-4</v>
      </c>
      <c r="K95" s="1"/>
      <c r="L95" s="1">
        <f t="shared" si="48"/>
        <v>-396.57999999999993</v>
      </c>
      <c r="M95" s="1"/>
      <c r="N95" s="5">
        <f t="shared" si="49"/>
        <v>-0.21139658848614068</v>
      </c>
      <c r="O95" s="14"/>
      <c r="P95" s="1">
        <f>SUM(OSRRefP22_9x_0)</f>
        <v>11339.94</v>
      </c>
      <c r="Q95" s="1"/>
      <c r="R95" s="5">
        <f t="shared" si="50"/>
        <v>2.5211488938965414E-3</v>
      </c>
      <c r="S95" s="1"/>
      <c r="T95" s="1">
        <f>SUM(OSRRefT22_9x_0)</f>
        <v>12932</v>
      </c>
      <c r="U95" s="1"/>
      <c r="V95" s="5">
        <f t="shared" si="51"/>
        <v>1.811988915649618E-3</v>
      </c>
      <c r="W95" s="1"/>
      <c r="X95" s="1">
        <f t="shared" si="52"/>
        <v>-1592.0599999999995</v>
      </c>
      <c r="Y95" s="1"/>
      <c r="Z95" s="5">
        <f t="shared" si="53"/>
        <v>-0.12311011444478809</v>
      </c>
    </row>
    <row r="96" spans="1:26" s="24" customFormat="1" hidden="1" outlineLevel="2" x14ac:dyDescent="0.3">
      <c r="A96" s="27"/>
      <c r="B96" s="11" t="str">
        <f>CONCATENATE("          ", "6351", " - ", "EQUIPMENT RENTAL")</f>
        <v xml:space="preserve">          6351 - EQUIPMENT RENTAL</v>
      </c>
      <c r="C96" s="11"/>
      <c r="D96" s="7">
        <v>1479.42</v>
      </c>
      <c r="E96" s="2"/>
      <c r="F96" s="6">
        <f t="shared" si="46"/>
        <v>1.9456128725920258E-3</v>
      </c>
      <c r="G96" s="2"/>
      <c r="H96" s="7">
        <v>1876</v>
      </c>
      <c r="I96" s="2"/>
      <c r="J96" s="6">
        <f t="shared" si="47"/>
        <v>9.2429273868529702E-4</v>
      </c>
      <c r="K96" s="2"/>
      <c r="L96" s="7">
        <f t="shared" si="48"/>
        <v>-396.57999999999993</v>
      </c>
      <c r="M96" s="2"/>
      <c r="N96" s="6">
        <f t="shared" si="49"/>
        <v>-0.21139658848614068</v>
      </c>
      <c r="O96" s="11"/>
      <c r="P96" s="7">
        <v>11339.94</v>
      </c>
      <c r="Q96" s="2"/>
      <c r="R96" s="6">
        <f t="shared" si="50"/>
        <v>2.5211488938965414E-3</v>
      </c>
      <c r="S96" s="2"/>
      <c r="T96" s="7">
        <v>12932</v>
      </c>
      <c r="U96" s="2"/>
      <c r="V96" s="6">
        <f t="shared" si="51"/>
        <v>1.811988915649618E-3</v>
      </c>
      <c r="W96" s="2"/>
      <c r="X96" s="7">
        <f t="shared" si="52"/>
        <v>-1592.0599999999995</v>
      </c>
      <c r="Y96" s="2"/>
      <c r="Z96" s="6">
        <f t="shared" si="53"/>
        <v>-0.12311011444478809</v>
      </c>
    </row>
    <row r="97" spans="1:26" s="28" customFormat="1" outlineLevel="1" collapsed="1" x14ac:dyDescent="0.3">
      <c r="A97" s="29"/>
      <c r="B97" s="14" t="str">
        <f>CONCATENATE("     ","Freight out/Postage                               ")</f>
        <v xml:space="preserve">     Freight out/Postage                               </v>
      </c>
      <c r="C97" s="14"/>
      <c r="D97" s="1">
        <f>SUM(OSRRefD22_10x_0)</f>
        <v>-7280.8900000000012</v>
      </c>
      <c r="E97" s="1"/>
      <c r="F97" s="5">
        <f t="shared" si="46"/>
        <v>-9.5752344215480085E-3</v>
      </c>
      <c r="G97" s="1"/>
      <c r="H97" s="1">
        <f>SUM(OSRRefH22_10x_0)</f>
        <v>-25550</v>
      </c>
      <c r="I97" s="1"/>
      <c r="J97" s="5">
        <f t="shared" si="47"/>
        <v>-1.2588315284333337E-2</v>
      </c>
      <c r="K97" s="1"/>
      <c r="L97" s="1">
        <f t="shared" si="48"/>
        <v>18269.11</v>
      </c>
      <c r="M97" s="1"/>
      <c r="N97" s="5">
        <f t="shared" si="49"/>
        <v>-0.7150336594911938</v>
      </c>
      <c r="O97" s="14"/>
      <c r="P97" s="1">
        <f>SUM(OSRRefP22_10x_0)</f>
        <v>-39448.099999999991</v>
      </c>
      <c r="Q97" s="1"/>
      <c r="R97" s="5">
        <f t="shared" si="50"/>
        <v>-8.7702874690095464E-3</v>
      </c>
      <c r="S97" s="1"/>
      <c r="T97" s="1">
        <f>SUM(OSRRefT22_10x_0)</f>
        <v>-16950</v>
      </c>
      <c r="U97" s="1"/>
      <c r="V97" s="5">
        <f t="shared" si="51"/>
        <v>-2.3749777389623435E-3</v>
      </c>
      <c r="W97" s="1"/>
      <c r="X97" s="1">
        <f t="shared" si="52"/>
        <v>-22498.099999999991</v>
      </c>
      <c r="Y97" s="1"/>
      <c r="Z97" s="5">
        <f t="shared" si="53"/>
        <v>1.3273215339233033</v>
      </c>
    </row>
    <row r="98" spans="1:26" s="24" customFormat="1" hidden="1" outlineLevel="2" x14ac:dyDescent="0.3">
      <c r="A98" s="27"/>
      <c r="B98" s="11" t="str">
        <f>CONCATENATE("          ", "6305", " - ", "FREIGHT OUT")</f>
        <v xml:space="preserve">          6305 - FREIGHT OUT</v>
      </c>
      <c r="C98" s="11"/>
      <c r="D98" s="7">
        <v>16037.19</v>
      </c>
      <c r="E98" s="2"/>
      <c r="F98" s="6">
        <f t="shared" si="46"/>
        <v>2.1090808089794723E-2</v>
      </c>
      <c r="G98" s="2"/>
      <c r="H98" s="7">
        <v>15850</v>
      </c>
      <c r="I98" s="2"/>
      <c r="J98" s="6">
        <f t="shared" si="47"/>
        <v>7.8091897165042425E-3</v>
      </c>
      <c r="K98" s="2"/>
      <c r="L98" s="7">
        <f t="shared" si="48"/>
        <v>187.19000000000051</v>
      </c>
      <c r="M98" s="2"/>
      <c r="N98" s="6">
        <f t="shared" si="49"/>
        <v>1.1810094637224006E-2</v>
      </c>
      <c r="O98" s="11"/>
      <c r="P98" s="7">
        <v>94136.45</v>
      </c>
      <c r="Q98" s="2"/>
      <c r="R98" s="6">
        <f t="shared" si="50"/>
        <v>2.0928859129135342E-2</v>
      </c>
      <c r="S98" s="2"/>
      <c r="T98" s="7">
        <v>115350</v>
      </c>
      <c r="U98" s="2"/>
      <c r="V98" s="6">
        <f t="shared" si="51"/>
        <v>1.6162459126212763E-2</v>
      </c>
      <c r="W98" s="2"/>
      <c r="X98" s="7">
        <f t="shared" si="52"/>
        <v>-21213.550000000003</v>
      </c>
      <c r="Y98" s="2"/>
      <c r="Z98" s="6">
        <f t="shared" si="53"/>
        <v>-0.18390593844820116</v>
      </c>
    </row>
    <row r="99" spans="1:26" s="24" customFormat="1" hidden="1" outlineLevel="2" x14ac:dyDescent="0.3">
      <c r="A99" s="27"/>
      <c r="B99" s="11" t="str">
        <f>CONCATENATE("          ", "6307", " - ", "POSTAGE")</f>
        <v xml:space="preserve">          6307 - POSTAGE</v>
      </c>
      <c r="C99" s="11"/>
      <c r="D99" s="7">
        <v>-23318.080000000002</v>
      </c>
      <c r="E99" s="2"/>
      <c r="F99" s="6">
        <f t="shared" si="46"/>
        <v>-3.066604251134273E-2</v>
      </c>
      <c r="G99" s="2"/>
      <c r="H99" s="7">
        <v>-41400</v>
      </c>
      <c r="I99" s="2"/>
      <c r="J99" s="6">
        <f t="shared" si="47"/>
        <v>-2.039750500083758E-2</v>
      </c>
      <c r="K99" s="2"/>
      <c r="L99" s="7">
        <f t="shared" si="48"/>
        <v>18081.919999999998</v>
      </c>
      <c r="M99" s="2"/>
      <c r="N99" s="6">
        <f t="shared" si="49"/>
        <v>-0.43676135265700478</v>
      </c>
      <c r="O99" s="11"/>
      <c r="P99" s="7">
        <v>-133584.54999999999</v>
      </c>
      <c r="Q99" s="2"/>
      <c r="R99" s="6">
        <f t="shared" si="50"/>
        <v>-2.969914659814489E-2</v>
      </c>
      <c r="S99" s="2"/>
      <c r="T99" s="7">
        <v>-132300</v>
      </c>
      <c r="U99" s="2"/>
      <c r="V99" s="6">
        <f t="shared" si="51"/>
        <v>-1.8537436865175106E-2</v>
      </c>
      <c r="W99" s="2"/>
      <c r="X99" s="7">
        <f t="shared" si="52"/>
        <v>-1284.5499999999884</v>
      </c>
      <c r="Y99" s="2"/>
      <c r="Z99" s="6">
        <f t="shared" si="53"/>
        <v>9.709372637943978E-3</v>
      </c>
    </row>
    <row r="100" spans="1:26" s="28" customFormat="1" outlineLevel="1" collapsed="1" x14ac:dyDescent="0.3">
      <c r="A100" s="29"/>
      <c r="B100" s="14" t="str">
        <f>CONCATENATE("     ","General                                           ")</f>
        <v xml:space="preserve">     General                                           </v>
      </c>
      <c r="C100" s="14"/>
      <c r="D100" s="1">
        <f>SUM(OSRRefD22_11x_0)</f>
        <v>758.88</v>
      </c>
      <c r="E100" s="1"/>
      <c r="F100" s="5">
        <f t="shared" ref="F100:F102" si="54">IF(D$12=0,0,D100/D$12)</f>
        <v>9.980172613271662E-4</v>
      </c>
      <c r="G100" s="1"/>
      <c r="H100" s="1">
        <f>SUM(OSRRefH22_11x_0)</f>
        <v>200</v>
      </c>
      <c r="I100" s="1"/>
      <c r="J100" s="5">
        <f t="shared" ref="J100:J102" si="55">IF(H$12=0,0,H100/H$12)</f>
        <v>9.8538671501630814E-5</v>
      </c>
      <c r="K100" s="1"/>
      <c r="L100" s="1">
        <f t="shared" ref="L100:L102" si="56">+D100-H100</f>
        <v>558.88</v>
      </c>
      <c r="M100" s="1"/>
      <c r="N100" s="5">
        <f t="shared" ref="N100:N102" si="57">IF(H100=0,0,L100/H100)</f>
        <v>2.7944</v>
      </c>
      <c r="O100" s="14"/>
      <c r="P100" s="1">
        <f>SUM(OSRRefP22_11x_0)</f>
        <v>7681.45</v>
      </c>
      <c r="Q100" s="1"/>
      <c r="R100" s="5">
        <f t="shared" ref="R100:R102" si="58">IF(P$12=0,0,P100/P$12)</f>
        <v>1.7077761585177333E-3</v>
      </c>
      <c r="S100" s="1"/>
      <c r="T100" s="1">
        <f>SUM(OSRRefT22_11x_0)</f>
        <v>5235</v>
      </c>
      <c r="U100" s="1"/>
      <c r="V100" s="5">
        <f t="shared" ref="V100:V102" si="59">IF(T$12=0,0,T100/T$12)</f>
        <v>7.3351082380341409E-4</v>
      </c>
      <c r="W100" s="1"/>
      <c r="X100" s="1">
        <f t="shared" ref="X100:X102" si="60">+P100-T100</f>
        <v>2446.4499999999998</v>
      </c>
      <c r="Y100" s="1"/>
      <c r="Z100" s="5">
        <f t="shared" ref="Z100:Z102" si="61">IF(T100=0,0,X100/T100)</f>
        <v>0.46732569245463224</v>
      </c>
    </row>
    <row r="101" spans="1:26" s="24" customFormat="1" hidden="1" outlineLevel="2" x14ac:dyDescent="0.3">
      <c r="A101" s="27"/>
      <c r="B101" s="11" t="str">
        <f>CONCATENATE("          ", "6276", " - ", "PROPERTY TAX")</f>
        <v xml:space="preserve">          6276 - PROPERTY TAX</v>
      </c>
      <c r="C101" s="11"/>
      <c r="D101" s="7"/>
      <c r="E101" s="2"/>
      <c r="F101" s="6">
        <f t="shared" si="54"/>
        <v>0</v>
      </c>
      <c r="G101" s="2"/>
      <c r="H101" s="7"/>
      <c r="I101" s="2"/>
      <c r="J101" s="6">
        <f t="shared" si="55"/>
        <v>0</v>
      </c>
      <c r="K101" s="2"/>
      <c r="L101" s="7">
        <f t="shared" si="56"/>
        <v>0</v>
      </c>
      <c r="M101" s="2"/>
      <c r="N101" s="6">
        <f t="shared" si="57"/>
        <v>0</v>
      </c>
      <c r="O101" s="11"/>
      <c r="P101" s="7"/>
      <c r="Q101" s="2"/>
      <c r="R101" s="6">
        <f t="shared" si="58"/>
        <v>0</v>
      </c>
      <c r="S101" s="2"/>
      <c r="T101" s="7">
        <v>1250</v>
      </c>
      <c r="U101" s="2"/>
      <c r="V101" s="6">
        <f t="shared" si="59"/>
        <v>1.7514585095592503E-4</v>
      </c>
      <c r="W101" s="2"/>
      <c r="X101" s="7">
        <f t="shared" si="60"/>
        <v>-1250</v>
      </c>
      <c r="Y101" s="2"/>
      <c r="Z101" s="6">
        <f t="shared" si="61"/>
        <v>-1</v>
      </c>
    </row>
    <row r="102" spans="1:26" s="24" customFormat="1" hidden="1" outlineLevel="2" x14ac:dyDescent="0.3">
      <c r="A102" s="27"/>
      <c r="B102" s="11" t="str">
        <f>CONCATENATE("          ", "6279", " - ", "GENERAL EXPENSE")</f>
        <v xml:space="preserve">          6279 - GENERAL EXPENSE</v>
      </c>
      <c r="C102" s="11"/>
      <c r="D102" s="7">
        <v>758.88</v>
      </c>
      <c r="E102" s="2"/>
      <c r="F102" s="6">
        <f t="shared" si="54"/>
        <v>9.980172613271662E-4</v>
      </c>
      <c r="G102" s="2"/>
      <c r="H102" s="7">
        <v>200</v>
      </c>
      <c r="I102" s="2"/>
      <c r="J102" s="6">
        <f t="shared" si="55"/>
        <v>9.8538671501630814E-5</v>
      </c>
      <c r="K102" s="2"/>
      <c r="L102" s="7">
        <f t="shared" si="56"/>
        <v>558.88</v>
      </c>
      <c r="M102" s="2"/>
      <c r="N102" s="6">
        <f t="shared" si="57"/>
        <v>2.7944</v>
      </c>
      <c r="O102" s="11"/>
      <c r="P102" s="7">
        <v>7681.45</v>
      </c>
      <c r="Q102" s="2"/>
      <c r="R102" s="6">
        <f t="shared" si="58"/>
        <v>1.7077761585177333E-3</v>
      </c>
      <c r="S102" s="2"/>
      <c r="T102" s="7">
        <v>3985</v>
      </c>
      <c r="U102" s="2"/>
      <c r="V102" s="6">
        <f t="shared" si="59"/>
        <v>5.5836497284748898E-4</v>
      </c>
      <c r="W102" s="2"/>
      <c r="X102" s="7">
        <f t="shared" si="60"/>
        <v>3696.45</v>
      </c>
      <c r="Y102" s="2"/>
      <c r="Z102" s="6">
        <f t="shared" si="61"/>
        <v>0.9275909661229611</v>
      </c>
    </row>
    <row r="103" spans="1:26" s="28" customFormat="1" outlineLevel="1" collapsed="1" x14ac:dyDescent="0.3">
      <c r="A103" s="29"/>
      <c r="B103" s="14" t="str">
        <f>CONCATENATE("     ","Insurance                                         ")</f>
        <v xml:space="preserve">     Insurance                                         </v>
      </c>
      <c r="C103" s="14"/>
      <c r="D103" s="1">
        <f>SUM(OSRRefD22_12x_0)</f>
        <v>5825.58</v>
      </c>
      <c r="E103" s="1"/>
      <c r="F103" s="5">
        <f t="shared" ref="F103:F117" si="62">IF(D$12=0,0,D103/D$12)</f>
        <v>7.6613290602497277E-3</v>
      </c>
      <c r="G103" s="1"/>
      <c r="H103" s="1">
        <f>SUM(OSRRefH22_12x_0)</f>
        <v>5705</v>
      </c>
      <c r="I103" s="1"/>
      <c r="J103" s="5">
        <f t="shared" ref="J103:J117" si="63">IF(H$12=0,0,H103/H$12)</f>
        <v>2.8108156045840191E-3</v>
      </c>
      <c r="K103" s="1"/>
      <c r="L103" s="1">
        <f t="shared" ref="L103:L117" si="64">+D103-H103</f>
        <v>120.57999999999993</v>
      </c>
      <c r="M103" s="1"/>
      <c r="N103" s="5">
        <f t="shared" ref="N103:N117" si="65">IF(H103=0,0,L103/H103)</f>
        <v>2.1135845749342668E-2</v>
      </c>
      <c r="O103" s="14"/>
      <c r="P103" s="1">
        <f>SUM(OSRRefP22_12x_0)</f>
        <v>40779.06</v>
      </c>
      <c r="Q103" s="1"/>
      <c r="R103" s="5">
        <f t="shared" ref="R103:R117" si="66">IF(P$12=0,0,P103/P$12)</f>
        <v>9.0661927676108228E-3</v>
      </c>
      <c r="S103" s="1"/>
      <c r="T103" s="1">
        <f>SUM(OSRRefT22_12x_0)</f>
        <v>39935</v>
      </c>
      <c r="U103" s="1"/>
      <c r="V103" s="5">
        <f t="shared" ref="V103:V117" si="67">IF(T$12=0,0,T103/T$12)</f>
        <v>5.595559646339893E-3</v>
      </c>
      <c r="W103" s="1"/>
      <c r="X103" s="1">
        <f t="shared" ref="X103:X117" si="68">+P103-T103</f>
        <v>844.05999999999767</v>
      </c>
      <c r="Y103" s="1"/>
      <c r="Z103" s="5">
        <f t="shared" ref="Z103:Z117" si="69">IF(T103=0,0,X103/T103)</f>
        <v>2.1135845749342623E-2</v>
      </c>
    </row>
    <row r="104" spans="1:26" s="24" customFormat="1" hidden="1" outlineLevel="2" x14ac:dyDescent="0.3">
      <c r="A104" s="27"/>
      <c r="B104" s="11" t="str">
        <f>CONCATENATE("          ", "6314", " - ", "LIABILITY INSURANCE")</f>
        <v xml:space="preserve">          6314 - LIABILITY INSURANCE</v>
      </c>
      <c r="C104" s="11"/>
      <c r="D104" s="7">
        <v>5825.58</v>
      </c>
      <c r="E104" s="2"/>
      <c r="F104" s="6">
        <f t="shared" si="62"/>
        <v>7.6613290602497277E-3</v>
      </c>
      <c r="G104" s="2"/>
      <c r="H104" s="7">
        <v>5705</v>
      </c>
      <c r="I104" s="2"/>
      <c r="J104" s="6">
        <f t="shared" si="63"/>
        <v>2.8108156045840191E-3</v>
      </c>
      <c r="K104" s="2"/>
      <c r="L104" s="7">
        <f t="shared" si="64"/>
        <v>120.57999999999993</v>
      </c>
      <c r="M104" s="2"/>
      <c r="N104" s="6">
        <f t="shared" si="65"/>
        <v>2.1135845749342668E-2</v>
      </c>
      <c r="O104" s="11"/>
      <c r="P104" s="7">
        <v>40779.06</v>
      </c>
      <c r="Q104" s="2"/>
      <c r="R104" s="6">
        <f t="shared" si="66"/>
        <v>9.0661927676108228E-3</v>
      </c>
      <c r="S104" s="2"/>
      <c r="T104" s="7">
        <v>39935</v>
      </c>
      <c r="U104" s="2"/>
      <c r="V104" s="6">
        <f t="shared" si="67"/>
        <v>5.595559646339893E-3</v>
      </c>
      <c r="W104" s="2"/>
      <c r="X104" s="7">
        <f t="shared" si="68"/>
        <v>844.05999999999767</v>
      </c>
      <c r="Y104" s="2"/>
      <c r="Z104" s="6">
        <f t="shared" si="69"/>
        <v>2.1135845749342623E-2</v>
      </c>
    </row>
    <row r="105" spans="1:26" s="28" customFormat="1" outlineLevel="1" collapsed="1" x14ac:dyDescent="0.3">
      <c r="A105" s="29"/>
      <c r="B105" s="14" t="str">
        <f>CONCATENATE("     ","Interest                                          ")</f>
        <v xml:space="preserve">     Interest                                          </v>
      </c>
      <c r="C105" s="14"/>
      <c r="D105" s="1">
        <f>SUM(OSRRefD22_13x_0)</f>
        <v>3905</v>
      </c>
      <c r="E105" s="1"/>
      <c r="F105" s="5">
        <f t="shared" si="62"/>
        <v>5.1355384322720118E-3</v>
      </c>
      <c r="G105" s="1"/>
      <c r="H105" s="1">
        <f>SUM(OSRRefH22_13x_0)</f>
        <v>3905</v>
      </c>
      <c r="I105" s="1"/>
      <c r="J105" s="5">
        <f t="shared" si="63"/>
        <v>1.9239675610693418E-3</v>
      </c>
      <c r="K105" s="1"/>
      <c r="L105" s="1">
        <f t="shared" si="64"/>
        <v>0</v>
      </c>
      <c r="M105" s="1"/>
      <c r="N105" s="5">
        <f t="shared" si="65"/>
        <v>0</v>
      </c>
      <c r="O105" s="14"/>
      <c r="P105" s="1">
        <f>SUM(OSRRefP22_13x_0)</f>
        <v>27059</v>
      </c>
      <c r="Q105" s="1"/>
      <c r="R105" s="5">
        <f t="shared" si="66"/>
        <v>6.015884380335919E-3</v>
      </c>
      <c r="S105" s="1"/>
      <c r="T105" s="1">
        <f>SUM(OSRRefT22_13x_0)</f>
        <v>27335</v>
      </c>
      <c r="U105" s="1"/>
      <c r="V105" s="5">
        <f t="shared" si="67"/>
        <v>3.8300894687041689E-3</v>
      </c>
      <c r="W105" s="1"/>
      <c r="X105" s="1">
        <f t="shared" si="68"/>
        <v>-276</v>
      </c>
      <c r="Y105" s="1"/>
      <c r="Z105" s="5">
        <f t="shared" si="69"/>
        <v>-1.0096945308212913E-2</v>
      </c>
    </row>
    <row r="106" spans="1:26" s="24" customFormat="1" hidden="1" outlineLevel="2" x14ac:dyDescent="0.3">
      <c r="A106" s="27"/>
      <c r="B106" s="11" t="str">
        <f>CONCATENATE("          ", "6401", " - ", "INTEREST EXPENSE")</f>
        <v xml:space="preserve">          6401 - INTEREST EXPENSE</v>
      </c>
      <c r="C106" s="11"/>
      <c r="D106" s="7">
        <v>3905</v>
      </c>
      <c r="E106" s="2"/>
      <c r="F106" s="6">
        <f t="shared" si="62"/>
        <v>5.1355384322720118E-3</v>
      </c>
      <c r="G106" s="2"/>
      <c r="H106" s="7">
        <v>3905</v>
      </c>
      <c r="I106" s="2"/>
      <c r="J106" s="6">
        <f t="shared" si="63"/>
        <v>1.9239675610693418E-3</v>
      </c>
      <c r="K106" s="2"/>
      <c r="L106" s="7">
        <f t="shared" si="64"/>
        <v>0</v>
      </c>
      <c r="M106" s="2"/>
      <c r="N106" s="6">
        <f t="shared" si="65"/>
        <v>0</v>
      </c>
      <c r="O106" s="11"/>
      <c r="P106" s="7">
        <v>27059</v>
      </c>
      <c r="Q106" s="2"/>
      <c r="R106" s="6">
        <f t="shared" si="66"/>
        <v>6.015884380335919E-3</v>
      </c>
      <c r="S106" s="2"/>
      <c r="T106" s="7">
        <v>27335</v>
      </c>
      <c r="U106" s="2"/>
      <c r="V106" s="6">
        <f t="shared" si="67"/>
        <v>3.8300894687041689E-3</v>
      </c>
      <c r="W106" s="2"/>
      <c r="X106" s="7">
        <f t="shared" si="68"/>
        <v>-276</v>
      </c>
      <c r="Y106" s="2"/>
      <c r="Z106" s="6">
        <f t="shared" si="69"/>
        <v>-1.0096945308212913E-2</v>
      </c>
    </row>
    <row r="107" spans="1:26" s="28" customFormat="1" outlineLevel="1" collapsed="1" x14ac:dyDescent="0.3">
      <c r="A107" s="29"/>
      <c r="B107" s="14" t="str">
        <f>CONCATENATE("     ","Inventory Adjustment                              ")</f>
        <v xml:space="preserve">     Inventory Adjustment                              </v>
      </c>
      <c r="C107" s="14"/>
      <c r="D107" s="1">
        <f>SUM(OSRRefD22_14x_0)</f>
        <v>5100</v>
      </c>
      <c r="E107" s="1"/>
      <c r="F107" s="5">
        <f t="shared" si="62"/>
        <v>6.7071052508546119E-3</v>
      </c>
      <c r="G107" s="1"/>
      <c r="H107" s="1">
        <f>SUM(OSRRefH22_14x_0)</f>
        <v>5100</v>
      </c>
      <c r="I107" s="1"/>
      <c r="J107" s="5">
        <f t="shared" si="63"/>
        <v>2.5127361232915859E-3</v>
      </c>
      <c r="K107" s="1"/>
      <c r="L107" s="1">
        <f t="shared" si="64"/>
        <v>0</v>
      </c>
      <c r="M107" s="1"/>
      <c r="N107" s="5">
        <f t="shared" si="65"/>
        <v>0</v>
      </c>
      <c r="O107" s="14"/>
      <c r="P107" s="1">
        <f>SUM(OSRRefP22_14x_0)</f>
        <v>39700</v>
      </c>
      <c r="Q107" s="1"/>
      <c r="R107" s="5">
        <f t="shared" si="66"/>
        <v>8.8262910639467836E-3</v>
      </c>
      <c r="S107" s="1"/>
      <c r="T107" s="1">
        <f>SUM(OSRRefT22_14x_0)</f>
        <v>39700</v>
      </c>
      <c r="U107" s="1"/>
      <c r="V107" s="5">
        <f t="shared" si="67"/>
        <v>5.5626322263601794E-3</v>
      </c>
      <c r="W107" s="1"/>
      <c r="X107" s="1">
        <f t="shared" si="68"/>
        <v>0</v>
      </c>
      <c r="Y107" s="1"/>
      <c r="Z107" s="5">
        <f t="shared" si="69"/>
        <v>0</v>
      </c>
    </row>
    <row r="108" spans="1:26" s="24" customFormat="1" hidden="1" outlineLevel="2" x14ac:dyDescent="0.3">
      <c r="A108" s="27"/>
      <c r="B108" s="11" t="str">
        <f>CONCATENATE("          ", "6408", " - ", "INVENTORY ADJUSTMENT")</f>
        <v xml:space="preserve">          6408 - INVENTORY ADJUSTMENT</v>
      </c>
      <c r="C108" s="11"/>
      <c r="D108" s="7">
        <v>5100</v>
      </c>
      <c r="E108" s="2"/>
      <c r="F108" s="6">
        <f t="shared" si="62"/>
        <v>6.7071052508546119E-3</v>
      </c>
      <c r="G108" s="2"/>
      <c r="H108" s="7">
        <v>5100</v>
      </c>
      <c r="I108" s="2"/>
      <c r="J108" s="6">
        <f t="shared" si="63"/>
        <v>2.5127361232915859E-3</v>
      </c>
      <c r="K108" s="2"/>
      <c r="L108" s="7">
        <f t="shared" si="64"/>
        <v>0</v>
      </c>
      <c r="M108" s="2"/>
      <c r="N108" s="6">
        <f t="shared" si="65"/>
        <v>0</v>
      </c>
      <c r="O108" s="11"/>
      <c r="P108" s="7">
        <v>39700</v>
      </c>
      <c r="Q108" s="2"/>
      <c r="R108" s="6">
        <f t="shared" si="66"/>
        <v>8.8262910639467836E-3</v>
      </c>
      <c r="S108" s="2"/>
      <c r="T108" s="7">
        <v>39700</v>
      </c>
      <c r="U108" s="2"/>
      <c r="V108" s="6">
        <f t="shared" si="67"/>
        <v>5.5626322263601794E-3</v>
      </c>
      <c r="W108" s="2"/>
      <c r="X108" s="7">
        <f t="shared" si="68"/>
        <v>0</v>
      </c>
      <c r="Y108" s="2"/>
      <c r="Z108" s="6">
        <f t="shared" si="69"/>
        <v>0</v>
      </c>
    </row>
    <row r="109" spans="1:26" s="28" customFormat="1" outlineLevel="1" collapsed="1" x14ac:dyDescent="0.3">
      <c r="A109" s="29"/>
      <c r="B109" s="14" t="str">
        <f>CONCATENATE("     ","Professional Services                             ")</f>
        <v xml:space="preserve">     Professional Services                             </v>
      </c>
      <c r="C109" s="14"/>
      <c r="D109" s="1">
        <f>SUM(OSRRefD22_15x_0)</f>
        <v>0</v>
      </c>
      <c r="E109" s="1"/>
      <c r="F109" s="5">
        <f t="shared" si="62"/>
        <v>0</v>
      </c>
      <c r="G109" s="1"/>
      <c r="H109" s="1">
        <f>SUM(OSRRefH22_15x_0)</f>
        <v>250</v>
      </c>
      <c r="I109" s="1"/>
      <c r="J109" s="5">
        <f t="shared" si="63"/>
        <v>1.2317333937703851E-4</v>
      </c>
      <c r="K109" s="1"/>
      <c r="L109" s="1">
        <f t="shared" si="64"/>
        <v>-250</v>
      </c>
      <c r="M109" s="1"/>
      <c r="N109" s="5">
        <f t="shared" si="65"/>
        <v>-1</v>
      </c>
      <c r="O109" s="14"/>
      <c r="P109" s="1">
        <f>SUM(OSRRefP22_15x_0)</f>
        <v>8186.53</v>
      </c>
      <c r="Q109" s="1"/>
      <c r="R109" s="5">
        <f t="shared" si="66"/>
        <v>1.8200679240234824E-3</v>
      </c>
      <c r="S109" s="1"/>
      <c r="T109" s="1">
        <f>SUM(OSRRefT22_15x_0)</f>
        <v>1500</v>
      </c>
      <c r="U109" s="1"/>
      <c r="V109" s="5">
        <f t="shared" si="67"/>
        <v>2.1017502114711005E-4</v>
      </c>
      <c r="W109" s="1"/>
      <c r="X109" s="1">
        <f t="shared" si="68"/>
        <v>6686.53</v>
      </c>
      <c r="Y109" s="1"/>
      <c r="Z109" s="5">
        <f t="shared" si="69"/>
        <v>4.4576866666666666</v>
      </c>
    </row>
    <row r="110" spans="1:26" s="24" customFormat="1" hidden="1" outlineLevel="2" x14ac:dyDescent="0.3">
      <c r="A110" s="27"/>
      <c r="B110" s="11" t="str">
        <f>CONCATENATE("          ", "6336", " - ", "PROFESSIONAL SERVICES")</f>
        <v xml:space="preserve">          6336 - PROFESSIONAL SERVICES</v>
      </c>
      <c r="C110" s="11"/>
      <c r="D110" s="7"/>
      <c r="E110" s="2"/>
      <c r="F110" s="6">
        <f t="shared" si="62"/>
        <v>0</v>
      </c>
      <c r="G110" s="2"/>
      <c r="H110" s="7">
        <v>250</v>
      </c>
      <c r="I110" s="2"/>
      <c r="J110" s="6">
        <f t="shared" si="63"/>
        <v>1.2317333937703851E-4</v>
      </c>
      <c r="K110" s="2"/>
      <c r="L110" s="7">
        <f t="shared" si="64"/>
        <v>-250</v>
      </c>
      <c r="M110" s="2"/>
      <c r="N110" s="6">
        <f t="shared" si="65"/>
        <v>-1</v>
      </c>
      <c r="O110" s="11"/>
      <c r="P110" s="7">
        <v>8186.53</v>
      </c>
      <c r="Q110" s="2"/>
      <c r="R110" s="6">
        <f t="shared" si="66"/>
        <v>1.8200679240234824E-3</v>
      </c>
      <c r="S110" s="2"/>
      <c r="T110" s="7">
        <v>1500</v>
      </c>
      <c r="U110" s="2"/>
      <c r="V110" s="6">
        <f t="shared" si="67"/>
        <v>2.1017502114711005E-4</v>
      </c>
      <c r="W110" s="2"/>
      <c r="X110" s="7">
        <f t="shared" si="68"/>
        <v>6686.53</v>
      </c>
      <c r="Y110" s="2"/>
      <c r="Z110" s="6">
        <f t="shared" si="69"/>
        <v>4.4576866666666666</v>
      </c>
    </row>
    <row r="111" spans="1:26" s="28" customFormat="1" outlineLevel="1" collapsed="1" x14ac:dyDescent="0.3">
      <c r="A111" s="29"/>
      <c r="B111" s="14" t="str">
        <f>CONCATENATE("     ","Rent                                              ")</f>
        <v xml:space="preserve">     Rent                                              </v>
      </c>
      <c r="C111" s="14"/>
      <c r="D111" s="1">
        <f>SUM(OSRRefD22_16x_0)</f>
        <v>6100</v>
      </c>
      <c r="E111" s="1"/>
      <c r="F111" s="5">
        <f t="shared" si="62"/>
        <v>8.022223927492772E-3</v>
      </c>
      <c r="G111" s="1"/>
      <c r="H111" s="1">
        <f>SUM(OSRRefH22_16x_0)</f>
        <v>6100</v>
      </c>
      <c r="I111" s="1"/>
      <c r="J111" s="5">
        <f t="shared" si="63"/>
        <v>3.0054294807997399E-3</v>
      </c>
      <c r="K111" s="1"/>
      <c r="L111" s="1">
        <f t="shared" si="64"/>
        <v>0</v>
      </c>
      <c r="M111" s="1"/>
      <c r="N111" s="5">
        <f t="shared" si="65"/>
        <v>0</v>
      </c>
      <c r="O111" s="14"/>
      <c r="P111" s="1">
        <f>SUM(OSRRefP22_16x_0)</f>
        <v>42700</v>
      </c>
      <c r="Q111" s="1"/>
      <c r="R111" s="5">
        <f t="shared" si="66"/>
        <v>9.4932651997614009E-3</v>
      </c>
      <c r="S111" s="1"/>
      <c r="T111" s="1">
        <f>SUM(OSRRefT22_16x_0)</f>
        <v>42700</v>
      </c>
      <c r="U111" s="1"/>
      <c r="V111" s="5">
        <f t="shared" si="67"/>
        <v>5.9829822686543995E-3</v>
      </c>
      <c r="W111" s="1"/>
      <c r="X111" s="1">
        <f t="shared" si="68"/>
        <v>0</v>
      </c>
      <c r="Y111" s="1"/>
      <c r="Z111" s="5">
        <f t="shared" si="69"/>
        <v>0</v>
      </c>
    </row>
    <row r="112" spans="1:26" s="24" customFormat="1" hidden="1" outlineLevel="2" x14ac:dyDescent="0.3">
      <c r="A112" s="27"/>
      <c r="B112" s="11" t="str">
        <f>CONCATENATE("          ", "6273", " - ", "RENT")</f>
        <v xml:space="preserve">          6273 - RENT</v>
      </c>
      <c r="C112" s="11"/>
      <c r="D112" s="7">
        <v>6100</v>
      </c>
      <c r="E112" s="2"/>
      <c r="F112" s="6">
        <f t="shared" si="62"/>
        <v>8.022223927492772E-3</v>
      </c>
      <c r="G112" s="2"/>
      <c r="H112" s="7">
        <v>6100</v>
      </c>
      <c r="I112" s="2"/>
      <c r="J112" s="6">
        <f t="shared" si="63"/>
        <v>3.0054294807997399E-3</v>
      </c>
      <c r="K112" s="2"/>
      <c r="L112" s="7">
        <f t="shared" si="64"/>
        <v>0</v>
      </c>
      <c r="M112" s="2"/>
      <c r="N112" s="6">
        <f t="shared" si="65"/>
        <v>0</v>
      </c>
      <c r="O112" s="11"/>
      <c r="P112" s="7">
        <v>42700</v>
      </c>
      <c r="Q112" s="2"/>
      <c r="R112" s="6">
        <f t="shared" si="66"/>
        <v>9.4932651997614009E-3</v>
      </c>
      <c r="S112" s="2"/>
      <c r="T112" s="7">
        <v>42700</v>
      </c>
      <c r="U112" s="2"/>
      <c r="V112" s="6">
        <f t="shared" si="67"/>
        <v>5.9829822686543995E-3</v>
      </c>
      <c r="W112" s="2"/>
      <c r="X112" s="7">
        <f t="shared" si="68"/>
        <v>0</v>
      </c>
      <c r="Y112" s="2"/>
      <c r="Z112" s="6">
        <f t="shared" si="69"/>
        <v>0</v>
      </c>
    </row>
    <row r="113" spans="1:26" s="28" customFormat="1" outlineLevel="1" collapsed="1" x14ac:dyDescent="0.3">
      <c r="A113" s="29"/>
      <c r="B113" s="14" t="str">
        <f>CONCATENATE("     ","Repair and Maintenance                            ")</f>
        <v xml:space="preserve">     Repair and Maintenance                            </v>
      </c>
      <c r="C113" s="14"/>
      <c r="D113" s="1">
        <f>SUM(OSRRefD22_17x_0)</f>
        <v>11947.7</v>
      </c>
      <c r="E113" s="1"/>
      <c r="F113" s="5">
        <f t="shared" si="62"/>
        <v>1.5712643412869737E-2</v>
      </c>
      <c r="G113" s="1"/>
      <c r="H113" s="1">
        <f>SUM(OSRRefH22_17x_0)</f>
        <v>11610</v>
      </c>
      <c r="I113" s="1"/>
      <c r="J113" s="5">
        <f t="shared" si="63"/>
        <v>5.7201698806696689E-3</v>
      </c>
      <c r="K113" s="1"/>
      <c r="L113" s="1">
        <f t="shared" si="64"/>
        <v>337.70000000000073</v>
      </c>
      <c r="M113" s="1"/>
      <c r="N113" s="5">
        <f t="shared" si="65"/>
        <v>2.9086993970714965E-2</v>
      </c>
      <c r="O113" s="14"/>
      <c r="P113" s="1">
        <f>SUM(OSRRefP22_17x_0)</f>
        <v>112733.57</v>
      </c>
      <c r="Q113" s="1"/>
      <c r="R113" s="5">
        <f t="shared" si="66"/>
        <v>2.5063458476015595E-2</v>
      </c>
      <c r="S113" s="1"/>
      <c r="T113" s="1">
        <f>SUM(OSRRefT22_17x_0)</f>
        <v>112579</v>
      </c>
      <c r="U113" s="1"/>
      <c r="V113" s="5">
        <f t="shared" si="67"/>
        <v>1.5774195803813666E-2</v>
      </c>
      <c r="W113" s="1"/>
      <c r="X113" s="1">
        <f t="shared" si="68"/>
        <v>154.57000000000698</v>
      </c>
      <c r="Y113" s="1"/>
      <c r="Z113" s="5">
        <f t="shared" si="69"/>
        <v>1.3729914104762609E-3</v>
      </c>
    </row>
    <row r="114" spans="1:26" s="24" customFormat="1" hidden="1" outlineLevel="2" x14ac:dyDescent="0.3">
      <c r="A114" s="27"/>
      <c r="B114" s="11" t="str">
        <f>CONCATENATE("          ", "6371", " - ", "COMPUTER SOFTWARE MAINTENANCE")</f>
        <v xml:space="preserve">          6371 - COMPUTER SOFTWARE MAINTENANCE</v>
      </c>
      <c r="C114" s="11"/>
      <c r="D114" s="7"/>
      <c r="E114" s="2"/>
      <c r="F114" s="6">
        <f t="shared" si="62"/>
        <v>0</v>
      </c>
      <c r="G114" s="2"/>
      <c r="H114" s="7">
        <v>1000</v>
      </c>
      <c r="I114" s="2"/>
      <c r="J114" s="6">
        <f t="shared" si="63"/>
        <v>4.9269335750815404E-4</v>
      </c>
      <c r="K114" s="2"/>
      <c r="L114" s="7">
        <f t="shared" si="64"/>
        <v>-1000</v>
      </c>
      <c r="M114" s="2"/>
      <c r="N114" s="6">
        <f t="shared" si="65"/>
        <v>-1</v>
      </c>
      <c r="O114" s="11"/>
      <c r="P114" s="7">
        <v>62511</v>
      </c>
      <c r="Q114" s="2"/>
      <c r="R114" s="6">
        <f t="shared" si="66"/>
        <v>1.3897740067969202E-2</v>
      </c>
      <c r="S114" s="2"/>
      <c r="T114" s="7">
        <v>48723</v>
      </c>
      <c r="U114" s="2"/>
      <c r="V114" s="6">
        <f t="shared" si="67"/>
        <v>6.8269050369004283E-3</v>
      </c>
      <c r="W114" s="2"/>
      <c r="X114" s="7">
        <f t="shared" si="68"/>
        <v>13788</v>
      </c>
      <c r="Y114" s="2"/>
      <c r="Z114" s="6">
        <f t="shared" si="69"/>
        <v>0.28298750076965706</v>
      </c>
    </row>
    <row r="115" spans="1:26" s="24" customFormat="1" hidden="1" outlineLevel="2" x14ac:dyDescent="0.3">
      <c r="A115" s="27"/>
      <c r="B115" s="11" t="str">
        <f>CONCATENATE("          ", "6372", " - ", "COMPUTER HARDWARE MAINTENANCE")</f>
        <v xml:space="preserve">          6372 - COMPUTER HARDWARE MAINTENANCE</v>
      </c>
      <c r="C115" s="11"/>
      <c r="D115" s="7"/>
      <c r="E115" s="2"/>
      <c r="F115" s="6">
        <f t="shared" si="62"/>
        <v>0</v>
      </c>
      <c r="G115" s="2"/>
      <c r="H115" s="7">
        <v>3750</v>
      </c>
      <c r="I115" s="2"/>
      <c r="J115" s="6">
        <f t="shared" si="63"/>
        <v>1.8476000906555777E-3</v>
      </c>
      <c r="K115" s="2"/>
      <c r="L115" s="7">
        <f t="shared" si="64"/>
        <v>-3750</v>
      </c>
      <c r="M115" s="2"/>
      <c r="N115" s="6">
        <f t="shared" si="65"/>
        <v>-1</v>
      </c>
      <c r="O115" s="11"/>
      <c r="P115" s="7"/>
      <c r="Q115" s="2"/>
      <c r="R115" s="6">
        <f t="shared" si="66"/>
        <v>0</v>
      </c>
      <c r="S115" s="2"/>
      <c r="T115" s="7">
        <v>22870</v>
      </c>
      <c r="U115" s="2"/>
      <c r="V115" s="6">
        <f t="shared" si="67"/>
        <v>3.2044684890896046E-3</v>
      </c>
      <c r="W115" s="2"/>
      <c r="X115" s="7">
        <f t="shared" si="68"/>
        <v>-22870</v>
      </c>
      <c r="Y115" s="2"/>
      <c r="Z115" s="6">
        <f t="shared" si="69"/>
        <v>-1</v>
      </c>
    </row>
    <row r="116" spans="1:26" s="24" customFormat="1" hidden="1" outlineLevel="2" x14ac:dyDescent="0.3">
      <c r="A116" s="27"/>
      <c r="B116" s="11" t="str">
        <f>CONCATENATE("          ", "6373", " - ", "MAINTENANCE CONTRACTS")</f>
        <v xml:space="preserve">          6373 - MAINTENANCE CONTRACTS</v>
      </c>
      <c r="C116" s="11"/>
      <c r="D116" s="7">
        <v>1512.02</v>
      </c>
      <c r="E116" s="2"/>
      <c r="F116" s="6">
        <f t="shared" si="62"/>
        <v>1.9884857414504296E-3</v>
      </c>
      <c r="G116" s="2"/>
      <c r="H116" s="7">
        <v>6105</v>
      </c>
      <c r="I116" s="2"/>
      <c r="J116" s="6">
        <f t="shared" si="63"/>
        <v>3.0078929475872806E-3</v>
      </c>
      <c r="K116" s="2"/>
      <c r="L116" s="7">
        <f t="shared" si="64"/>
        <v>-4592.9799999999996</v>
      </c>
      <c r="M116" s="2"/>
      <c r="N116" s="6">
        <f t="shared" si="65"/>
        <v>-0.75233087633087625</v>
      </c>
      <c r="O116" s="11"/>
      <c r="P116" s="7">
        <v>16812.189999999999</v>
      </c>
      <c r="Q116" s="2"/>
      <c r="R116" s="6">
        <f t="shared" si="66"/>
        <v>3.737765298800389E-3</v>
      </c>
      <c r="S116" s="2"/>
      <c r="T116" s="7">
        <v>37071</v>
      </c>
      <c r="U116" s="2"/>
      <c r="V116" s="6">
        <f t="shared" si="67"/>
        <v>5.1942654726296776E-3</v>
      </c>
      <c r="W116" s="2"/>
      <c r="X116" s="7">
        <f t="shared" si="68"/>
        <v>-20258.810000000001</v>
      </c>
      <c r="Y116" s="2"/>
      <c r="Z116" s="6">
        <f t="shared" si="69"/>
        <v>-0.54648674165789979</v>
      </c>
    </row>
    <row r="117" spans="1:26" s="24" customFormat="1" hidden="1" outlineLevel="2" x14ac:dyDescent="0.3">
      <c r="A117" s="27"/>
      <c r="B117" s="11" t="str">
        <f>CONCATENATE("          ", "6375", " - ", "OUTSIDE REPAIRS &amp; MAINTENANCE")</f>
        <v xml:space="preserve">          6375 - OUTSIDE REPAIRS &amp; MAINTENANCE</v>
      </c>
      <c r="C117" s="11"/>
      <c r="D117" s="7">
        <v>10435.68</v>
      </c>
      <c r="E117" s="2"/>
      <c r="F117" s="6">
        <f t="shared" si="62"/>
        <v>1.3724157671419306E-2</v>
      </c>
      <c r="G117" s="2"/>
      <c r="H117" s="7">
        <v>755</v>
      </c>
      <c r="I117" s="2"/>
      <c r="J117" s="6">
        <f t="shared" si="63"/>
        <v>3.7198348491865633E-4</v>
      </c>
      <c r="K117" s="2"/>
      <c r="L117" s="7">
        <f t="shared" si="64"/>
        <v>9680.68</v>
      </c>
      <c r="M117" s="2"/>
      <c r="N117" s="6">
        <f t="shared" si="65"/>
        <v>12.822092715231788</v>
      </c>
      <c r="O117" s="11"/>
      <c r="P117" s="7">
        <v>33410.379999999997</v>
      </c>
      <c r="Q117" s="2"/>
      <c r="R117" s="6">
        <f t="shared" si="66"/>
        <v>7.4279531092460022E-3</v>
      </c>
      <c r="S117" s="2"/>
      <c r="T117" s="7">
        <v>3915</v>
      </c>
      <c r="U117" s="2"/>
      <c r="V117" s="6">
        <f t="shared" si="67"/>
        <v>5.4855680519395726E-4</v>
      </c>
      <c r="W117" s="2"/>
      <c r="X117" s="7">
        <f t="shared" si="68"/>
        <v>29495.379999999997</v>
      </c>
      <c r="Y117" s="2"/>
      <c r="Z117" s="6">
        <f t="shared" si="69"/>
        <v>7.5339412515964232</v>
      </c>
    </row>
    <row r="118" spans="1:26" s="28" customFormat="1" outlineLevel="1" collapsed="1" x14ac:dyDescent="0.3">
      <c r="A118" s="29"/>
      <c r="B118" s="14" t="str">
        <f>CONCATENATE("     ","Royalty &amp; Commissions                             ")</f>
        <v xml:space="preserve">     Royalty &amp; Commissions                             </v>
      </c>
      <c r="C118" s="14"/>
      <c r="D118" s="1">
        <f>SUM(OSRRefD22_18x_0)</f>
        <v>23704.5</v>
      </c>
      <c r="E118" s="1"/>
      <c r="F118" s="5">
        <f t="shared" ref="F118:F122" si="70">IF(D$12=0,0,D118/D$12)</f>
        <v>3.1174230670369247E-2</v>
      </c>
      <c r="G118" s="1"/>
      <c r="H118" s="1">
        <f>SUM(OSRRefH22_18x_0)</f>
        <v>20055</v>
      </c>
      <c r="I118" s="1"/>
      <c r="J118" s="5">
        <f t="shared" ref="J118:J122" si="71">IF(H$12=0,0,H118/H$12)</f>
        <v>9.8809652848260293E-3</v>
      </c>
      <c r="K118" s="1"/>
      <c r="L118" s="1">
        <f t="shared" ref="L118:L122" si="72">+D118-H118</f>
        <v>3649.5</v>
      </c>
      <c r="M118" s="1"/>
      <c r="N118" s="5">
        <f t="shared" ref="N118:N122" si="73">IF(H118=0,0,L118/H118)</f>
        <v>0.18197456993268513</v>
      </c>
      <c r="O118" s="14"/>
      <c r="P118" s="1">
        <f>SUM(OSRRefP22_18x_0)</f>
        <v>45451.430000000008</v>
      </c>
      <c r="Q118" s="1"/>
      <c r="R118" s="5">
        <f t="shared" ref="R118:R122" si="74">IF(P$12=0,0,P118/P$12)</f>
        <v>1.0104976081929541E-2</v>
      </c>
      <c r="S118" s="1"/>
      <c r="T118" s="1">
        <f>SUM(OSRRefT22_18x_0)</f>
        <v>69419</v>
      </c>
      <c r="U118" s="1"/>
      <c r="V118" s="5">
        <f t="shared" ref="V118:V122" si="75">IF(T$12=0,0,T118/T$12)</f>
        <v>9.7267598620074877E-3</v>
      </c>
      <c r="W118" s="1"/>
      <c r="X118" s="1">
        <f t="shared" ref="X118:X122" si="76">+P118-T118</f>
        <v>-23967.569999999992</v>
      </c>
      <c r="Y118" s="1"/>
      <c r="Z118" s="5">
        <f t="shared" ref="Z118:Z122" si="77">IF(T118=0,0,X118/T118)</f>
        <v>-0.34525951108486136</v>
      </c>
    </row>
    <row r="119" spans="1:26" s="24" customFormat="1" hidden="1" outlineLevel="2" x14ac:dyDescent="0.3">
      <c r="A119" s="27"/>
      <c r="B119" s="11" t="str">
        <f>CONCATENATE("          ", "6252", " - ", "ROYALTY DUE CSTV")</f>
        <v xml:space="preserve">          6252 - ROYALTY DUE CSTV</v>
      </c>
      <c r="C119" s="11"/>
      <c r="D119" s="7"/>
      <c r="E119" s="2"/>
      <c r="F119" s="6">
        <f t="shared" si="70"/>
        <v>0</v>
      </c>
      <c r="G119" s="2"/>
      <c r="H119" s="7">
        <v>821</v>
      </c>
      <c r="I119" s="2"/>
      <c r="J119" s="6">
        <f t="shared" si="71"/>
        <v>4.0450124651419451E-4</v>
      </c>
      <c r="K119" s="2"/>
      <c r="L119" s="7">
        <f t="shared" si="72"/>
        <v>-821</v>
      </c>
      <c r="M119" s="2"/>
      <c r="N119" s="6">
        <f t="shared" si="73"/>
        <v>-1</v>
      </c>
      <c r="O119" s="11"/>
      <c r="P119" s="7"/>
      <c r="Q119" s="2"/>
      <c r="R119" s="6">
        <f t="shared" si="74"/>
        <v>0</v>
      </c>
      <c r="S119" s="2"/>
      <c r="T119" s="7">
        <v>11051</v>
      </c>
      <c r="U119" s="2"/>
      <c r="V119" s="6">
        <f t="shared" si="75"/>
        <v>1.5484294391311421E-3</v>
      </c>
      <c r="W119" s="2"/>
      <c r="X119" s="7">
        <f t="shared" si="76"/>
        <v>-11051</v>
      </c>
      <c r="Y119" s="2"/>
      <c r="Z119" s="6">
        <f t="shared" si="77"/>
        <v>-1</v>
      </c>
    </row>
    <row r="120" spans="1:26" s="24" customFormat="1" hidden="1" outlineLevel="2" x14ac:dyDescent="0.3">
      <c r="A120" s="27"/>
      <c r="B120" s="11" t="str">
        <f>CONCATENATE("          ", "6253", " - ", "ROYALTY DUE ATHLETICS-LRG")</f>
        <v xml:space="preserve">          6253 - ROYALTY DUE ATHLETICS-LRG</v>
      </c>
      <c r="C120" s="11"/>
      <c r="D120" s="7">
        <v>16060.87</v>
      </c>
      <c r="E120" s="2"/>
      <c r="F120" s="6">
        <f t="shared" si="70"/>
        <v>2.1121950100057515E-2</v>
      </c>
      <c r="G120" s="2"/>
      <c r="H120" s="7">
        <v>7785</v>
      </c>
      <c r="I120" s="2"/>
      <c r="J120" s="6">
        <f t="shared" si="71"/>
        <v>3.8356177882009797E-3</v>
      </c>
      <c r="K120" s="2"/>
      <c r="L120" s="7">
        <f t="shared" si="72"/>
        <v>8275.8700000000008</v>
      </c>
      <c r="M120" s="2"/>
      <c r="N120" s="6">
        <f t="shared" si="73"/>
        <v>1.0630533076429032</v>
      </c>
      <c r="O120" s="11"/>
      <c r="P120" s="7">
        <v>39221.160000000003</v>
      </c>
      <c r="Q120" s="2"/>
      <c r="R120" s="6">
        <f t="shared" si="74"/>
        <v>8.7198330988822927E-3</v>
      </c>
      <c r="S120" s="2"/>
      <c r="T120" s="7">
        <v>23947</v>
      </c>
      <c r="U120" s="2"/>
      <c r="V120" s="6">
        <f t="shared" si="75"/>
        <v>3.3553741542732296E-3</v>
      </c>
      <c r="W120" s="2"/>
      <c r="X120" s="7">
        <f t="shared" si="76"/>
        <v>15274.160000000003</v>
      </c>
      <c r="Y120" s="2"/>
      <c r="Z120" s="6">
        <f t="shared" si="77"/>
        <v>0.63783187873220037</v>
      </c>
    </row>
    <row r="121" spans="1:26" s="24" customFormat="1" hidden="1" outlineLevel="2" x14ac:dyDescent="0.3">
      <c r="A121" s="27"/>
      <c r="B121" s="11" t="str">
        <f>CONCATENATE("          ", "6254", " - ", "ROYALTY &amp; COMMISSIONS")</f>
        <v xml:space="preserve">          6254 - ROYALTY &amp; COMMISSIONS</v>
      </c>
      <c r="C121" s="11"/>
      <c r="D121" s="7">
        <v>7389.19</v>
      </c>
      <c r="E121" s="2"/>
      <c r="F121" s="6">
        <f t="shared" si="70"/>
        <v>9.7176617742279203E-3</v>
      </c>
      <c r="G121" s="2"/>
      <c r="H121" s="7">
        <v>500</v>
      </c>
      <c r="I121" s="2"/>
      <c r="J121" s="6">
        <f t="shared" si="71"/>
        <v>2.4634667875407702E-4</v>
      </c>
      <c r="K121" s="2"/>
      <c r="L121" s="7">
        <f t="shared" si="72"/>
        <v>6889.19</v>
      </c>
      <c r="M121" s="2"/>
      <c r="N121" s="6">
        <f t="shared" si="73"/>
        <v>13.778379999999999</v>
      </c>
      <c r="O121" s="11"/>
      <c r="P121" s="7">
        <v>361.69</v>
      </c>
      <c r="Q121" s="2"/>
      <c r="R121" s="6">
        <f t="shared" si="74"/>
        <v>8.0412625060929775E-5</v>
      </c>
      <c r="S121" s="2"/>
      <c r="T121" s="7">
        <v>500</v>
      </c>
      <c r="U121" s="2"/>
      <c r="V121" s="6">
        <f t="shared" si="75"/>
        <v>7.0058340382370021E-5</v>
      </c>
      <c r="W121" s="2"/>
      <c r="X121" s="7">
        <f t="shared" si="76"/>
        <v>-138.31</v>
      </c>
      <c r="Y121" s="2"/>
      <c r="Z121" s="6">
        <f t="shared" si="77"/>
        <v>-0.27661999999999998</v>
      </c>
    </row>
    <row r="122" spans="1:26" s="24" customFormat="1" hidden="1" outlineLevel="2" x14ac:dyDescent="0.3">
      <c r="A122" s="27"/>
      <c r="B122" s="11" t="str">
        <f>CONCATENATE("          ", "6259", " - ", "ROYALTY &amp; COMMISSIONS")</f>
        <v xml:space="preserve">          6259 - ROYALTY &amp; COMMISSIONS</v>
      </c>
      <c r="C122" s="11"/>
      <c r="D122" s="7">
        <v>254.44</v>
      </c>
      <c r="E122" s="2"/>
      <c r="F122" s="6">
        <f t="shared" si="70"/>
        <v>3.3461879608381325E-4</v>
      </c>
      <c r="G122" s="2"/>
      <c r="H122" s="7">
        <v>10949</v>
      </c>
      <c r="I122" s="2"/>
      <c r="J122" s="6">
        <f t="shared" si="71"/>
        <v>5.3944995713567792E-3</v>
      </c>
      <c r="K122" s="2"/>
      <c r="L122" s="7">
        <f t="shared" si="72"/>
        <v>-10694.56</v>
      </c>
      <c r="M122" s="2"/>
      <c r="N122" s="6">
        <f t="shared" si="73"/>
        <v>-0.97676134806831671</v>
      </c>
      <c r="O122" s="11"/>
      <c r="P122" s="7">
        <v>5868.58</v>
      </c>
      <c r="Q122" s="2"/>
      <c r="R122" s="6">
        <f t="shared" si="74"/>
        <v>1.3047303579863177E-3</v>
      </c>
      <c r="S122" s="2"/>
      <c r="T122" s="7">
        <v>33921</v>
      </c>
      <c r="U122" s="2"/>
      <c r="V122" s="6">
        <f t="shared" si="75"/>
        <v>4.7528979282207466E-3</v>
      </c>
      <c r="W122" s="2"/>
      <c r="X122" s="7">
        <f t="shared" si="76"/>
        <v>-28052.42</v>
      </c>
      <c r="Y122" s="2"/>
      <c r="Z122" s="6">
        <f t="shared" si="77"/>
        <v>-0.82699271837504784</v>
      </c>
    </row>
    <row r="123" spans="1:26" s="28" customFormat="1" outlineLevel="1" collapsed="1" x14ac:dyDescent="0.3">
      <c r="A123" s="29"/>
      <c r="B123" s="14" t="str">
        <f>CONCATENATE("     ","Services                                          ")</f>
        <v xml:space="preserve">     Services                                          </v>
      </c>
      <c r="C123" s="14"/>
      <c r="D123" s="1">
        <f>SUM(OSRRefD22_19x_0)</f>
        <v>4723.32</v>
      </c>
      <c r="E123" s="1"/>
      <c r="F123" s="5">
        <f t="shared" ref="F123:F127" si="78">IF(D$12=0,0,D123/D$12)</f>
        <v>6.2117263477385496E-3</v>
      </c>
      <c r="G123" s="1"/>
      <c r="H123" s="1">
        <f>SUM(OSRRefH22_19x_0)</f>
        <v>4652</v>
      </c>
      <c r="I123" s="1"/>
      <c r="J123" s="5">
        <f t="shared" ref="J123:J127" si="79">IF(H$12=0,0,H123/H$12)</f>
        <v>2.2920094991279328E-3</v>
      </c>
      <c r="K123" s="1"/>
      <c r="L123" s="1">
        <f t="shared" ref="L123:L127" si="80">+D123-H123</f>
        <v>71.319999999999709</v>
      </c>
      <c r="M123" s="1"/>
      <c r="N123" s="5">
        <f t="shared" ref="N123:N127" si="81">IF(H123=0,0,L123/H123)</f>
        <v>1.5331040412725646E-2</v>
      </c>
      <c r="O123" s="14"/>
      <c r="P123" s="1">
        <f>SUM(OSRRefP22_19x_0)</f>
        <v>50313.249999999993</v>
      </c>
      <c r="Q123" s="1"/>
      <c r="R123" s="5">
        <f t="shared" ref="R123:R127" si="82">IF(P$12=0,0,P123/P$12)</f>
        <v>1.1185878812924948E-2</v>
      </c>
      <c r="S123" s="1"/>
      <c r="T123" s="1">
        <f>SUM(OSRRefT22_19x_0)</f>
        <v>32401</v>
      </c>
      <c r="U123" s="1"/>
      <c r="V123" s="5">
        <f t="shared" ref="V123:V127" si="83">IF(T$12=0,0,T123/T$12)</f>
        <v>4.5399205734583418E-3</v>
      </c>
      <c r="W123" s="1"/>
      <c r="X123" s="1">
        <f t="shared" ref="X123:X127" si="84">+P123-T123</f>
        <v>17912.249999999993</v>
      </c>
      <c r="Y123" s="1"/>
      <c r="Z123" s="5">
        <f t="shared" ref="Z123:Z127" si="85">IF(T123=0,0,X123/T123)</f>
        <v>0.55283015956297621</v>
      </c>
    </row>
    <row r="124" spans="1:26" s="24" customFormat="1" hidden="1" outlineLevel="2" x14ac:dyDescent="0.3">
      <c r="A124" s="27"/>
      <c r="B124" s="11" t="str">
        <f>CONCATENATE("          ", "6282", " - ", "JANITORIAL/EXTERMINATOR EXPENS")</f>
        <v xml:space="preserve">          6282 - JANITORIAL/EXTERMINATOR EXPENS</v>
      </c>
      <c r="C124" s="11"/>
      <c r="D124" s="7">
        <v>220.85</v>
      </c>
      <c r="E124" s="2"/>
      <c r="F124" s="6">
        <f t="shared" si="78"/>
        <v>2.9044395973553745E-4</v>
      </c>
      <c r="G124" s="2"/>
      <c r="H124" s="7">
        <v>4558</v>
      </c>
      <c r="I124" s="2"/>
      <c r="J124" s="6">
        <f t="shared" si="79"/>
        <v>2.2456963235221662E-3</v>
      </c>
      <c r="K124" s="2"/>
      <c r="L124" s="7">
        <f t="shared" si="80"/>
        <v>-4337.1499999999996</v>
      </c>
      <c r="M124" s="2"/>
      <c r="N124" s="6">
        <f t="shared" si="81"/>
        <v>-0.95154673102237819</v>
      </c>
      <c r="O124" s="11"/>
      <c r="P124" s="7">
        <v>4267.03</v>
      </c>
      <c r="Q124" s="2"/>
      <c r="R124" s="6">
        <f t="shared" si="82"/>
        <v>9.4866621558168361E-4</v>
      </c>
      <c r="S124" s="2"/>
      <c r="T124" s="7">
        <v>31648</v>
      </c>
      <c r="U124" s="2"/>
      <c r="V124" s="6">
        <f t="shared" si="83"/>
        <v>4.4344127128424921E-3</v>
      </c>
      <c r="W124" s="2"/>
      <c r="X124" s="7">
        <f t="shared" si="84"/>
        <v>-27380.97</v>
      </c>
      <c r="Y124" s="2"/>
      <c r="Z124" s="6">
        <f t="shared" si="85"/>
        <v>-0.86517220677451978</v>
      </c>
    </row>
    <row r="125" spans="1:26" s="24" customFormat="1" hidden="1" outlineLevel="2" x14ac:dyDescent="0.3">
      <c r="A125" s="27"/>
      <c r="B125" s="11" t="str">
        <f>CONCATENATE("          ", "6284", " - ", "TRASH REMOVAL EXPENSE")</f>
        <v xml:space="preserve">          6284 - TRASH REMOVAL EXPENSE</v>
      </c>
      <c r="C125" s="11"/>
      <c r="D125" s="7">
        <v>149.69999999999999</v>
      </c>
      <c r="E125" s="2"/>
      <c r="F125" s="6">
        <f t="shared" si="78"/>
        <v>1.9687326589273242E-4</v>
      </c>
      <c r="G125" s="2"/>
      <c r="H125" s="7">
        <v>60</v>
      </c>
      <c r="I125" s="2"/>
      <c r="J125" s="6">
        <f t="shared" si="79"/>
        <v>2.9561601450489243E-5</v>
      </c>
      <c r="K125" s="2"/>
      <c r="L125" s="7">
        <f t="shared" si="80"/>
        <v>89.699999999999989</v>
      </c>
      <c r="M125" s="2"/>
      <c r="N125" s="6">
        <f t="shared" si="81"/>
        <v>1.4949999999999999</v>
      </c>
      <c r="O125" s="11"/>
      <c r="P125" s="7">
        <v>1040.77</v>
      </c>
      <c r="Q125" s="2"/>
      <c r="R125" s="6">
        <f t="shared" si="82"/>
        <v>2.3138889044392678E-4</v>
      </c>
      <c r="S125" s="2"/>
      <c r="T125" s="7">
        <v>540</v>
      </c>
      <c r="U125" s="2"/>
      <c r="V125" s="6">
        <f t="shared" si="83"/>
        <v>7.5663007612959617E-5</v>
      </c>
      <c r="W125" s="2"/>
      <c r="X125" s="7">
        <f t="shared" si="84"/>
        <v>500.77</v>
      </c>
      <c r="Y125" s="2"/>
      <c r="Z125" s="6">
        <f t="shared" si="85"/>
        <v>0.92735185185185187</v>
      </c>
    </row>
    <row r="126" spans="1:26" s="24" customFormat="1" hidden="1" outlineLevel="2" x14ac:dyDescent="0.3">
      <c r="A126" s="27"/>
      <c r="B126" s="11" t="str">
        <f>CONCATENATE("          ", "6285", " - ", "JANITORIAL SERVICES")</f>
        <v xml:space="preserve">          6285 - JANITORIAL SERVICES</v>
      </c>
      <c r="C126" s="11"/>
      <c r="D126" s="7">
        <v>4238.6099999999997</v>
      </c>
      <c r="E126" s="2"/>
      <c r="F126" s="6">
        <f t="shared" si="78"/>
        <v>5.5742751739852681E-3</v>
      </c>
      <c r="G126" s="2"/>
      <c r="H126" s="7"/>
      <c r="I126" s="2"/>
      <c r="J126" s="6">
        <f t="shared" si="79"/>
        <v>0</v>
      </c>
      <c r="K126" s="2"/>
      <c r="L126" s="7">
        <f t="shared" si="80"/>
        <v>4238.6099999999997</v>
      </c>
      <c r="M126" s="2"/>
      <c r="N126" s="6">
        <f t="shared" si="81"/>
        <v>0</v>
      </c>
      <c r="O126" s="11"/>
      <c r="P126" s="7">
        <v>44465.49</v>
      </c>
      <c r="Q126" s="2"/>
      <c r="R126" s="6">
        <f t="shared" si="82"/>
        <v>9.8857772554411839E-3</v>
      </c>
      <c r="S126" s="2"/>
      <c r="T126" s="7"/>
      <c r="U126" s="2"/>
      <c r="V126" s="6">
        <f t="shared" si="83"/>
        <v>0</v>
      </c>
      <c r="W126" s="2"/>
      <c r="X126" s="7">
        <f t="shared" si="84"/>
        <v>44465.49</v>
      </c>
      <c r="Y126" s="2"/>
      <c r="Z126" s="6">
        <f t="shared" si="85"/>
        <v>0</v>
      </c>
    </row>
    <row r="127" spans="1:26" s="24" customFormat="1" hidden="1" outlineLevel="2" x14ac:dyDescent="0.3">
      <c r="A127" s="27"/>
      <c r="B127" s="11" t="str">
        <f>CONCATENATE("          ", "6286", " - ", "LAUNDRY EXPENSE")</f>
        <v xml:space="preserve">          6286 - LAUNDRY EXPENSE</v>
      </c>
      <c r="C127" s="11"/>
      <c r="D127" s="7">
        <v>114.16</v>
      </c>
      <c r="E127" s="2"/>
      <c r="F127" s="6">
        <f t="shared" si="78"/>
        <v>1.5013394812501225E-4</v>
      </c>
      <c r="G127" s="2"/>
      <c r="H127" s="7">
        <v>34</v>
      </c>
      <c r="I127" s="2"/>
      <c r="J127" s="6">
        <f t="shared" si="79"/>
        <v>1.6751574155277239E-5</v>
      </c>
      <c r="K127" s="2"/>
      <c r="L127" s="7">
        <f t="shared" si="80"/>
        <v>80.16</v>
      </c>
      <c r="M127" s="2"/>
      <c r="N127" s="6">
        <f t="shared" si="81"/>
        <v>2.3576470588235292</v>
      </c>
      <c r="O127" s="11"/>
      <c r="P127" s="7">
        <v>539.96</v>
      </c>
      <c r="Q127" s="2"/>
      <c r="R127" s="6">
        <f t="shared" si="82"/>
        <v>1.2004645145815379E-4</v>
      </c>
      <c r="S127" s="2"/>
      <c r="T127" s="7">
        <v>213</v>
      </c>
      <c r="U127" s="2"/>
      <c r="V127" s="6">
        <f t="shared" si="83"/>
        <v>2.9844853002889627E-5</v>
      </c>
      <c r="W127" s="2"/>
      <c r="X127" s="7">
        <f t="shared" si="84"/>
        <v>326.96000000000004</v>
      </c>
      <c r="Y127" s="2"/>
      <c r="Z127" s="6">
        <f t="shared" si="85"/>
        <v>1.5350234741784039</v>
      </c>
    </row>
    <row r="128" spans="1:26" s="28" customFormat="1" outlineLevel="1" collapsed="1" x14ac:dyDescent="0.3">
      <c r="A128" s="29"/>
      <c r="B128" s="14" t="str">
        <f>CONCATENATE("     ","Subscriptions &amp; Dues                              ")</f>
        <v xml:space="preserve">     Subscriptions &amp; Dues                              </v>
      </c>
      <c r="C128" s="14"/>
      <c r="D128" s="1">
        <f>SUM(OSRRefD22_20x_0)</f>
        <v>301.99</v>
      </c>
      <c r="E128" s="1"/>
      <c r="F128" s="5">
        <f t="shared" ref="F128:F130" si="86">IF(D$12=0,0,D128/D$12)</f>
        <v>3.9715268915795771E-4</v>
      </c>
      <c r="G128" s="1"/>
      <c r="H128" s="1">
        <f>SUM(OSRRefH22_20x_0)</f>
        <v>2381</v>
      </c>
      <c r="I128" s="1"/>
      <c r="J128" s="5">
        <f t="shared" ref="J128:J130" si="87">IF(H$12=0,0,H128/H$12)</f>
        <v>1.1731028842269149E-3</v>
      </c>
      <c r="K128" s="1"/>
      <c r="L128" s="1">
        <f t="shared" ref="L128:L130" si="88">+D128-H128</f>
        <v>-2079.0100000000002</v>
      </c>
      <c r="M128" s="1"/>
      <c r="N128" s="5">
        <f t="shared" ref="N128:N130" si="89">IF(H128=0,0,L128/H128)</f>
        <v>-0.87316673666526678</v>
      </c>
      <c r="O128" s="14"/>
      <c r="P128" s="1">
        <f>SUM(OSRRefP22_20x_0)</f>
        <v>1693.73</v>
      </c>
      <c r="Q128" s="1"/>
      <c r="R128" s="5">
        <f t="shared" ref="R128:R130" si="90">IF(P$12=0,0,P128/P$12)</f>
        <v>3.7655803435109785E-4</v>
      </c>
      <c r="S128" s="1"/>
      <c r="T128" s="1">
        <f>SUM(OSRRefT22_20x_0)</f>
        <v>9002</v>
      </c>
      <c r="U128" s="1"/>
      <c r="V128" s="5">
        <f t="shared" ref="V128:V130" si="91">IF(T$12=0,0,T128/T$12)</f>
        <v>1.2613303602441897E-3</v>
      </c>
      <c r="W128" s="1"/>
      <c r="X128" s="1">
        <f t="shared" ref="X128:X130" si="92">+P128-T128</f>
        <v>-7308.27</v>
      </c>
      <c r="Y128" s="1"/>
      <c r="Z128" s="5">
        <f t="shared" ref="Z128:Z130" si="93">IF(T128=0,0,X128/T128)</f>
        <v>-0.81184958898022663</v>
      </c>
    </row>
    <row r="129" spans="1:26" s="24" customFormat="1" hidden="1" outlineLevel="2" x14ac:dyDescent="0.3">
      <c r="A129" s="27"/>
      <c r="B129" s="11" t="str">
        <f>CONCATENATE("          ", "6258", " - ", "MEMBERSHIP DUES")</f>
        <v xml:space="preserve">          6258 - MEMBERSHIP DUES</v>
      </c>
      <c r="C129" s="11"/>
      <c r="D129" s="7">
        <v>301.99</v>
      </c>
      <c r="E129" s="2"/>
      <c r="F129" s="6">
        <f t="shared" si="86"/>
        <v>3.9715268915795771E-4</v>
      </c>
      <c r="G129" s="2"/>
      <c r="H129" s="7">
        <v>300</v>
      </c>
      <c r="I129" s="2"/>
      <c r="J129" s="6">
        <f t="shared" si="87"/>
        <v>1.4780800725244623E-4</v>
      </c>
      <c r="K129" s="2"/>
      <c r="L129" s="7">
        <f t="shared" si="88"/>
        <v>1.9900000000000091</v>
      </c>
      <c r="M129" s="2"/>
      <c r="N129" s="6">
        <f t="shared" si="89"/>
        <v>6.6333333333333635E-3</v>
      </c>
      <c r="O129" s="11"/>
      <c r="P129" s="7">
        <v>1693.73</v>
      </c>
      <c r="Q129" s="2"/>
      <c r="R129" s="6">
        <f t="shared" si="90"/>
        <v>3.7655803435109785E-4</v>
      </c>
      <c r="S129" s="2"/>
      <c r="T129" s="7">
        <v>6495</v>
      </c>
      <c r="U129" s="2"/>
      <c r="V129" s="6">
        <f t="shared" si="91"/>
        <v>9.1005784156698649E-4</v>
      </c>
      <c r="W129" s="2"/>
      <c r="X129" s="7">
        <f t="shared" si="92"/>
        <v>-4801.2700000000004</v>
      </c>
      <c r="Y129" s="2"/>
      <c r="Z129" s="6">
        <f t="shared" si="93"/>
        <v>-0.73922555812163204</v>
      </c>
    </row>
    <row r="130" spans="1:26" s="24" customFormat="1" hidden="1" outlineLevel="2" x14ac:dyDescent="0.3">
      <c r="A130" s="27"/>
      <c r="B130" s="11" t="str">
        <f>CONCATENATE("          ", "6275", " - ", "SUBSCRIPTIONS")</f>
        <v xml:space="preserve">          6275 - SUBSCRIPTIONS</v>
      </c>
      <c r="C130" s="11"/>
      <c r="D130" s="7"/>
      <c r="E130" s="2"/>
      <c r="F130" s="6">
        <f t="shared" si="86"/>
        <v>0</v>
      </c>
      <c r="G130" s="2"/>
      <c r="H130" s="7">
        <v>2081</v>
      </c>
      <c r="I130" s="2"/>
      <c r="J130" s="6">
        <f t="shared" si="87"/>
        <v>1.0252948769744687E-3</v>
      </c>
      <c r="K130" s="2"/>
      <c r="L130" s="7">
        <f t="shared" si="88"/>
        <v>-2081</v>
      </c>
      <c r="M130" s="2"/>
      <c r="N130" s="6">
        <f t="shared" si="89"/>
        <v>-1</v>
      </c>
      <c r="O130" s="11"/>
      <c r="P130" s="7"/>
      <c r="Q130" s="2"/>
      <c r="R130" s="6">
        <f t="shared" si="90"/>
        <v>0</v>
      </c>
      <c r="S130" s="2"/>
      <c r="T130" s="7">
        <v>2507</v>
      </c>
      <c r="U130" s="2"/>
      <c r="V130" s="6">
        <f t="shared" si="91"/>
        <v>3.5127251867720326E-4</v>
      </c>
      <c r="W130" s="2"/>
      <c r="X130" s="7">
        <f t="shared" si="92"/>
        <v>-2507</v>
      </c>
      <c r="Y130" s="2"/>
      <c r="Z130" s="6">
        <f t="shared" si="93"/>
        <v>-1</v>
      </c>
    </row>
    <row r="131" spans="1:26" s="28" customFormat="1" outlineLevel="1" collapsed="1" x14ac:dyDescent="0.3">
      <c r="A131" s="29"/>
      <c r="B131" s="14" t="str">
        <f>CONCATENATE("     ","Supplies                                          ")</f>
        <v xml:space="preserve">     Supplies                                          </v>
      </c>
      <c r="C131" s="14"/>
      <c r="D131" s="1">
        <f>SUM(OSRRefD22_21x_0)</f>
        <v>4259.04</v>
      </c>
      <c r="E131" s="1"/>
      <c r="F131" s="5">
        <f t="shared" ref="F131:F138" si="94">IF(D$12=0,0,D131/D$12)</f>
        <v>5.6011430485489854E-3</v>
      </c>
      <c r="G131" s="1"/>
      <c r="H131" s="1">
        <f>SUM(OSRRefH22_21x_0)</f>
        <v>20380</v>
      </c>
      <c r="I131" s="1"/>
      <c r="J131" s="5">
        <f t="shared" ref="J131:J138" si="95">IF(H$12=0,0,H131/H$12)</f>
        <v>1.0041090626016181E-2</v>
      </c>
      <c r="K131" s="1"/>
      <c r="L131" s="1">
        <f t="shared" ref="L131:L138" si="96">+D131-H131</f>
        <v>-16120.96</v>
      </c>
      <c r="M131" s="1"/>
      <c r="N131" s="5">
        <f t="shared" ref="N131:N138" si="97">IF(H131=0,0,L131/H131)</f>
        <v>-0.79101864573110892</v>
      </c>
      <c r="O131" s="14"/>
      <c r="P131" s="1">
        <f>SUM(OSRRefP22_21x_0)</f>
        <v>59740.12</v>
      </c>
      <c r="Q131" s="1"/>
      <c r="R131" s="5">
        <f t="shared" ref="R131:R138" si="98">IF(P$12=0,0,P131/P$12)</f>
        <v>1.3281704970153867E-2</v>
      </c>
      <c r="S131" s="1"/>
      <c r="T131" s="1">
        <f>SUM(OSRRefT22_21x_0)</f>
        <v>91390</v>
      </c>
      <c r="U131" s="1"/>
      <c r="V131" s="5">
        <f t="shared" ref="V131:V138" si="99">IF(T$12=0,0,T131/T$12)</f>
        <v>1.2805263455089592E-2</v>
      </c>
      <c r="W131" s="1"/>
      <c r="X131" s="1">
        <f t="shared" ref="X131:X138" si="100">+P131-T131</f>
        <v>-31649.879999999997</v>
      </c>
      <c r="Y131" s="1"/>
      <c r="Z131" s="5">
        <f t="shared" ref="Z131:Z138" si="101">IF(T131=0,0,X131/T131)</f>
        <v>-0.34631666484298063</v>
      </c>
    </row>
    <row r="132" spans="1:26" s="24" customFormat="1" hidden="1" outlineLevel="2" x14ac:dyDescent="0.3">
      <c r="A132" s="27"/>
      <c r="B132" s="11" t="str">
        <f>CONCATENATE("          ", "6234", " - ", "EXPENDABLE SUPPLIES &amp; EQUIPMEN")</f>
        <v xml:space="preserve">          6234 - EXPENDABLE SUPPLIES &amp; EQUIPMEN</v>
      </c>
      <c r="C132" s="11"/>
      <c r="D132" s="7"/>
      <c r="E132" s="2"/>
      <c r="F132" s="6">
        <f t="shared" si="94"/>
        <v>0</v>
      </c>
      <c r="G132" s="2"/>
      <c r="H132" s="7">
        <v>500</v>
      </c>
      <c r="I132" s="2"/>
      <c r="J132" s="6">
        <f t="shared" si="95"/>
        <v>2.4634667875407702E-4</v>
      </c>
      <c r="K132" s="2"/>
      <c r="L132" s="7">
        <f t="shared" si="96"/>
        <v>-500</v>
      </c>
      <c r="M132" s="2"/>
      <c r="N132" s="6">
        <f t="shared" si="97"/>
        <v>-1</v>
      </c>
      <c r="O132" s="11"/>
      <c r="P132" s="7">
        <v>6484.46</v>
      </c>
      <c r="Q132" s="2"/>
      <c r="R132" s="6">
        <f t="shared" si="98"/>
        <v>1.44165570157482E-3</v>
      </c>
      <c r="S132" s="2"/>
      <c r="T132" s="7">
        <v>2100</v>
      </c>
      <c r="U132" s="2"/>
      <c r="V132" s="6">
        <f t="shared" si="99"/>
        <v>2.9424502960595408E-4</v>
      </c>
      <c r="W132" s="2"/>
      <c r="X132" s="7">
        <f t="shared" si="100"/>
        <v>4384.46</v>
      </c>
      <c r="Y132" s="2"/>
      <c r="Z132" s="6">
        <f t="shared" si="101"/>
        <v>2.0878380952380953</v>
      </c>
    </row>
    <row r="133" spans="1:26" s="24" customFormat="1" hidden="1" outlineLevel="2" x14ac:dyDescent="0.3">
      <c r="A133" s="27"/>
      <c r="B133" s="11" t="str">
        <f>CONCATENATE("          ", "6235", " - ", "COVID-19 EXPENSES")</f>
        <v xml:space="preserve">          6235 - COVID-19 EXPENSES</v>
      </c>
      <c r="C133" s="11"/>
      <c r="D133" s="7"/>
      <c r="E133" s="2"/>
      <c r="F133" s="6">
        <f t="shared" si="94"/>
        <v>0</v>
      </c>
      <c r="G133" s="2"/>
      <c r="H133" s="7">
        <v>125</v>
      </c>
      <c r="I133" s="2"/>
      <c r="J133" s="6">
        <f t="shared" si="95"/>
        <v>6.1586669688519255E-5</v>
      </c>
      <c r="K133" s="2"/>
      <c r="L133" s="7">
        <f t="shared" si="96"/>
        <v>-125</v>
      </c>
      <c r="M133" s="2"/>
      <c r="N133" s="6">
        <f t="shared" si="97"/>
        <v>-1</v>
      </c>
      <c r="O133" s="11"/>
      <c r="P133" s="7">
        <v>3430.32</v>
      </c>
      <c r="Q133" s="2"/>
      <c r="R133" s="6">
        <f t="shared" si="98"/>
        <v>7.6264490585586724E-4</v>
      </c>
      <c r="S133" s="2"/>
      <c r="T133" s="7">
        <v>875</v>
      </c>
      <c r="U133" s="2"/>
      <c r="V133" s="6">
        <f t="shared" si="99"/>
        <v>1.2260209566914752E-4</v>
      </c>
      <c r="W133" s="2"/>
      <c r="X133" s="7">
        <f t="shared" si="100"/>
        <v>2555.3200000000002</v>
      </c>
      <c r="Y133" s="2"/>
      <c r="Z133" s="6">
        <f t="shared" si="101"/>
        <v>2.9203657142857145</v>
      </c>
    </row>
    <row r="134" spans="1:26" s="24" customFormat="1" hidden="1" outlineLevel="2" x14ac:dyDescent="0.3">
      <c r="A134" s="27"/>
      <c r="B134" s="11" t="str">
        <f>CONCATENATE("          ", "6237", " - ", "JANITORIAL SUPPLIES")</f>
        <v xml:space="preserve">          6237 - JANITORIAL SUPPLIES</v>
      </c>
      <c r="C134" s="11"/>
      <c r="D134" s="7">
        <v>716.54</v>
      </c>
      <c r="E134" s="2"/>
      <c r="F134" s="6">
        <f t="shared" si="94"/>
        <v>9.4233513655830664E-4</v>
      </c>
      <c r="G134" s="2"/>
      <c r="H134" s="7">
        <v>60</v>
      </c>
      <c r="I134" s="2"/>
      <c r="J134" s="6">
        <f t="shared" si="95"/>
        <v>2.9561601450489243E-5</v>
      </c>
      <c r="K134" s="2"/>
      <c r="L134" s="7">
        <f t="shared" si="96"/>
        <v>656.54</v>
      </c>
      <c r="M134" s="2"/>
      <c r="N134" s="6">
        <f t="shared" si="97"/>
        <v>10.942333333333332</v>
      </c>
      <c r="O134" s="11"/>
      <c r="P134" s="7">
        <v>5186.3999999999996</v>
      </c>
      <c r="Q134" s="2"/>
      <c r="R134" s="6">
        <f t="shared" si="98"/>
        <v>1.1530648859963122E-3</v>
      </c>
      <c r="S134" s="2"/>
      <c r="T134" s="7">
        <v>300</v>
      </c>
      <c r="U134" s="2"/>
      <c r="V134" s="6">
        <f t="shared" si="99"/>
        <v>4.2035004229422009E-5</v>
      </c>
      <c r="W134" s="2"/>
      <c r="X134" s="7">
        <f t="shared" si="100"/>
        <v>4886.3999999999996</v>
      </c>
      <c r="Y134" s="2"/>
      <c r="Z134" s="6">
        <f t="shared" si="101"/>
        <v>16.288</v>
      </c>
    </row>
    <row r="135" spans="1:26" s="24" customFormat="1" hidden="1" outlineLevel="2" x14ac:dyDescent="0.3">
      <c r="A135" s="27"/>
      <c r="B135" s="11" t="str">
        <f>CONCATENATE("          ", "6241", " - ", "OFFICE EXPENSE")</f>
        <v xml:space="preserve">          6241 - OFFICE EXPENSE</v>
      </c>
      <c r="C135" s="11"/>
      <c r="D135" s="7">
        <v>617.54</v>
      </c>
      <c r="E135" s="2"/>
      <c r="F135" s="6">
        <f t="shared" si="94"/>
        <v>8.1213838757112885E-4</v>
      </c>
      <c r="G135" s="2"/>
      <c r="H135" s="7">
        <v>670</v>
      </c>
      <c r="I135" s="2"/>
      <c r="J135" s="6">
        <f t="shared" si="95"/>
        <v>3.3010454953046324E-4</v>
      </c>
      <c r="K135" s="2"/>
      <c r="L135" s="7">
        <f t="shared" si="96"/>
        <v>-52.460000000000036</v>
      </c>
      <c r="M135" s="2"/>
      <c r="N135" s="6">
        <f t="shared" si="97"/>
        <v>-7.8298507462686615E-2</v>
      </c>
      <c r="O135" s="11"/>
      <c r="P135" s="7">
        <v>9228.51</v>
      </c>
      <c r="Q135" s="2"/>
      <c r="R135" s="6">
        <f t="shared" si="98"/>
        <v>2.0517258273688548E-3</v>
      </c>
      <c r="S135" s="2"/>
      <c r="T135" s="7">
        <v>4290</v>
      </c>
      <c r="U135" s="2"/>
      <c r="V135" s="6">
        <f t="shared" si="99"/>
        <v>6.0110056048073477E-4</v>
      </c>
      <c r="W135" s="2"/>
      <c r="X135" s="7">
        <f t="shared" si="100"/>
        <v>4938.51</v>
      </c>
      <c r="Y135" s="2"/>
      <c r="Z135" s="6">
        <f t="shared" si="101"/>
        <v>1.1511678321678323</v>
      </c>
    </row>
    <row r="136" spans="1:26" s="24" customFormat="1" hidden="1" outlineLevel="2" x14ac:dyDescent="0.3">
      <c r="A136" s="27"/>
      <c r="B136" s="11" t="str">
        <f>CONCATENATE("          ", "6243", " - ", "PAPER SUPPLIES")</f>
        <v xml:space="preserve">          6243 - PAPER SUPPLIES</v>
      </c>
      <c r="C136" s="11"/>
      <c r="D136" s="7">
        <v>122.72</v>
      </c>
      <c r="E136" s="2"/>
      <c r="F136" s="6">
        <f t="shared" si="94"/>
        <v>1.6139136399703489E-4</v>
      </c>
      <c r="G136" s="2"/>
      <c r="H136" s="7">
        <v>7700</v>
      </c>
      <c r="I136" s="2"/>
      <c r="J136" s="6">
        <f t="shared" si="95"/>
        <v>3.7937388528127866E-3</v>
      </c>
      <c r="K136" s="2"/>
      <c r="L136" s="7">
        <f t="shared" si="96"/>
        <v>-7577.28</v>
      </c>
      <c r="M136" s="2"/>
      <c r="N136" s="6">
        <f t="shared" si="97"/>
        <v>-0.98406233766233764</v>
      </c>
      <c r="O136" s="11"/>
      <c r="P136" s="7">
        <v>4593.62</v>
      </c>
      <c r="Q136" s="2"/>
      <c r="R136" s="6">
        <f t="shared" si="98"/>
        <v>1.0212752432535823E-3</v>
      </c>
      <c r="S136" s="2"/>
      <c r="T136" s="7">
        <v>27600</v>
      </c>
      <c r="U136" s="2"/>
      <c r="V136" s="6">
        <f t="shared" si="99"/>
        <v>3.8672203891068247E-3</v>
      </c>
      <c r="W136" s="2"/>
      <c r="X136" s="7">
        <f t="shared" si="100"/>
        <v>-23006.38</v>
      </c>
      <c r="Y136" s="2"/>
      <c r="Z136" s="6">
        <f t="shared" si="101"/>
        <v>-0.83356449275362321</v>
      </c>
    </row>
    <row r="137" spans="1:26" s="24" customFormat="1" hidden="1" outlineLevel="2" x14ac:dyDescent="0.3">
      <c r="A137" s="27"/>
      <c r="B137" s="11" t="str">
        <f>CONCATENATE("          ", "6245", " - ", "PRINTING")</f>
        <v xml:space="preserve">          6245 - PRINTING</v>
      </c>
      <c r="C137" s="11"/>
      <c r="D137" s="7">
        <v>689.76</v>
      </c>
      <c r="E137" s="2"/>
      <c r="F137" s="6">
        <f t="shared" si="94"/>
        <v>9.0711625839793675E-4</v>
      </c>
      <c r="G137" s="2"/>
      <c r="H137" s="7">
        <v>3750</v>
      </c>
      <c r="I137" s="2"/>
      <c r="J137" s="6">
        <f t="shared" si="95"/>
        <v>1.8476000906555777E-3</v>
      </c>
      <c r="K137" s="2"/>
      <c r="L137" s="7">
        <f t="shared" si="96"/>
        <v>-3060.24</v>
      </c>
      <c r="M137" s="2"/>
      <c r="N137" s="6">
        <f t="shared" si="97"/>
        <v>-0.8160639999999999</v>
      </c>
      <c r="O137" s="11"/>
      <c r="P137" s="7">
        <v>2801.74</v>
      </c>
      <c r="Q137" s="2"/>
      <c r="R137" s="6">
        <f t="shared" si="98"/>
        <v>6.2289603842574951E-4</v>
      </c>
      <c r="S137" s="2"/>
      <c r="T137" s="7">
        <v>5895</v>
      </c>
      <c r="U137" s="2"/>
      <c r="V137" s="6">
        <f t="shared" si="99"/>
        <v>8.2598783310814251E-4</v>
      </c>
      <c r="W137" s="2"/>
      <c r="X137" s="7">
        <f t="shared" si="100"/>
        <v>-3093.26</v>
      </c>
      <c r="Y137" s="2"/>
      <c r="Z137" s="6">
        <f t="shared" si="101"/>
        <v>-0.52472603901611536</v>
      </c>
    </row>
    <row r="138" spans="1:26" s="24" customFormat="1" hidden="1" outlineLevel="2" x14ac:dyDescent="0.3">
      <c r="A138" s="27"/>
      <c r="B138" s="11" t="str">
        <f>CONCATENATE("          ", "6247", " - ", "STORE SUPPLIES")</f>
        <v xml:space="preserve">          6247 - STORE SUPPLIES</v>
      </c>
      <c r="C138" s="11"/>
      <c r="D138" s="7">
        <v>2112.48</v>
      </c>
      <c r="E138" s="2"/>
      <c r="F138" s="6">
        <f t="shared" si="94"/>
        <v>2.7781619020245786E-3</v>
      </c>
      <c r="G138" s="2"/>
      <c r="H138" s="7">
        <v>7575</v>
      </c>
      <c r="I138" s="2"/>
      <c r="J138" s="6">
        <f t="shared" si="95"/>
        <v>3.7321521831242669E-3</v>
      </c>
      <c r="K138" s="2"/>
      <c r="L138" s="7">
        <f t="shared" si="96"/>
        <v>-5462.52</v>
      </c>
      <c r="M138" s="2"/>
      <c r="N138" s="6">
        <f t="shared" si="97"/>
        <v>-0.72112475247524754</v>
      </c>
      <c r="O138" s="11"/>
      <c r="P138" s="7">
        <v>28015.07</v>
      </c>
      <c r="Q138" s="2"/>
      <c r="R138" s="6">
        <f t="shared" si="98"/>
        <v>6.2284423676786799E-3</v>
      </c>
      <c r="S138" s="2"/>
      <c r="T138" s="7">
        <v>50330</v>
      </c>
      <c r="U138" s="2"/>
      <c r="V138" s="6">
        <f t="shared" si="99"/>
        <v>7.0520725428893658E-3</v>
      </c>
      <c r="W138" s="2"/>
      <c r="X138" s="7">
        <f t="shared" si="100"/>
        <v>-22314.93</v>
      </c>
      <c r="Y138" s="2"/>
      <c r="Z138" s="6">
        <f t="shared" si="101"/>
        <v>-0.44337234253924102</v>
      </c>
    </row>
    <row r="139" spans="1:26" s="28" customFormat="1" outlineLevel="1" collapsed="1" x14ac:dyDescent="0.3">
      <c r="A139" s="29"/>
      <c r="B139" s="14" t="str">
        <f>CONCATENATE("     ","Telephone/Data Lines                              ")</f>
        <v xml:space="preserve">     Telephone/Data Lines                              </v>
      </c>
      <c r="C139" s="14"/>
      <c r="D139" s="1">
        <f>SUM(OSRRefD22_22x_0)</f>
        <v>1945.23</v>
      </c>
      <c r="E139" s="1"/>
      <c r="F139" s="5">
        <f t="shared" ref="F139:F141" si="102">IF(D$12=0,0,D139/D$12)</f>
        <v>2.5582083033568463E-3</v>
      </c>
      <c r="G139" s="1"/>
      <c r="H139" s="1">
        <f>SUM(OSRRefH22_22x_0)</f>
        <v>2013</v>
      </c>
      <c r="I139" s="1"/>
      <c r="J139" s="5">
        <f t="shared" ref="J139:J141" si="103">IF(H$12=0,0,H139/H$12)</f>
        <v>9.9179172866391426E-4</v>
      </c>
      <c r="K139" s="1"/>
      <c r="L139" s="1">
        <f t="shared" ref="L139:L141" si="104">+D139-H139</f>
        <v>-67.769999999999982</v>
      </c>
      <c r="M139" s="1"/>
      <c r="N139" s="5">
        <f t="shared" ref="N139:N141" si="105">IF(H139=0,0,L139/H139)</f>
        <v>-3.3666169895678083E-2</v>
      </c>
      <c r="O139" s="14"/>
      <c r="P139" s="1">
        <f>SUM(OSRRefP22_22x_0)</f>
        <v>13758.59</v>
      </c>
      <c r="Q139" s="1"/>
      <c r="R139" s="5">
        <f t="shared" ref="R139:R141" si="106">IF(P$12=0,0,P139/P$12)</f>
        <v>3.0588745584258833E-3</v>
      </c>
      <c r="S139" s="1"/>
      <c r="T139" s="1">
        <f>SUM(OSRRefT22_22x_0)</f>
        <v>13991</v>
      </c>
      <c r="U139" s="1"/>
      <c r="V139" s="5">
        <f t="shared" ref="V139:V141" si="107">IF(T$12=0,0,T139/T$12)</f>
        <v>1.9603724805794778E-3</v>
      </c>
      <c r="W139" s="1"/>
      <c r="X139" s="1">
        <f t="shared" ref="X139:X141" si="108">+P139-T139</f>
        <v>-232.40999999999985</v>
      </c>
      <c r="Y139" s="1"/>
      <c r="Z139" s="5">
        <f t="shared" ref="Z139:Z141" si="109">IF(T139=0,0,X139/T139)</f>
        <v>-1.6611393038381807E-2</v>
      </c>
    </row>
    <row r="140" spans="1:26" s="24" customFormat="1" hidden="1" outlineLevel="2" x14ac:dyDescent="0.3">
      <c r="A140" s="27"/>
      <c r="B140" s="11" t="str">
        <f>CONCATENATE("          ", "6303", " - ", "DATA PHONE LINES")</f>
        <v xml:space="preserve">          6303 - DATA PHONE LINES</v>
      </c>
      <c r="C140" s="11"/>
      <c r="D140" s="7"/>
      <c r="E140" s="2"/>
      <c r="F140" s="6">
        <f t="shared" si="102"/>
        <v>0</v>
      </c>
      <c r="G140" s="2"/>
      <c r="H140" s="7">
        <v>50</v>
      </c>
      <c r="I140" s="2"/>
      <c r="J140" s="6">
        <f t="shared" si="103"/>
        <v>2.4634667875407703E-5</v>
      </c>
      <c r="K140" s="2"/>
      <c r="L140" s="7">
        <f t="shared" si="104"/>
        <v>-50</v>
      </c>
      <c r="M140" s="2"/>
      <c r="N140" s="6">
        <f t="shared" si="105"/>
        <v>-1</v>
      </c>
      <c r="O140" s="11"/>
      <c r="P140" s="7">
        <v>295</v>
      </c>
      <c r="Q140" s="2"/>
      <c r="R140" s="6">
        <f t="shared" si="106"/>
        <v>6.5585790021770811E-5</v>
      </c>
      <c r="S140" s="2"/>
      <c r="T140" s="7">
        <v>350</v>
      </c>
      <c r="U140" s="2"/>
      <c r="V140" s="6">
        <f t="shared" si="107"/>
        <v>4.9040838267659013E-5</v>
      </c>
      <c r="W140" s="2"/>
      <c r="X140" s="7">
        <f t="shared" si="108"/>
        <v>-55</v>
      </c>
      <c r="Y140" s="2"/>
      <c r="Z140" s="6">
        <f t="shared" si="109"/>
        <v>-0.15714285714285714</v>
      </c>
    </row>
    <row r="141" spans="1:26" s="24" customFormat="1" hidden="1" outlineLevel="2" x14ac:dyDescent="0.3">
      <c r="A141" s="27"/>
      <c r="B141" s="11" t="str">
        <f>CONCATENATE("          ", "6309", " - ", "TELEPHONE")</f>
        <v xml:space="preserve">          6309 - TELEPHONE</v>
      </c>
      <c r="C141" s="11"/>
      <c r="D141" s="7">
        <v>1945.23</v>
      </c>
      <c r="E141" s="2"/>
      <c r="F141" s="6">
        <f t="shared" si="102"/>
        <v>2.5582083033568463E-3</v>
      </c>
      <c r="G141" s="2"/>
      <c r="H141" s="7">
        <v>1963</v>
      </c>
      <c r="I141" s="2"/>
      <c r="J141" s="6">
        <f t="shared" si="103"/>
        <v>9.6715706078850645E-4</v>
      </c>
      <c r="K141" s="2"/>
      <c r="L141" s="7">
        <f t="shared" si="104"/>
        <v>-17.769999999999982</v>
      </c>
      <c r="M141" s="2"/>
      <c r="N141" s="6">
        <f t="shared" si="105"/>
        <v>-9.0524707080998374E-3</v>
      </c>
      <c r="O141" s="11"/>
      <c r="P141" s="7">
        <v>13463.59</v>
      </c>
      <c r="Q141" s="2"/>
      <c r="R141" s="6">
        <f t="shared" si="106"/>
        <v>2.9932887684041127E-3</v>
      </c>
      <c r="S141" s="2"/>
      <c r="T141" s="7">
        <v>13641</v>
      </c>
      <c r="U141" s="2"/>
      <c r="V141" s="6">
        <f t="shared" si="107"/>
        <v>1.9113316423118188E-3</v>
      </c>
      <c r="W141" s="2"/>
      <c r="X141" s="7">
        <f t="shared" si="108"/>
        <v>-177.40999999999985</v>
      </c>
      <c r="Y141" s="2"/>
      <c r="Z141" s="6">
        <f t="shared" si="109"/>
        <v>-1.3005644747452522E-2</v>
      </c>
    </row>
    <row r="142" spans="1:26" s="28" customFormat="1" outlineLevel="1" collapsed="1" x14ac:dyDescent="0.3">
      <c r="A142" s="29"/>
      <c r="B142" s="14" t="str">
        <f>CONCATENATE("     ","Training                                          ")</f>
        <v xml:space="preserve">     Training                                          </v>
      </c>
      <c r="C142" s="14"/>
      <c r="D142" s="1">
        <f>SUM(OSRRefD22_23x_0)</f>
        <v>0</v>
      </c>
      <c r="E142" s="1"/>
      <c r="F142" s="5">
        <f t="shared" ref="F142:F147" si="110">IF(D$12=0,0,D142/D$12)</f>
        <v>0</v>
      </c>
      <c r="G142" s="1"/>
      <c r="H142" s="1">
        <f>SUM(OSRRefH22_23x_0)</f>
        <v>75</v>
      </c>
      <c r="I142" s="1"/>
      <c r="J142" s="5">
        <f t="shared" ref="J142:J147" si="111">IF(H$12=0,0,H142/H$12)</f>
        <v>3.6952001813111559E-5</v>
      </c>
      <c r="K142" s="1"/>
      <c r="L142" s="1">
        <f t="shared" ref="L142:L147" si="112">+D142-H142</f>
        <v>-75</v>
      </c>
      <c r="M142" s="1"/>
      <c r="N142" s="5">
        <f t="shared" ref="N142:N147" si="113">IF(H142=0,0,L142/H142)</f>
        <v>-1</v>
      </c>
      <c r="O142" s="14"/>
      <c r="P142" s="1">
        <f>SUM(OSRRefP22_23x_0)</f>
        <v>595</v>
      </c>
      <c r="Q142" s="1"/>
      <c r="R142" s="5">
        <f t="shared" ref="R142:R147" si="114">IF(P$12=0,0,P142/P$12)</f>
        <v>1.3228320360323263E-4</v>
      </c>
      <c r="S142" s="1"/>
      <c r="T142" s="1">
        <f>SUM(OSRRefT22_23x_0)</f>
        <v>150</v>
      </c>
      <c r="U142" s="1"/>
      <c r="V142" s="5">
        <f t="shared" ref="V142:V147" si="115">IF(T$12=0,0,T142/T$12)</f>
        <v>2.1017502114711004E-5</v>
      </c>
      <c r="W142" s="1"/>
      <c r="X142" s="1">
        <f t="shared" ref="X142:X147" si="116">+P142-T142</f>
        <v>445</v>
      </c>
      <c r="Y142" s="1"/>
      <c r="Z142" s="5">
        <f t="shared" ref="Z142:Z147" si="117">IF(T142=0,0,X142/T142)</f>
        <v>2.9666666666666668</v>
      </c>
    </row>
    <row r="143" spans="1:26" s="24" customFormat="1" hidden="1" outlineLevel="2" x14ac:dyDescent="0.3">
      <c r="A143" s="27"/>
      <c r="B143" s="11" t="str">
        <f>CONCATENATE("          ", "6376", " - ", "TRAINING")</f>
        <v xml:space="preserve">          6376 - TRAINING</v>
      </c>
      <c r="C143" s="11"/>
      <c r="D143" s="7"/>
      <c r="E143" s="2"/>
      <c r="F143" s="6">
        <f t="shared" si="110"/>
        <v>0</v>
      </c>
      <c r="G143" s="2"/>
      <c r="H143" s="7">
        <v>75</v>
      </c>
      <c r="I143" s="2"/>
      <c r="J143" s="6">
        <f t="shared" si="111"/>
        <v>3.6952001813111559E-5</v>
      </c>
      <c r="K143" s="2"/>
      <c r="L143" s="7">
        <f t="shared" si="112"/>
        <v>-75</v>
      </c>
      <c r="M143" s="2"/>
      <c r="N143" s="6">
        <f t="shared" si="113"/>
        <v>-1</v>
      </c>
      <c r="O143" s="11"/>
      <c r="P143" s="7">
        <v>595</v>
      </c>
      <c r="Q143" s="2"/>
      <c r="R143" s="6">
        <f t="shared" si="114"/>
        <v>1.3228320360323263E-4</v>
      </c>
      <c r="S143" s="2"/>
      <c r="T143" s="7">
        <v>150</v>
      </c>
      <c r="U143" s="2"/>
      <c r="V143" s="6">
        <f t="shared" si="115"/>
        <v>2.1017502114711004E-5</v>
      </c>
      <c r="W143" s="2"/>
      <c r="X143" s="7">
        <f t="shared" si="116"/>
        <v>445</v>
      </c>
      <c r="Y143" s="2"/>
      <c r="Z143" s="6">
        <f t="shared" si="117"/>
        <v>2.9666666666666668</v>
      </c>
    </row>
    <row r="144" spans="1:26" s="28" customFormat="1" outlineLevel="1" collapsed="1" x14ac:dyDescent="0.3">
      <c r="A144" s="29"/>
      <c r="B144" s="14" t="str">
        <f>CONCATENATE("     ","Travel                                            ")</f>
        <v xml:space="preserve">     Travel                                            </v>
      </c>
      <c r="C144" s="14"/>
      <c r="D144" s="1">
        <f>SUM(OSRRefD22_24x_0)</f>
        <v>0</v>
      </c>
      <c r="E144" s="1"/>
      <c r="F144" s="5">
        <f t="shared" si="110"/>
        <v>0</v>
      </c>
      <c r="G144" s="1"/>
      <c r="H144" s="1">
        <f>SUM(OSRRefH22_24x_0)</f>
        <v>175</v>
      </c>
      <c r="I144" s="1"/>
      <c r="J144" s="5">
        <f t="shared" si="111"/>
        <v>8.6221337563926966E-5</v>
      </c>
      <c r="K144" s="1"/>
      <c r="L144" s="1">
        <f t="shared" si="112"/>
        <v>-175</v>
      </c>
      <c r="M144" s="1"/>
      <c r="N144" s="5">
        <f t="shared" si="113"/>
        <v>-1</v>
      </c>
      <c r="O144" s="14"/>
      <c r="P144" s="1">
        <f>SUM(OSRRefP22_24x_0)</f>
        <v>882.0100000000001</v>
      </c>
      <c r="Q144" s="1"/>
      <c r="R144" s="5">
        <f t="shared" si="114"/>
        <v>1.9609261917661721E-4</v>
      </c>
      <c r="S144" s="1"/>
      <c r="T144" s="1">
        <f>SUM(OSRRefT22_24x_0)</f>
        <v>1475</v>
      </c>
      <c r="U144" s="1"/>
      <c r="V144" s="5">
        <f t="shared" si="115"/>
        <v>2.0667210412799155E-4</v>
      </c>
      <c r="W144" s="1"/>
      <c r="X144" s="1">
        <f t="shared" si="116"/>
        <v>-592.9899999999999</v>
      </c>
      <c r="Y144" s="1"/>
      <c r="Z144" s="5">
        <f t="shared" si="117"/>
        <v>-0.4020271186440677</v>
      </c>
    </row>
    <row r="145" spans="1:26" s="24" customFormat="1" hidden="1" outlineLevel="2" x14ac:dyDescent="0.3">
      <c r="A145" s="27"/>
      <c r="B145" s="11" t="str">
        <f>CONCATENATE("          ", "6292", " - ", "TRAVEL/CONFERENCE")</f>
        <v xml:space="preserve">          6292 - TRAVEL/CONFERENCE</v>
      </c>
      <c r="C145" s="11"/>
      <c r="D145" s="7"/>
      <c r="E145" s="2"/>
      <c r="F145" s="6">
        <f t="shared" si="110"/>
        <v>0</v>
      </c>
      <c r="G145" s="2"/>
      <c r="H145" s="7">
        <v>125</v>
      </c>
      <c r="I145" s="2"/>
      <c r="J145" s="6">
        <f t="shared" si="111"/>
        <v>6.1586669688519255E-5</v>
      </c>
      <c r="K145" s="2"/>
      <c r="L145" s="7">
        <f t="shared" si="112"/>
        <v>-125</v>
      </c>
      <c r="M145" s="2"/>
      <c r="N145" s="6">
        <f t="shared" si="113"/>
        <v>-1</v>
      </c>
      <c r="O145" s="11"/>
      <c r="P145" s="7">
        <v>495</v>
      </c>
      <c r="Q145" s="2"/>
      <c r="R145" s="6">
        <f t="shared" si="114"/>
        <v>1.1005073240941203E-4</v>
      </c>
      <c r="S145" s="2"/>
      <c r="T145" s="7">
        <v>875</v>
      </c>
      <c r="U145" s="2"/>
      <c r="V145" s="6">
        <f t="shared" si="115"/>
        <v>1.2260209566914752E-4</v>
      </c>
      <c r="W145" s="2"/>
      <c r="X145" s="7">
        <f t="shared" si="116"/>
        <v>-380</v>
      </c>
      <c r="Y145" s="2"/>
      <c r="Z145" s="6">
        <f t="shared" si="117"/>
        <v>-0.43428571428571427</v>
      </c>
    </row>
    <row r="146" spans="1:26" s="24" customFormat="1" hidden="1" outlineLevel="2" x14ac:dyDescent="0.3">
      <c r="A146" s="27"/>
      <c r="B146" s="11" t="str">
        <f>CONCATENATE("          ", "6294", " - ", "TRAVEL OPERATIONAL")</f>
        <v xml:space="preserve">          6294 - TRAVEL OPERATIONAL</v>
      </c>
      <c r="C146" s="11"/>
      <c r="D146" s="7"/>
      <c r="E146" s="2"/>
      <c r="F146" s="6">
        <f t="shared" si="110"/>
        <v>0</v>
      </c>
      <c r="G146" s="2"/>
      <c r="H146" s="7">
        <v>25</v>
      </c>
      <c r="I146" s="2"/>
      <c r="J146" s="6">
        <f t="shared" si="111"/>
        <v>1.2317333937703852E-5</v>
      </c>
      <c r="K146" s="2"/>
      <c r="L146" s="7">
        <f t="shared" si="112"/>
        <v>-25</v>
      </c>
      <c r="M146" s="2"/>
      <c r="N146" s="6">
        <f t="shared" si="113"/>
        <v>-1</v>
      </c>
      <c r="O146" s="11"/>
      <c r="P146" s="7">
        <v>239.93</v>
      </c>
      <c r="Q146" s="2"/>
      <c r="R146" s="6">
        <f t="shared" si="114"/>
        <v>5.3342368135333793E-5</v>
      </c>
      <c r="S146" s="2"/>
      <c r="T146" s="7">
        <v>175</v>
      </c>
      <c r="U146" s="2"/>
      <c r="V146" s="6">
        <f t="shared" si="115"/>
        <v>2.4520419133829507E-5</v>
      </c>
      <c r="W146" s="2"/>
      <c r="X146" s="7">
        <f t="shared" si="116"/>
        <v>64.930000000000007</v>
      </c>
      <c r="Y146" s="2"/>
      <c r="Z146" s="6">
        <f t="shared" si="117"/>
        <v>0.37102857142857149</v>
      </c>
    </row>
    <row r="147" spans="1:26" s="24" customFormat="1" hidden="1" outlineLevel="2" x14ac:dyDescent="0.3">
      <c r="A147" s="27"/>
      <c r="B147" s="11" t="str">
        <f>CONCATENATE("          ", "6298", " - ", "VEHICLE MILEAGE")</f>
        <v xml:space="preserve">          6298 - VEHICLE MILEAGE</v>
      </c>
      <c r="C147" s="11"/>
      <c r="D147" s="7"/>
      <c r="E147" s="2"/>
      <c r="F147" s="6">
        <f t="shared" si="110"/>
        <v>0</v>
      </c>
      <c r="G147" s="2"/>
      <c r="H147" s="7">
        <v>25</v>
      </c>
      <c r="I147" s="2"/>
      <c r="J147" s="6">
        <f t="shared" si="111"/>
        <v>1.2317333937703852E-5</v>
      </c>
      <c r="K147" s="2"/>
      <c r="L147" s="7">
        <f t="shared" si="112"/>
        <v>-25</v>
      </c>
      <c r="M147" s="2"/>
      <c r="N147" s="6">
        <f t="shared" si="113"/>
        <v>-1</v>
      </c>
      <c r="O147" s="11"/>
      <c r="P147" s="7">
        <v>147.08000000000001</v>
      </c>
      <c r="Q147" s="2"/>
      <c r="R147" s="6">
        <f t="shared" si="114"/>
        <v>3.2699518631871356E-5</v>
      </c>
      <c r="S147" s="2"/>
      <c r="T147" s="7">
        <v>425</v>
      </c>
      <c r="U147" s="2"/>
      <c r="V147" s="6">
        <f t="shared" si="115"/>
        <v>5.9549589325014511E-5</v>
      </c>
      <c r="W147" s="2"/>
      <c r="X147" s="7">
        <f t="shared" si="116"/>
        <v>-277.91999999999996</v>
      </c>
      <c r="Y147" s="2"/>
      <c r="Z147" s="6">
        <f t="shared" si="117"/>
        <v>-0.65392941176470576</v>
      </c>
    </row>
    <row r="148" spans="1:26" s="28" customFormat="1" outlineLevel="1" collapsed="1" x14ac:dyDescent="0.3">
      <c r="A148" s="29"/>
      <c r="B148" s="14" t="str">
        <f>CONCATENATE("     ","Utilities                                         ")</f>
        <v xml:space="preserve">     Utilities                                         </v>
      </c>
      <c r="C148" s="14"/>
      <c r="D148" s="1">
        <f>SUM(OSRRefD22_25x_0)</f>
        <v>6392.91</v>
      </c>
      <c r="E148" s="1"/>
      <c r="F148" s="5">
        <f t="shared" ref="F148:F149" si="118">IF(D$12=0,0,D148/D$12)</f>
        <v>8.407435339066854E-3</v>
      </c>
      <c r="G148" s="1"/>
      <c r="H148" s="1">
        <f>SUM(OSRRefH22_25x_0)</f>
        <v>6120</v>
      </c>
      <c r="I148" s="1"/>
      <c r="J148" s="5">
        <f t="shared" ref="J148:J149" si="119">IF(H$12=0,0,H148/H$12)</f>
        <v>3.0152833479499029E-3</v>
      </c>
      <c r="K148" s="1"/>
      <c r="L148" s="1">
        <f t="shared" ref="L148:L149" si="120">+D148-H148</f>
        <v>272.90999999999985</v>
      </c>
      <c r="M148" s="1"/>
      <c r="N148" s="5">
        <f t="shared" ref="N148:N149" si="121">IF(H148=0,0,L148/H148)</f>
        <v>4.4593137254901938E-2</v>
      </c>
      <c r="O148" s="14"/>
      <c r="P148" s="1">
        <f>SUM(OSRRefP22_25x_0)</f>
        <v>37239.42</v>
      </c>
      <c r="Q148" s="1"/>
      <c r="R148" s="5">
        <f t="shared" ref="R148:R149" si="122">IF(P$12=0,0,P148/P$12)</f>
        <v>8.2792433242458718E-3</v>
      </c>
      <c r="S148" s="1"/>
      <c r="T148" s="1">
        <f>SUM(OSRRefT22_25x_0)</f>
        <v>42840</v>
      </c>
      <c r="U148" s="1"/>
      <c r="V148" s="5">
        <f t="shared" ref="V148:V149" si="123">IF(T$12=0,0,T148/T$12)</f>
        <v>6.0025986039614629E-3</v>
      </c>
      <c r="W148" s="1"/>
      <c r="X148" s="1">
        <f t="shared" ref="X148:X149" si="124">+P148-T148</f>
        <v>-5600.5800000000017</v>
      </c>
      <c r="Y148" s="1"/>
      <c r="Z148" s="5">
        <f t="shared" ref="Z148:Z149" si="125">IF(T148=0,0,X148/T148)</f>
        <v>-0.13073249299719891</v>
      </c>
    </row>
    <row r="149" spans="1:26" s="24" customFormat="1" hidden="1" outlineLevel="2" x14ac:dyDescent="0.3">
      <c r="A149" s="27"/>
      <c r="B149" s="11" t="str">
        <f>CONCATENATE("          ", "6274", " - ", "UTILITIES")</f>
        <v xml:space="preserve">          6274 - UTILITIES</v>
      </c>
      <c r="C149" s="11"/>
      <c r="D149" s="7">
        <v>6392.91</v>
      </c>
      <c r="E149" s="2"/>
      <c r="F149" s="6">
        <f t="shared" si="118"/>
        <v>8.407435339066854E-3</v>
      </c>
      <c r="G149" s="2"/>
      <c r="H149" s="7">
        <v>6120</v>
      </c>
      <c r="I149" s="2"/>
      <c r="J149" s="6">
        <f t="shared" si="119"/>
        <v>3.0152833479499029E-3</v>
      </c>
      <c r="K149" s="2"/>
      <c r="L149" s="7">
        <f t="shared" si="120"/>
        <v>272.90999999999985</v>
      </c>
      <c r="M149" s="2"/>
      <c r="N149" s="6">
        <f t="shared" si="121"/>
        <v>4.4593137254901938E-2</v>
      </c>
      <c r="O149" s="11"/>
      <c r="P149" s="7">
        <v>37239.42</v>
      </c>
      <c r="Q149" s="2"/>
      <c r="R149" s="6">
        <f t="shared" si="122"/>
        <v>8.2792433242458718E-3</v>
      </c>
      <c r="S149" s="2"/>
      <c r="T149" s="7">
        <v>42840</v>
      </c>
      <c r="U149" s="2"/>
      <c r="V149" s="6">
        <f t="shared" si="123"/>
        <v>6.0025986039614629E-3</v>
      </c>
      <c r="W149" s="2"/>
      <c r="X149" s="7">
        <f t="shared" si="124"/>
        <v>-5600.5800000000017</v>
      </c>
      <c r="Y149" s="2"/>
      <c r="Z149" s="6">
        <f t="shared" si="125"/>
        <v>-0.13073249299719891</v>
      </c>
    </row>
    <row r="150" spans="1:26" s="55" customFormat="1" x14ac:dyDescent="0.3">
      <c r="A150" s="36"/>
      <c r="B150" s="36"/>
      <c r="C150" s="36"/>
      <c r="D150" s="1"/>
      <c r="E150" s="1"/>
      <c r="F150" s="5"/>
      <c r="G150" s="1"/>
      <c r="H150" s="1"/>
      <c r="I150" s="1"/>
      <c r="J150" s="5"/>
      <c r="K150" s="1"/>
      <c r="L150" s="1"/>
      <c r="M150" s="1"/>
      <c r="N150" s="5"/>
      <c r="O150" s="36"/>
      <c r="P150" s="1"/>
      <c r="Q150" s="1"/>
      <c r="R150" s="5"/>
      <c r="S150" s="1"/>
      <c r="T150" s="1"/>
      <c r="U150" s="1"/>
      <c r="V150" s="5"/>
      <c r="W150" s="1"/>
      <c r="X150" s="1"/>
      <c r="Y150" s="1"/>
      <c r="Z150" s="5"/>
    </row>
    <row r="151" spans="1:26" s="23" customFormat="1" collapsed="1" x14ac:dyDescent="0.3">
      <c r="A151" s="10"/>
      <c r="B151" s="25" t="s">
        <v>293</v>
      </c>
      <c r="C151" s="10"/>
      <c r="D151" s="4">
        <f>SUM(OSRRefD25x_0)</f>
        <v>45989.700000000004</v>
      </c>
      <c r="E151" s="4"/>
      <c r="F151" s="12">
        <f t="shared" ref="F151:F156" si="126">IF(D$12=0,0,D151/D$12)</f>
        <v>6.0481913402985955E-2</v>
      </c>
      <c r="G151" s="4"/>
      <c r="H151" s="4">
        <f>SUM(OSRRefH25x_0)</f>
        <v>27724.33</v>
      </c>
      <c r="I151" s="4"/>
      <c r="J151" s="12">
        <f t="shared" ref="J151:J156" si="127">IF(H$12=0,0,H151/H$12)</f>
        <v>1.3659593232364042E-2</v>
      </c>
      <c r="K151" s="4"/>
      <c r="L151" s="4">
        <f t="shared" ref="L151:L156" si="128">+D151-H151</f>
        <v>18265.370000000003</v>
      </c>
      <c r="M151" s="4"/>
      <c r="N151" s="12">
        <f t="shared" ref="N151:N156" si="129">IF(H151=0,0,L151/H151)</f>
        <v>0.65882097060596245</v>
      </c>
      <c r="O151" s="10"/>
      <c r="P151" s="4">
        <f>SUM(OSRRefP25x_0)</f>
        <v>515898.42</v>
      </c>
      <c r="Q151" s="4"/>
      <c r="R151" s="12">
        <f t="shared" ref="R151:R156" si="130">IF(P$12=0,0,P151/P$12)</f>
        <v>0.11469696761587567</v>
      </c>
      <c r="S151" s="4"/>
      <c r="T151" s="4">
        <f>SUM(OSRRefT25x_0)</f>
        <v>429977.82999999996</v>
      </c>
      <c r="U151" s="4"/>
      <c r="V151" s="12">
        <f t="shared" ref="V151:V156" si="131">IF(T$12=0,0,T151/T$12)</f>
        <v>6.0247066342025653E-2</v>
      </c>
      <c r="W151" s="4"/>
      <c r="X151" s="4">
        <f t="shared" ref="X151:X156" si="132">+P151-T151</f>
        <v>85920.590000000026</v>
      </c>
      <c r="Y151" s="4"/>
      <c r="Z151" s="12">
        <f t="shared" ref="Z151:Z156" si="133">IF(T151=0,0,X151/T151)</f>
        <v>0.19982562821901778</v>
      </c>
    </row>
    <row r="152" spans="1:26" s="24" customFormat="1" hidden="1" outlineLevel="1" x14ac:dyDescent="0.3">
      <c r="A152" s="44"/>
      <c r="B152" s="11" t="str">
        <f>CONCATENATE("          ", "9150", " - ", "MISC. INCOME")</f>
        <v xml:space="preserve">          9150 - MISC. INCOME</v>
      </c>
      <c r="C152" s="11"/>
      <c r="D152" s="2">
        <f>--35637.01</f>
        <v>35637.01</v>
      </c>
      <c r="E152" s="2"/>
      <c r="F152" s="19">
        <f t="shared" si="126"/>
        <v>4.6866897430540851E-2</v>
      </c>
      <c r="G152" s="2"/>
      <c r="H152" s="2">
        <v>25659</v>
      </c>
      <c r="I152" s="2"/>
      <c r="J152" s="19">
        <f t="shared" si="127"/>
        <v>1.2642018860301725E-2</v>
      </c>
      <c r="K152" s="2"/>
      <c r="L152" s="2">
        <f t="shared" si="128"/>
        <v>9978.010000000002</v>
      </c>
      <c r="M152" s="2"/>
      <c r="N152" s="19">
        <f t="shared" si="129"/>
        <v>0.38886979227561486</v>
      </c>
      <c r="O152" s="11"/>
      <c r="P152" s="2">
        <f>--261207.07</f>
        <v>261207.07</v>
      </c>
      <c r="Q152" s="2"/>
      <c r="R152" s="19">
        <f t="shared" si="130"/>
        <v>5.8072786593972844E-2</v>
      </c>
      <c r="S152" s="2"/>
      <c r="T152" s="2">
        <v>121599</v>
      </c>
      <c r="U152" s="2"/>
      <c r="V152" s="19">
        <f t="shared" si="131"/>
        <v>1.7038048264311621E-2</v>
      </c>
      <c r="W152" s="2"/>
      <c r="X152" s="2">
        <f t="shared" si="132"/>
        <v>139608.07</v>
      </c>
      <c r="Y152" s="2"/>
      <c r="Z152" s="19">
        <f t="shared" si="133"/>
        <v>1.14810212255035</v>
      </c>
    </row>
    <row r="153" spans="1:26" s="24" customFormat="1" hidden="1" outlineLevel="1" x14ac:dyDescent="0.3">
      <c r="A153" s="44"/>
      <c r="B153" s="11" t="str">
        <f>CONCATENATE("          ", "9151", " - ", "MISC. INCOME")</f>
        <v xml:space="preserve">          9151 - MISC. INCOME</v>
      </c>
      <c r="C153" s="11"/>
      <c r="D153" s="2">
        <f>--2958.75</f>
        <v>2958.75</v>
      </c>
      <c r="E153" s="2"/>
      <c r="F153" s="19">
        <f t="shared" si="126"/>
        <v>3.8911073845031537E-3</v>
      </c>
      <c r="G153" s="2"/>
      <c r="H153" s="2">
        <v>2065.33</v>
      </c>
      <c r="I153" s="2"/>
      <c r="J153" s="19">
        <f t="shared" si="127"/>
        <v>1.0175743720623159E-3</v>
      </c>
      <c r="K153" s="2"/>
      <c r="L153" s="2">
        <f t="shared" si="128"/>
        <v>893.42000000000007</v>
      </c>
      <c r="M153" s="2"/>
      <c r="N153" s="19">
        <f t="shared" si="129"/>
        <v>0.43257978143928577</v>
      </c>
      <c r="O153" s="11"/>
      <c r="P153" s="2">
        <f>--171422.11</f>
        <v>171422.11</v>
      </c>
      <c r="Q153" s="2"/>
      <c r="R153" s="19">
        <f t="shared" si="130"/>
        <v>3.8111371225589483E-2</v>
      </c>
      <c r="S153" s="2"/>
      <c r="T153" s="2">
        <v>250045.83</v>
      </c>
      <c r="U153" s="2"/>
      <c r="V153" s="19">
        <f t="shared" si="131"/>
        <v>3.5035591738664454E-2</v>
      </c>
      <c r="W153" s="2"/>
      <c r="X153" s="2">
        <f t="shared" si="132"/>
        <v>-78623.72</v>
      </c>
      <c r="Y153" s="2"/>
      <c r="Z153" s="19">
        <f t="shared" si="133"/>
        <v>-0.31443723736564616</v>
      </c>
    </row>
    <row r="154" spans="1:26" s="24" customFormat="1" hidden="1" outlineLevel="1" x14ac:dyDescent="0.3">
      <c r="A154" s="44"/>
      <c r="B154" s="11" t="str">
        <f>CONCATENATE("          ", "9152", " - ", "MISC. INCOME")</f>
        <v xml:space="preserve">          9152 - MISC. INCOME</v>
      </c>
      <c r="C154" s="11"/>
      <c r="D154" s="2">
        <f>--366.44</f>
        <v>366.44</v>
      </c>
      <c r="E154" s="2"/>
      <c r="F154" s="19">
        <f t="shared" si="126"/>
        <v>4.819120878672871E-4</v>
      </c>
      <c r="G154" s="2"/>
      <c r="H154" s="2"/>
      <c r="I154" s="2"/>
      <c r="J154" s="19">
        <f t="shared" si="127"/>
        <v>0</v>
      </c>
      <c r="K154" s="2"/>
      <c r="L154" s="2">
        <f t="shared" si="128"/>
        <v>366.44</v>
      </c>
      <c r="M154" s="2"/>
      <c r="N154" s="19">
        <f t="shared" si="129"/>
        <v>0</v>
      </c>
      <c r="O154" s="11"/>
      <c r="P154" s="2">
        <f>--3493.54</f>
        <v>3493.54</v>
      </c>
      <c r="Q154" s="2"/>
      <c r="R154" s="19">
        <f t="shared" si="130"/>
        <v>7.7670027414460064E-4</v>
      </c>
      <c r="S154" s="2"/>
      <c r="T154" s="2"/>
      <c r="U154" s="2"/>
      <c r="V154" s="19">
        <f t="shared" si="131"/>
        <v>0</v>
      </c>
      <c r="W154" s="2"/>
      <c r="X154" s="2">
        <f t="shared" si="132"/>
        <v>3493.54</v>
      </c>
      <c r="Y154" s="2"/>
      <c r="Z154" s="19">
        <f t="shared" si="133"/>
        <v>0</v>
      </c>
    </row>
    <row r="155" spans="1:26" s="24" customFormat="1" hidden="1" outlineLevel="1" x14ac:dyDescent="0.3">
      <c r="A155" s="44"/>
      <c r="B155" s="11" t="str">
        <f>CONCATENATE("          ", "9160", " - ", "MISC. INCOME")</f>
        <v xml:space="preserve">          9160 - MISC. INCOME</v>
      </c>
      <c r="C155" s="11"/>
      <c r="D155" s="2">
        <f>0</f>
        <v>0</v>
      </c>
      <c r="E155" s="2"/>
      <c r="F155" s="19">
        <f t="shared" si="126"/>
        <v>0</v>
      </c>
      <c r="G155" s="2"/>
      <c r="H155" s="2">
        <v>0</v>
      </c>
      <c r="I155" s="2"/>
      <c r="J155" s="19">
        <f t="shared" si="127"/>
        <v>0</v>
      </c>
      <c r="K155" s="2"/>
      <c r="L155" s="2">
        <f t="shared" si="128"/>
        <v>0</v>
      </c>
      <c r="M155" s="2"/>
      <c r="N155" s="19">
        <f t="shared" si="129"/>
        <v>0</v>
      </c>
      <c r="O155" s="11"/>
      <c r="P155" s="2">
        <f>0</f>
        <v>0</v>
      </c>
      <c r="Q155" s="2"/>
      <c r="R155" s="19">
        <f t="shared" si="130"/>
        <v>0</v>
      </c>
      <c r="S155" s="2"/>
      <c r="T155" s="2">
        <v>58333</v>
      </c>
      <c r="U155" s="2"/>
      <c r="V155" s="19">
        <f t="shared" si="131"/>
        <v>8.1734263390495793E-3</v>
      </c>
      <c r="W155" s="2"/>
      <c r="X155" s="2">
        <f t="shared" si="132"/>
        <v>-58333</v>
      </c>
      <c r="Y155" s="2"/>
      <c r="Z155" s="19">
        <f t="shared" si="133"/>
        <v>-1</v>
      </c>
    </row>
    <row r="156" spans="1:26" s="24" customFormat="1" hidden="1" outlineLevel="1" x14ac:dyDescent="0.3">
      <c r="A156" s="44"/>
      <c r="B156" s="11" t="str">
        <f>CONCATENATE("          ", "9163", " - ", "MISC. INCOME")</f>
        <v xml:space="preserve">          9163 - MISC. INCOME</v>
      </c>
      <c r="C156" s="11"/>
      <c r="D156" s="2">
        <f>--7027.5</f>
        <v>7027.5</v>
      </c>
      <c r="E156" s="2"/>
      <c r="F156" s="19">
        <f t="shared" si="126"/>
        <v>9.2419965000746646E-3</v>
      </c>
      <c r="G156" s="2"/>
      <c r="H156" s="2"/>
      <c r="I156" s="2"/>
      <c r="J156" s="19">
        <f t="shared" si="127"/>
        <v>0</v>
      </c>
      <c r="K156" s="2"/>
      <c r="L156" s="2">
        <f t="shared" si="128"/>
        <v>7027.5</v>
      </c>
      <c r="M156" s="2"/>
      <c r="N156" s="19">
        <f t="shared" si="129"/>
        <v>0</v>
      </c>
      <c r="O156" s="11"/>
      <c r="P156" s="2">
        <f>--79775.7</f>
        <v>79775.7</v>
      </c>
      <c r="Q156" s="2"/>
      <c r="R156" s="19">
        <f t="shared" si="130"/>
        <v>1.7736109522168749E-2</v>
      </c>
      <c r="S156" s="2"/>
      <c r="T156" s="2"/>
      <c r="U156" s="2"/>
      <c r="V156" s="19">
        <f t="shared" si="131"/>
        <v>0</v>
      </c>
      <c r="W156" s="2"/>
      <c r="X156" s="2">
        <f t="shared" si="132"/>
        <v>79775.7</v>
      </c>
      <c r="Y156" s="2"/>
      <c r="Z156" s="19">
        <f t="shared" si="133"/>
        <v>0</v>
      </c>
    </row>
    <row r="157" spans="1:26" x14ac:dyDescent="0.3">
      <c r="A157" s="9"/>
      <c r="B157" s="10"/>
      <c r="C157" s="10"/>
      <c r="D157" s="3"/>
      <c r="E157" s="3"/>
      <c r="F157" s="8"/>
      <c r="G157" s="3"/>
      <c r="H157" s="3"/>
      <c r="I157" s="3"/>
      <c r="J157" s="8"/>
      <c r="K157" s="3"/>
      <c r="L157" s="3"/>
      <c r="M157" s="3"/>
      <c r="N157" s="8"/>
      <c r="O157" s="10"/>
      <c r="P157" s="3"/>
      <c r="Q157" s="3"/>
      <c r="R157" s="8"/>
      <c r="S157" s="3"/>
      <c r="T157" s="3"/>
      <c r="U157" s="3"/>
      <c r="V157" s="8"/>
      <c r="W157" s="3"/>
      <c r="X157" s="3"/>
      <c r="Y157" s="3"/>
      <c r="Z157" s="8"/>
    </row>
    <row r="158" spans="1:26" s="23" customFormat="1" x14ac:dyDescent="0.3">
      <c r="A158" s="10"/>
      <c r="B158" s="26" t="s">
        <v>277</v>
      </c>
      <c r="C158" s="26"/>
      <c r="D158" s="21">
        <f>+D54-D56+D151</f>
        <v>-40332.809999999656</v>
      </c>
      <c r="E158" s="13"/>
      <c r="F158" s="22">
        <f>IF(D$12=0,0,D158/D$12)</f>
        <v>-5.3042431712297861E-2</v>
      </c>
      <c r="G158" s="13"/>
      <c r="H158" s="21">
        <f>+H54-H56+H151</f>
        <v>255639.85907610902</v>
      </c>
      <c r="I158" s="13"/>
      <c r="J158" s="22">
        <f>IF(H$12=0,0,H158/H$12)</f>
        <v>0.12595206048111951</v>
      </c>
      <c r="K158" s="15"/>
      <c r="L158" s="21">
        <f>+D158-H158</f>
        <v>-295972.66907610866</v>
      </c>
      <c r="M158" s="15"/>
      <c r="N158" s="22">
        <f>IF(H158=0,0,L158/H158)</f>
        <v>-1.1577719927782928</v>
      </c>
      <c r="O158" s="25"/>
      <c r="P158" s="21">
        <f>+P54-P56+P151</f>
        <v>-76795.56</v>
      </c>
      <c r="Q158" s="13"/>
      <c r="R158" s="22">
        <f>IF(P$12=0,0,P158/P$12)</f>
        <v>-1.7073550755133223E-2</v>
      </c>
      <c r="S158" s="13"/>
      <c r="T158" s="21">
        <f>+T54-T56+T151</f>
        <v>363247.12209598243</v>
      </c>
      <c r="U158" s="13"/>
      <c r="V158" s="22">
        <f>IF(T$12=0,0,T158/T$12)</f>
        <v>5.0896981045433311E-2</v>
      </c>
      <c r="W158" s="15"/>
      <c r="X158" s="21">
        <f>+P158-T158</f>
        <v>-440042.68209598243</v>
      </c>
      <c r="Y158" s="15"/>
      <c r="Z158" s="22">
        <f>IF(T158=0,0,X158/T158)</f>
        <v>-1.2114140906523354</v>
      </c>
    </row>
    <row r="159" spans="1:26" x14ac:dyDescent="0.3">
      <c r="A159" s="9"/>
      <c r="B159" s="10"/>
      <c r="C159" s="9"/>
      <c r="D159" s="3"/>
      <c r="E159" s="3"/>
      <c r="F159" s="8"/>
      <c r="G159" s="3"/>
      <c r="H159" s="3"/>
      <c r="I159" s="3"/>
      <c r="J159" s="8"/>
      <c r="K159" s="3"/>
      <c r="L159" s="3"/>
      <c r="M159" s="3"/>
      <c r="N159" s="8"/>
      <c r="P159" s="3"/>
      <c r="Q159" s="3"/>
      <c r="R159" s="8"/>
      <c r="S159" s="3"/>
      <c r="T159" s="3"/>
      <c r="U159" s="3"/>
      <c r="V159" s="8"/>
      <c r="W159" s="3"/>
      <c r="X159" s="3"/>
      <c r="Y159" s="3"/>
      <c r="Z159" s="8"/>
    </row>
    <row r="160" spans="1:26" s="23" customFormat="1" x14ac:dyDescent="0.3">
      <c r="A160" s="52"/>
      <c r="B160" s="10" t="s">
        <v>128</v>
      </c>
      <c r="C160" s="10"/>
      <c r="D160" s="4">
        <v>145488.21</v>
      </c>
      <c r="E160" s="4"/>
      <c r="F160" s="12">
        <f>IF(D$12=0,0,D160/D$12)</f>
        <v>0.19133426220165459</v>
      </c>
      <c r="G160" s="4"/>
      <c r="H160" s="4">
        <v>232987</v>
      </c>
      <c r="I160" s="4"/>
      <c r="J160" s="12">
        <f>IF(H$12=0,0,H160/H$12)</f>
        <v>0.11479114728575229</v>
      </c>
      <c r="K160" s="4"/>
      <c r="L160" s="4">
        <f>+D160-H160</f>
        <v>-87498.790000000008</v>
      </c>
      <c r="M160" s="4"/>
      <c r="N160" s="12">
        <f>IF(H160=0,0,L160/H160)</f>
        <v>-0.37555224111216506</v>
      </c>
      <c r="O160" s="10"/>
      <c r="P160" s="4">
        <v>595378.65</v>
      </c>
      <c r="Q160" s="4"/>
      <c r="R160" s="12">
        <f>IF(P$12=0,0,P160/P$12)</f>
        <v>0.13236738685540805</v>
      </c>
      <c r="S160" s="4"/>
      <c r="T160" s="4">
        <v>894229</v>
      </c>
      <c r="U160" s="4"/>
      <c r="V160" s="12">
        <f>IF(T$12=0,0,T160/T$12)</f>
        <v>0.1252963993235727</v>
      </c>
      <c r="W160" s="4"/>
      <c r="X160" s="4">
        <f>+P160-T160</f>
        <v>-298850.34999999998</v>
      </c>
      <c r="Y160" s="4"/>
      <c r="Z160" s="12">
        <f>IF(T160=0,0,X160/T160)</f>
        <v>-0.33419890207094599</v>
      </c>
    </row>
    <row r="161" spans="1:26" x14ac:dyDescent="0.3">
      <c r="A161" s="9"/>
      <c r="B161" s="10"/>
      <c r="C161" s="10"/>
      <c r="D161" s="3"/>
      <c r="E161" s="3"/>
      <c r="F161" s="8"/>
      <c r="G161" s="3"/>
      <c r="H161" s="3"/>
      <c r="I161" s="3"/>
      <c r="J161" s="8"/>
      <c r="K161" s="3"/>
      <c r="L161" s="3"/>
      <c r="M161" s="3"/>
      <c r="N161" s="8"/>
      <c r="O161" s="10"/>
      <c r="P161" s="3"/>
      <c r="Q161" s="3"/>
      <c r="R161" s="8"/>
      <c r="S161" s="3"/>
      <c r="T161" s="3"/>
      <c r="U161" s="3"/>
      <c r="V161" s="8"/>
      <c r="W161" s="3"/>
      <c r="X161" s="3"/>
      <c r="Y161" s="3"/>
      <c r="Z161" s="8"/>
    </row>
    <row r="162" spans="1:26" s="23" customFormat="1" ht="15" thickBot="1" x14ac:dyDescent="0.35">
      <c r="A162" s="10"/>
      <c r="B162" s="26" t="s">
        <v>126</v>
      </c>
      <c r="C162" s="26"/>
      <c r="D162" s="32">
        <f>+D158-D160</f>
        <v>-185821.01999999964</v>
      </c>
      <c r="E162" s="13"/>
      <c r="F162" s="31">
        <f>IF(D$12=0,0,D162/D$12)</f>
        <v>-0.24437669391395245</v>
      </c>
      <c r="G162" s="13"/>
      <c r="H162" s="32">
        <f>+H158-H160</f>
        <v>22652.859076109016</v>
      </c>
      <c r="I162" s="13"/>
      <c r="J162" s="31">
        <f>IF(H$12=0,0,H162/H$12)</f>
        <v>1.1160913195367212E-2</v>
      </c>
      <c r="K162" s="15"/>
      <c r="L162" s="32">
        <f>D162-H162</f>
        <v>-208473.87907610866</v>
      </c>
      <c r="M162" s="15"/>
      <c r="N162" s="31">
        <f>IF(H162=0,0,L162/H162)</f>
        <v>-9.2029830925835299</v>
      </c>
      <c r="O162" s="25"/>
      <c r="P162" s="32">
        <f>+P158-P160</f>
        <v>-672174.21</v>
      </c>
      <c r="Q162" s="13"/>
      <c r="R162" s="31">
        <f>IF(P$12=0,0,P162/P$12)</f>
        <v>-0.14944093761054125</v>
      </c>
      <c r="S162" s="13"/>
      <c r="T162" s="32">
        <f>+T158-T160</f>
        <v>-530981.87790401757</v>
      </c>
      <c r="U162" s="13"/>
      <c r="V162" s="31">
        <f>IF(T$12=0,0,T162/T$12)</f>
        <v>-7.4399418278139395E-2</v>
      </c>
      <c r="W162" s="15"/>
      <c r="X162" s="32">
        <f>P162-T162</f>
        <v>-141192.33209598239</v>
      </c>
      <c r="Y162" s="15"/>
      <c r="Z162" s="31">
        <f>IF(T162=0,0,X162/T162)</f>
        <v>0.26590800547340881</v>
      </c>
    </row>
    <row r="163" spans="1:26" ht="15" thickTop="1" x14ac:dyDescent="0.3">
      <c r="A163" s="9"/>
      <c r="B163" s="9"/>
      <c r="C163" s="9"/>
      <c r="D163" s="3"/>
      <c r="E163" s="3"/>
      <c r="F163" s="8"/>
      <c r="G163" s="3"/>
      <c r="H163" s="3"/>
      <c r="I163" s="3"/>
      <c r="J163" s="8"/>
      <c r="K163" s="3"/>
      <c r="L163" s="3"/>
      <c r="M163" s="3"/>
      <c r="N163" s="8"/>
      <c r="P163" s="3"/>
      <c r="Q163" s="3"/>
      <c r="R163" s="8"/>
      <c r="S163" s="3"/>
      <c r="T163" s="3"/>
      <c r="U163" s="3"/>
      <c r="V163" s="8"/>
      <c r="W163" s="3"/>
      <c r="X163" s="3"/>
      <c r="Y163" s="3"/>
      <c r="Z163" s="8"/>
    </row>
    <row r="164" spans="1:26" x14ac:dyDescent="0.3">
      <c r="A164" s="9"/>
      <c r="B164" s="9"/>
      <c r="C164" s="9"/>
      <c r="D164" s="3"/>
      <c r="E164" s="3"/>
      <c r="F164" s="8"/>
      <c r="G164" s="3"/>
      <c r="H164" s="3"/>
      <c r="I164" s="3"/>
      <c r="J164" s="8"/>
      <c r="K164" s="3"/>
      <c r="L164" s="3"/>
      <c r="M164" s="3"/>
      <c r="N164" s="8"/>
      <c r="P164" s="3"/>
      <c r="Q164" s="3"/>
      <c r="R164" s="8"/>
      <c r="S164" s="3"/>
      <c r="T164" s="3"/>
      <c r="U164" s="3"/>
      <c r="V164" s="8"/>
      <c r="W164" s="3"/>
      <c r="X164" s="3"/>
      <c r="Y164" s="3"/>
      <c r="Z164" s="8"/>
    </row>
    <row r="165" spans="1:26" s="23" customFormat="1" ht="15" thickBot="1" x14ac:dyDescent="0.35">
      <c r="A165" s="10"/>
      <c r="B165" s="26" t="s">
        <v>294</v>
      </c>
      <c r="C165" s="26"/>
      <c r="D165" s="34">
        <f>SUM(D162:D164)</f>
        <v>-185821.01999999964</v>
      </c>
      <c r="E165" s="13"/>
      <c r="F165" s="35">
        <f>IF(D$12=0,0,D165/D$12)</f>
        <v>-0.24437669391395245</v>
      </c>
      <c r="G165" s="13"/>
      <c r="H165" s="34">
        <f>SUM(H162:H164)</f>
        <v>22652.859076109016</v>
      </c>
      <c r="I165" s="13"/>
      <c r="J165" s="35">
        <f>IF(H$12=0,0,H165/H$12)</f>
        <v>1.1160913195367212E-2</v>
      </c>
      <c r="K165" s="15"/>
      <c r="L165" s="34">
        <f>+D165-H165</f>
        <v>-208473.87907610866</v>
      </c>
      <c r="M165" s="15"/>
      <c r="N165" s="35">
        <f>IF(H165=0,0,L165/H165)</f>
        <v>-9.2029830925835299</v>
      </c>
      <c r="O165" s="25"/>
      <c r="P165" s="34">
        <f>SUM(P162:P164)</f>
        <v>-672174.21</v>
      </c>
      <c r="Q165" s="13"/>
      <c r="R165" s="35">
        <f>IF(P$12=0,0,P165/P$12)</f>
        <v>-0.14944093761054125</v>
      </c>
      <c r="S165" s="13"/>
      <c r="T165" s="34">
        <f>SUM(T162:T164)</f>
        <v>-530981.87790401757</v>
      </c>
      <c r="U165" s="13"/>
      <c r="V165" s="35">
        <f>IF(T$12=0,0,T165/T$12)</f>
        <v>-7.4399418278139395E-2</v>
      </c>
      <c r="W165" s="15"/>
      <c r="X165" s="34">
        <f>+P165-T165</f>
        <v>-141192.33209598239</v>
      </c>
      <c r="Y165" s="15"/>
      <c r="Z165" s="35">
        <f>IF(T165=0,0,X165/T165)</f>
        <v>0.26590800547340881</v>
      </c>
    </row>
    <row r="166" spans="1:26" ht="15" thickTop="1" x14ac:dyDescent="0.3">
      <c r="A166" s="9"/>
      <c r="C166" s="9"/>
      <c r="D166" s="17"/>
      <c r="E166" s="17"/>
      <c r="G166" s="17"/>
      <c r="H166" s="17"/>
      <c r="I166" s="17"/>
      <c r="J166" s="43"/>
      <c r="K166" s="17"/>
      <c r="L166" s="17"/>
      <c r="M166" s="17"/>
      <c r="P166" s="17"/>
      <c r="Q166" s="17"/>
      <c r="R166" s="43"/>
      <c r="S166" s="17"/>
      <c r="T166" s="17"/>
      <c r="U166" s="17"/>
      <c r="V166" s="43"/>
      <c r="W166" s="17"/>
      <c r="X166" s="17"/>
    </row>
    <row r="167" spans="1:26" x14ac:dyDescent="0.3">
      <c r="A167" s="9"/>
      <c r="B167" s="53">
        <v>44604.019978553239</v>
      </c>
      <c r="D167" s="17"/>
      <c r="E167" s="17"/>
      <c r="G167" s="17"/>
      <c r="H167" s="17"/>
      <c r="I167" s="17"/>
      <c r="J167" s="43"/>
      <c r="K167" s="17"/>
      <c r="L167" s="17"/>
      <c r="M167" s="17"/>
      <c r="P167" s="17"/>
      <c r="Q167" s="17"/>
      <c r="R167" s="43"/>
      <c r="S167" s="17"/>
      <c r="T167" s="17"/>
      <c r="U167" s="17"/>
      <c r="V167" s="43"/>
      <c r="W167" s="17"/>
      <c r="X167" s="17"/>
    </row>
    <row r="168" spans="1:26" x14ac:dyDescent="0.3">
      <c r="A168" s="9"/>
      <c r="B168" s="63" t="s">
        <v>56</v>
      </c>
      <c r="D168" s="17"/>
      <c r="E168" s="17"/>
      <c r="G168" s="17"/>
      <c r="H168" s="17"/>
      <c r="I168" s="17"/>
      <c r="J168" s="43"/>
      <c r="K168" s="17"/>
      <c r="L168" s="17"/>
      <c r="M168" s="17"/>
      <c r="P168" s="17"/>
      <c r="Q168" s="17"/>
      <c r="R168" s="43"/>
      <c r="S168" s="17"/>
      <c r="T168" s="17"/>
      <c r="U168" s="17"/>
      <c r="V168" s="43"/>
      <c r="W168" s="17"/>
      <c r="X168" s="17"/>
    </row>
    <row r="169" spans="1:26" x14ac:dyDescent="0.3">
      <c r="A169" s="9"/>
      <c r="B169" s="58"/>
      <c r="D169" s="17"/>
      <c r="E169" s="17"/>
      <c r="G169" s="17"/>
      <c r="H169" s="17"/>
      <c r="I169" s="17"/>
      <c r="J169" s="43"/>
      <c r="K169" s="17"/>
      <c r="L169" s="17"/>
      <c r="M169" s="17"/>
      <c r="P169" s="17"/>
      <c r="Q169" s="17"/>
      <c r="R169" s="43"/>
      <c r="S169" s="17"/>
      <c r="T169" s="17"/>
      <c r="U169" s="17"/>
      <c r="V169" s="43"/>
      <c r="W169" s="17"/>
      <c r="X169" s="17"/>
    </row>
    <row r="170" spans="1:26" x14ac:dyDescent="0.3">
      <c r="D170" s="17"/>
      <c r="E170" s="17"/>
      <c r="G170" s="17"/>
      <c r="H170" s="17"/>
      <c r="I170" s="17"/>
      <c r="J170" s="43"/>
      <c r="K170" s="17"/>
      <c r="L170" s="17"/>
      <c r="M170" s="17"/>
      <c r="P170" s="17"/>
      <c r="Q170" s="17"/>
      <c r="R170" s="43"/>
      <c r="S170" s="17"/>
      <c r="T170" s="17"/>
      <c r="U170" s="17"/>
      <c r="V170" s="43"/>
      <c r="W170" s="17"/>
      <c r="X170" s="17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outlinePr summaryBelow="0" summaryRight="0"/>
  </sheetPr>
  <dimension ref="A2:Z16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256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755554.19000000006</v>
      </c>
      <c r="E12" s="4"/>
      <c r="F12" s="12"/>
      <c r="G12" s="4"/>
      <c r="H12" s="4">
        <f>SUM(OSRRefH13x_0)</f>
        <v>1994234</v>
      </c>
      <c r="I12" s="4"/>
      <c r="J12" s="12"/>
      <c r="K12" s="4"/>
      <c r="L12" s="4">
        <f t="shared" ref="L12:L19" si="0">+D12-H12</f>
        <v>-1238679.81</v>
      </c>
      <c r="M12" s="4"/>
      <c r="N12" s="12">
        <f t="shared" ref="N12:N19" si="1">IF(H12=0,0,L12/H12)</f>
        <v>-0.62113062459069501</v>
      </c>
      <c r="O12" s="10"/>
      <c r="P12" s="4">
        <f>SUM(OSRRefP13x_0)</f>
        <v>4416684.5799999991</v>
      </c>
      <c r="Q12" s="4"/>
      <c r="R12" s="12"/>
      <c r="S12" s="4"/>
      <c r="T12" s="4">
        <f>SUM(OSRRefT13x_0)</f>
        <v>6947910</v>
      </c>
      <c r="U12" s="4"/>
      <c r="V12" s="12"/>
      <c r="W12" s="4"/>
      <c r="X12" s="4">
        <f t="shared" ref="X12:X19" si="2">+P12-T12</f>
        <v>-2531225.4200000009</v>
      </c>
      <c r="Y12" s="4"/>
      <c r="Z12" s="12">
        <f t="shared" ref="Z12:Z19" si="3">IF(T12=0,0,X12/T12)</f>
        <v>-0.3643146528956191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--657935.63</f>
        <v>657935.63</v>
      </c>
      <c r="E13" s="2"/>
      <c r="F13" s="19"/>
      <c r="G13" s="2"/>
      <c r="H13" s="2">
        <v>1967158</v>
      </c>
      <c r="I13" s="2"/>
      <c r="J13" s="19"/>
      <c r="K13" s="2"/>
      <c r="L13" s="2">
        <f t="shared" si="0"/>
        <v>-1309222.3700000001</v>
      </c>
      <c r="M13" s="2"/>
      <c r="N13" s="19">
        <f t="shared" si="1"/>
        <v>-0.665540017629494</v>
      </c>
      <c r="O13" s="11"/>
      <c r="P13" s="2">
        <f>--3770691.34</f>
        <v>3770691.34</v>
      </c>
      <c r="Q13" s="2"/>
      <c r="R13" s="19"/>
      <c r="S13" s="2"/>
      <c r="T13" s="2">
        <v>6764238</v>
      </c>
      <c r="U13" s="2"/>
      <c r="V13" s="19"/>
      <c r="W13" s="2"/>
      <c r="X13" s="2">
        <f t="shared" si="2"/>
        <v>-2993546.66</v>
      </c>
      <c r="Y13" s="2"/>
      <c r="Z13" s="19">
        <f t="shared" si="3"/>
        <v>-0.44255489827531203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--130571.36</f>
        <v>130571.36</v>
      </c>
      <c r="E14" s="2"/>
      <c r="F14" s="19"/>
      <c r="G14" s="2"/>
      <c r="H14" s="2">
        <v>27076</v>
      </c>
      <c r="I14" s="2"/>
      <c r="J14" s="19"/>
      <c r="K14" s="2"/>
      <c r="L14" s="2">
        <f t="shared" si="0"/>
        <v>103495.36</v>
      </c>
      <c r="M14" s="2"/>
      <c r="N14" s="19">
        <f t="shared" si="1"/>
        <v>3.8224021273452506</v>
      </c>
      <c r="O14" s="11"/>
      <c r="P14" s="2">
        <f>--857550.3</f>
        <v>857550.3</v>
      </c>
      <c r="Q14" s="2"/>
      <c r="R14" s="19"/>
      <c r="S14" s="2"/>
      <c r="T14" s="2">
        <v>183672</v>
      </c>
      <c r="U14" s="2"/>
      <c r="V14" s="19"/>
      <c r="W14" s="2"/>
      <c r="X14" s="2">
        <f t="shared" si="2"/>
        <v>673878.3</v>
      </c>
      <c r="Y14" s="2"/>
      <c r="Z14" s="19">
        <f t="shared" si="3"/>
        <v>3.6689223180452113</v>
      </c>
    </row>
    <row r="15" spans="1:26" s="24" customFormat="1" hidden="1" outlineLevel="1" x14ac:dyDescent="0.3">
      <c r="A15" s="44"/>
      <c r="B15" s="11" t="str">
        <f>CONCATENATE("          ", "4141", " - ", "NON-TAXABLE SALES-LOGO GIFTS")</f>
        <v xml:space="preserve">          4141 - NON-TAXABLE SALES-LOGO GIFTS</v>
      </c>
      <c r="C15" s="11"/>
      <c r="D15" s="2">
        <f t="shared" ref="D15:D16" si="4"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ref="P15:P16" si="5">0</f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"4146", " - ", "NON-TAXABLE SALES-COIN OP MACH")</f>
        <v xml:space="preserve">          4146 - NON-TAXABLE SALES-COIN OP MACH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/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"4200", " - ", "TAXABLE RETURNS")</f>
        <v xml:space="preserve">          4200 - TAXABLE RETURNS</v>
      </c>
      <c r="C17" s="11"/>
      <c r="D17" s="2">
        <f>-25690.22</f>
        <v>-25690.22</v>
      </c>
      <c r="E17" s="2"/>
      <c r="F17" s="19"/>
      <c r="G17" s="2"/>
      <c r="H17" s="2"/>
      <c r="I17" s="2"/>
      <c r="J17" s="19"/>
      <c r="K17" s="2"/>
      <c r="L17" s="2">
        <f t="shared" si="0"/>
        <v>-25690.22</v>
      </c>
      <c r="M17" s="2"/>
      <c r="N17" s="19">
        <f t="shared" si="1"/>
        <v>0</v>
      </c>
      <c r="O17" s="11"/>
      <c r="P17" s="2">
        <f>-113109.03</f>
        <v>-113109.03</v>
      </c>
      <c r="Q17" s="2"/>
      <c r="R17" s="19"/>
      <c r="S17" s="2"/>
      <c r="T17" s="2"/>
      <c r="U17" s="2"/>
      <c r="V17" s="19"/>
      <c r="W17" s="2"/>
      <c r="X17" s="2">
        <f t="shared" si="2"/>
        <v>-113109.03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"4300", " - ", "NON-TAX RETURNS")</f>
        <v xml:space="preserve">          4300 - NON-TAX RETURNS</v>
      </c>
      <c r="C18" s="11"/>
      <c r="D18" s="2">
        <f>-874.74</f>
        <v>-874.74</v>
      </c>
      <c r="E18" s="2"/>
      <c r="F18" s="19"/>
      <c r="G18" s="2"/>
      <c r="H18" s="2"/>
      <c r="I18" s="2"/>
      <c r="J18" s="19"/>
      <c r="K18" s="2"/>
      <c r="L18" s="2">
        <f t="shared" si="0"/>
        <v>-874.74</v>
      </c>
      <c r="M18" s="2"/>
      <c r="N18" s="19">
        <f t="shared" si="1"/>
        <v>0</v>
      </c>
      <c r="O18" s="11"/>
      <c r="P18" s="2">
        <f>-28054.08</f>
        <v>-28054.080000000002</v>
      </c>
      <c r="Q18" s="2"/>
      <c r="R18" s="19"/>
      <c r="S18" s="2"/>
      <c r="T18" s="2"/>
      <c r="U18" s="2"/>
      <c r="V18" s="19"/>
      <c r="W18" s="2"/>
      <c r="X18" s="2">
        <f t="shared" si="2"/>
        <v>-28054.080000000002</v>
      </c>
      <c r="Y18" s="2"/>
      <c r="Z18" s="19">
        <f t="shared" si="3"/>
        <v>0</v>
      </c>
    </row>
    <row r="19" spans="1:26" s="24" customFormat="1" hidden="1" outlineLevel="1" x14ac:dyDescent="0.3">
      <c r="A19" s="44"/>
      <c r="B19" s="11" t="str">
        <f>CONCATENATE("          ", "4500", " - ", "SALES DISCOUNT")</f>
        <v xml:space="preserve">          4500 - SALES DISCOUNT</v>
      </c>
      <c r="C19" s="11"/>
      <c r="D19" s="2">
        <f>-6387.84</f>
        <v>-6387.84</v>
      </c>
      <c r="E19" s="2"/>
      <c r="F19" s="19"/>
      <c r="G19" s="2"/>
      <c r="H19" s="2"/>
      <c r="I19" s="2"/>
      <c r="J19" s="19"/>
      <c r="K19" s="2"/>
      <c r="L19" s="2">
        <f t="shared" si="0"/>
        <v>-6387.84</v>
      </c>
      <c r="M19" s="2"/>
      <c r="N19" s="19">
        <f t="shared" si="1"/>
        <v>0</v>
      </c>
      <c r="O19" s="11"/>
      <c r="P19" s="2">
        <f>-70393.95</f>
        <v>-70393.95</v>
      </c>
      <c r="Q19" s="2"/>
      <c r="R19" s="19"/>
      <c r="S19" s="2"/>
      <c r="T19" s="2"/>
      <c r="U19" s="2"/>
      <c r="V19" s="19"/>
      <c r="W19" s="2"/>
      <c r="X19" s="2">
        <f t="shared" si="2"/>
        <v>-70393.95</v>
      </c>
      <c r="Y19" s="2"/>
      <c r="Z19" s="19">
        <f t="shared" si="3"/>
        <v>0</v>
      </c>
    </row>
    <row r="20" spans="1:26" x14ac:dyDescent="0.3">
      <c r="A20" s="9"/>
      <c r="B20" s="10"/>
      <c r="C20" s="9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collapsed="1" x14ac:dyDescent="0.3">
      <c r="A21" s="10"/>
      <c r="B21" s="25" t="s">
        <v>257</v>
      </c>
      <c r="C21" s="10"/>
      <c r="D21" s="4">
        <f>SUM(OSRRefD16x_0)</f>
        <v>451554.38</v>
      </c>
      <c r="E21" s="4"/>
      <c r="F21" s="12">
        <f t="shared" ref="F21:F48" si="6">IF(D$12=0,0,D21/D$12)</f>
        <v>0.59764658309948615</v>
      </c>
      <c r="G21" s="4"/>
      <c r="H21" s="4">
        <f>SUM(OSRRefH16x_0)</f>
        <v>1312133</v>
      </c>
      <c r="I21" s="4"/>
      <c r="J21" s="12">
        <f t="shared" ref="J21:J48" si="7">IF(H$12=0,0,H21/H$12)</f>
        <v>0.65796340850672486</v>
      </c>
      <c r="K21" s="4"/>
      <c r="L21" s="4">
        <f t="shared" ref="L21:L48" si="8">+D21-H21</f>
        <v>-860578.62</v>
      </c>
      <c r="M21" s="4"/>
      <c r="N21" s="12">
        <f t="shared" ref="N21:N48" si="9">IF(H21=0,0,L21/H21)</f>
        <v>-0.65586234017435729</v>
      </c>
      <c r="O21" s="10"/>
      <c r="P21" s="4">
        <f>SUM(OSRRefP16x_0)</f>
        <v>2663476.7099999995</v>
      </c>
      <c r="Q21" s="4"/>
      <c r="R21" s="12">
        <f t="shared" ref="R21:R48" si="10">IF(P$12=0,0,P21/P$12)</f>
        <v>0.60304888469078766</v>
      </c>
      <c r="S21" s="4"/>
      <c r="T21" s="4">
        <f>SUM(OSRRefT16x_0)</f>
        <v>4407716</v>
      </c>
      <c r="U21" s="4"/>
      <c r="V21" s="12">
        <f t="shared" ref="V21:V48" si="11">IF(T$12=0,0,T21/T$12)</f>
        <v>0.6343945157608547</v>
      </c>
      <c r="W21" s="4"/>
      <c r="X21" s="4">
        <f t="shared" ref="X21:X48" si="12">+P21-T21</f>
        <v>-1744239.2900000005</v>
      </c>
      <c r="Y21" s="4"/>
      <c r="Z21" s="12">
        <f t="shared" ref="Z21:Z48" si="13">IF(T21=0,0,X21/T21)</f>
        <v>-0.39572406434534357</v>
      </c>
    </row>
    <row r="22" spans="1:26" s="24" customFormat="1" hidden="1" outlineLevel="1" x14ac:dyDescent="0.3">
      <c r="A22" s="44"/>
      <c r="B22" s="11" t="str">
        <f>CONCATENATE("          ", "5000", " - ", "PURCHASES @ COST")</f>
        <v xml:space="preserve">          5000 - PURCHASES @ COST</v>
      </c>
      <c r="C22" s="11"/>
      <c r="D22" s="2">
        <v>488333.93</v>
      </c>
      <c r="E22" s="2"/>
      <c r="F22" s="19">
        <f t="shared" si="6"/>
        <v>0.64632548725591732</v>
      </c>
      <c r="G22" s="2"/>
      <c r="H22" s="2">
        <v>1312133</v>
      </c>
      <c r="I22" s="2"/>
      <c r="J22" s="19">
        <f t="shared" si="7"/>
        <v>0.65796340850672486</v>
      </c>
      <c r="K22" s="2"/>
      <c r="L22" s="2">
        <f t="shared" si="8"/>
        <v>-823799.07000000007</v>
      </c>
      <c r="M22" s="2"/>
      <c r="N22" s="19">
        <f t="shared" si="9"/>
        <v>-0.62783198806828278</v>
      </c>
      <c r="O22" s="11"/>
      <c r="P22" s="2">
        <v>3020258.34</v>
      </c>
      <c r="Q22" s="2"/>
      <c r="R22" s="19">
        <f t="shared" si="10"/>
        <v>0.68382930347269677</v>
      </c>
      <c r="S22" s="2"/>
      <c r="T22" s="2">
        <v>4407716</v>
      </c>
      <c r="U22" s="2"/>
      <c r="V22" s="19">
        <f t="shared" si="11"/>
        <v>0.6343945157608547</v>
      </c>
      <c r="W22" s="2"/>
      <c r="X22" s="2">
        <f t="shared" si="12"/>
        <v>-1387457.6600000001</v>
      </c>
      <c r="Y22" s="2"/>
      <c r="Z22" s="19">
        <f t="shared" si="13"/>
        <v>-0.31477927797525979</v>
      </c>
    </row>
    <row r="23" spans="1:26" s="24" customFormat="1" hidden="1" outlineLevel="1" x14ac:dyDescent="0.3">
      <c r="A23" s="44"/>
      <c r="B23" s="11" t="str">
        <f>CONCATENATE("          ", "5001", " - ", "PURCHASES @ COST-NEW TEXT")</f>
        <v xml:space="preserve">          5001 - PURCHASES @ COST-NEW TEXT</v>
      </c>
      <c r="C23" s="11"/>
      <c r="D23" s="2"/>
      <c r="E23" s="2"/>
      <c r="F23" s="19">
        <f t="shared" si="6"/>
        <v>0</v>
      </c>
      <c r="G23" s="2"/>
      <c r="H23" s="2"/>
      <c r="I23" s="2"/>
      <c r="J23" s="19">
        <f t="shared" si="7"/>
        <v>0</v>
      </c>
      <c r="K23" s="2"/>
      <c r="L23" s="2">
        <f t="shared" si="8"/>
        <v>0</v>
      </c>
      <c r="M23" s="2"/>
      <c r="N23" s="19">
        <f t="shared" si="9"/>
        <v>0</v>
      </c>
      <c r="O23" s="11"/>
      <c r="P23" s="2">
        <v>0</v>
      </c>
      <c r="Q23" s="2"/>
      <c r="R23" s="19">
        <f t="shared" si="10"/>
        <v>0</v>
      </c>
      <c r="S23" s="2"/>
      <c r="T23" s="2"/>
      <c r="U23" s="2"/>
      <c r="V23" s="19">
        <f t="shared" si="11"/>
        <v>0</v>
      </c>
      <c r="W23" s="2"/>
      <c r="X23" s="2">
        <f t="shared" si="12"/>
        <v>0</v>
      </c>
      <c r="Y23" s="2"/>
      <c r="Z23" s="19">
        <f t="shared" si="13"/>
        <v>0</v>
      </c>
    </row>
    <row r="24" spans="1:26" s="24" customFormat="1" hidden="1" outlineLevel="1" x14ac:dyDescent="0.3">
      <c r="A24" s="44"/>
      <c r="B24" s="11" t="str">
        <f>CONCATENATE("          ", "5002", " - ", "PURCHASES @ COST-USED TEXT")</f>
        <v xml:space="preserve">          5002 - PURCHASES @ COST-USED TEXT</v>
      </c>
      <c r="C24" s="11"/>
      <c r="D24" s="2"/>
      <c r="E24" s="2"/>
      <c r="F24" s="19">
        <f t="shared" si="6"/>
        <v>0</v>
      </c>
      <c r="G24" s="2"/>
      <c r="H24" s="2"/>
      <c r="I24" s="2"/>
      <c r="J24" s="19">
        <f t="shared" si="7"/>
        <v>0</v>
      </c>
      <c r="K24" s="2"/>
      <c r="L24" s="2">
        <f t="shared" si="8"/>
        <v>0</v>
      </c>
      <c r="M24" s="2"/>
      <c r="N24" s="19">
        <f t="shared" si="9"/>
        <v>0</v>
      </c>
      <c r="O24" s="11"/>
      <c r="P24" s="2">
        <v>0</v>
      </c>
      <c r="Q24" s="2"/>
      <c r="R24" s="19">
        <f t="shared" si="10"/>
        <v>0</v>
      </c>
      <c r="S24" s="2"/>
      <c r="T24" s="2"/>
      <c r="U24" s="2"/>
      <c r="V24" s="19">
        <f t="shared" si="11"/>
        <v>0</v>
      </c>
      <c r="W24" s="2"/>
      <c r="X24" s="2">
        <f t="shared" si="12"/>
        <v>0</v>
      </c>
      <c r="Y24" s="2"/>
      <c r="Z24" s="19">
        <f t="shared" si="13"/>
        <v>0</v>
      </c>
    </row>
    <row r="25" spans="1:26" s="24" customFormat="1" hidden="1" outlineLevel="1" x14ac:dyDescent="0.3">
      <c r="A25" s="44"/>
      <c r="B25" s="11" t="str">
        <f>CONCATENATE("          ", "5004", " - ", "PURCHASES @ COST-DIGITAL TEXT")</f>
        <v xml:space="preserve">          5004 - PURCHASES @ COST-DIGITAL TEXT</v>
      </c>
      <c r="C25" s="11"/>
      <c r="D25" s="2"/>
      <c r="E25" s="2"/>
      <c r="F25" s="19">
        <f t="shared" si="6"/>
        <v>0</v>
      </c>
      <c r="G25" s="2"/>
      <c r="H25" s="2"/>
      <c r="I25" s="2"/>
      <c r="J25" s="19">
        <f t="shared" si="7"/>
        <v>0</v>
      </c>
      <c r="K25" s="2"/>
      <c r="L25" s="2">
        <f t="shared" si="8"/>
        <v>0</v>
      </c>
      <c r="M25" s="2"/>
      <c r="N25" s="19">
        <f t="shared" si="9"/>
        <v>0</v>
      </c>
      <c r="O25" s="11"/>
      <c r="P25" s="2">
        <v>0</v>
      </c>
      <c r="Q25" s="2"/>
      <c r="R25" s="19">
        <f t="shared" si="10"/>
        <v>0</v>
      </c>
      <c r="S25" s="2"/>
      <c r="T25" s="2"/>
      <c r="U25" s="2"/>
      <c r="V25" s="19">
        <f t="shared" si="11"/>
        <v>0</v>
      </c>
      <c r="W25" s="2"/>
      <c r="X25" s="2">
        <f t="shared" si="12"/>
        <v>0</v>
      </c>
      <c r="Y25" s="2"/>
      <c r="Z25" s="19">
        <f t="shared" si="13"/>
        <v>0</v>
      </c>
    </row>
    <row r="26" spans="1:26" s="24" customFormat="1" hidden="1" outlineLevel="1" x14ac:dyDescent="0.3">
      <c r="A26" s="44"/>
      <c r="B26" s="11" t="str">
        <f>CONCATENATE("          ", "5026", " - ", "PURCHASES @ COST-WRITING INSTR")</f>
        <v xml:space="preserve">          5026 - PURCHASES @ COST-WRITING INSTR</v>
      </c>
      <c r="C26" s="11"/>
      <c r="D26" s="2"/>
      <c r="E26" s="2"/>
      <c r="F26" s="19">
        <f t="shared" si="6"/>
        <v>0</v>
      </c>
      <c r="G26" s="2"/>
      <c r="H26" s="2"/>
      <c r="I26" s="2"/>
      <c r="J26" s="19">
        <f t="shared" si="7"/>
        <v>0</v>
      </c>
      <c r="K26" s="2"/>
      <c r="L26" s="2">
        <f t="shared" si="8"/>
        <v>0</v>
      </c>
      <c r="M26" s="2"/>
      <c r="N26" s="19">
        <f t="shared" si="9"/>
        <v>0</v>
      </c>
      <c r="O26" s="11"/>
      <c r="P26" s="2">
        <v>0</v>
      </c>
      <c r="Q26" s="2"/>
      <c r="R26" s="19">
        <f t="shared" si="10"/>
        <v>0</v>
      </c>
      <c r="S26" s="2"/>
      <c r="T26" s="2"/>
      <c r="U26" s="2"/>
      <c r="V26" s="19">
        <f t="shared" si="11"/>
        <v>0</v>
      </c>
      <c r="W26" s="2"/>
      <c r="X26" s="2">
        <f t="shared" si="12"/>
        <v>0</v>
      </c>
      <c r="Y26" s="2"/>
      <c r="Z26" s="19">
        <f t="shared" si="13"/>
        <v>0</v>
      </c>
    </row>
    <row r="27" spans="1:26" s="24" customFormat="1" hidden="1" outlineLevel="1" x14ac:dyDescent="0.3">
      <c r="A27" s="44"/>
      <c r="B27" s="11" t="str">
        <f>CONCATENATE("          ", "5027", " - ", "PURCHASES @ COST-SCHOOL SUPPLI")</f>
        <v xml:space="preserve">          5027 - PURCHASES @ COST-SCHOOL SUPPLI</v>
      </c>
      <c r="C27" s="11"/>
      <c r="D27" s="2"/>
      <c r="E27" s="2"/>
      <c r="F27" s="19">
        <f t="shared" si="6"/>
        <v>0</v>
      </c>
      <c r="G27" s="2"/>
      <c r="H27" s="2"/>
      <c r="I27" s="2"/>
      <c r="J27" s="19">
        <f t="shared" si="7"/>
        <v>0</v>
      </c>
      <c r="K27" s="2"/>
      <c r="L27" s="2">
        <f t="shared" si="8"/>
        <v>0</v>
      </c>
      <c r="M27" s="2"/>
      <c r="N27" s="19">
        <f t="shared" si="9"/>
        <v>0</v>
      </c>
      <c r="O27" s="11"/>
      <c r="P27" s="2">
        <v>0</v>
      </c>
      <c r="Q27" s="2"/>
      <c r="R27" s="19">
        <f t="shared" si="10"/>
        <v>0</v>
      </c>
      <c r="S27" s="2"/>
      <c r="T27" s="2"/>
      <c r="U27" s="2"/>
      <c r="V27" s="19">
        <f t="shared" si="11"/>
        <v>0</v>
      </c>
      <c r="W27" s="2"/>
      <c r="X27" s="2">
        <f t="shared" si="12"/>
        <v>0</v>
      </c>
      <c r="Y27" s="2"/>
      <c r="Z27" s="19">
        <f t="shared" si="13"/>
        <v>0</v>
      </c>
    </row>
    <row r="28" spans="1:26" s="24" customFormat="1" hidden="1" outlineLevel="1" x14ac:dyDescent="0.3">
      <c r="A28" s="44"/>
      <c r="B28" s="11" t="str">
        <f>CONCATENATE("          ", "5028", " - ", "PURCHASES @ COST-ART/TECH")</f>
        <v xml:space="preserve">          5028 - PURCHASES @ COST-ART/TECH</v>
      </c>
      <c r="C28" s="11"/>
      <c r="D28" s="2"/>
      <c r="E28" s="2"/>
      <c r="F28" s="19">
        <f t="shared" si="6"/>
        <v>0</v>
      </c>
      <c r="G28" s="2"/>
      <c r="H28" s="2"/>
      <c r="I28" s="2"/>
      <c r="J28" s="19">
        <f t="shared" si="7"/>
        <v>0</v>
      </c>
      <c r="K28" s="2"/>
      <c r="L28" s="2">
        <f t="shared" si="8"/>
        <v>0</v>
      </c>
      <c r="M28" s="2"/>
      <c r="N28" s="19">
        <f t="shared" si="9"/>
        <v>0</v>
      </c>
      <c r="O28" s="11"/>
      <c r="P28" s="2">
        <v>0</v>
      </c>
      <c r="Q28" s="2"/>
      <c r="R28" s="19">
        <f t="shared" si="10"/>
        <v>0</v>
      </c>
      <c r="S28" s="2"/>
      <c r="T28" s="2"/>
      <c r="U28" s="2"/>
      <c r="V28" s="19">
        <f t="shared" si="11"/>
        <v>0</v>
      </c>
      <c r="W28" s="2"/>
      <c r="X28" s="2">
        <f t="shared" si="12"/>
        <v>0</v>
      </c>
      <c r="Y28" s="2"/>
      <c r="Z28" s="19">
        <f t="shared" si="13"/>
        <v>0</v>
      </c>
    </row>
    <row r="29" spans="1:26" s="24" customFormat="1" hidden="1" outlineLevel="1" x14ac:dyDescent="0.3">
      <c r="A29" s="44"/>
      <c r="B29" s="11" t="str">
        <f>CONCATENATE("          ", "5031", " - ", "PURCHASES @ COST-FOOD")</f>
        <v xml:space="preserve">          5031 - PURCHASES @ COST-FOOD</v>
      </c>
      <c r="C29" s="11"/>
      <c r="D29" s="2"/>
      <c r="E29" s="2"/>
      <c r="F29" s="19">
        <f t="shared" si="6"/>
        <v>0</v>
      </c>
      <c r="G29" s="2"/>
      <c r="H29" s="2"/>
      <c r="I29" s="2"/>
      <c r="J29" s="19">
        <f t="shared" si="7"/>
        <v>0</v>
      </c>
      <c r="K29" s="2"/>
      <c r="L29" s="2">
        <f t="shared" si="8"/>
        <v>0</v>
      </c>
      <c r="M29" s="2"/>
      <c r="N29" s="19">
        <f t="shared" si="9"/>
        <v>0</v>
      </c>
      <c r="O29" s="11"/>
      <c r="P29" s="2">
        <v>0</v>
      </c>
      <c r="Q29" s="2"/>
      <c r="R29" s="19">
        <f t="shared" si="10"/>
        <v>0</v>
      </c>
      <c r="S29" s="2"/>
      <c r="T29" s="2"/>
      <c r="U29" s="2"/>
      <c r="V29" s="19">
        <f t="shared" si="11"/>
        <v>0</v>
      </c>
      <c r="W29" s="2"/>
      <c r="X29" s="2">
        <f t="shared" si="12"/>
        <v>0</v>
      </c>
      <c r="Y29" s="2"/>
      <c r="Z29" s="19">
        <f t="shared" si="13"/>
        <v>0</v>
      </c>
    </row>
    <row r="30" spans="1:26" s="24" customFormat="1" hidden="1" outlineLevel="1" x14ac:dyDescent="0.3">
      <c r="A30" s="44"/>
      <c r="B30" s="11" t="str">
        <f>CONCATENATE("          ", "5040", " - ", "PURCHASES @ COST-LOGO CLOTHING")</f>
        <v xml:space="preserve">          5040 - PURCHASES @ COST-LOGO CLOTHING</v>
      </c>
      <c r="C30" s="11"/>
      <c r="D30" s="2"/>
      <c r="E30" s="2"/>
      <c r="F30" s="19">
        <f t="shared" si="6"/>
        <v>0</v>
      </c>
      <c r="G30" s="2"/>
      <c r="H30" s="2"/>
      <c r="I30" s="2"/>
      <c r="J30" s="19">
        <f t="shared" si="7"/>
        <v>0</v>
      </c>
      <c r="K30" s="2"/>
      <c r="L30" s="2">
        <f t="shared" si="8"/>
        <v>0</v>
      </c>
      <c r="M30" s="2"/>
      <c r="N30" s="19">
        <f t="shared" si="9"/>
        <v>0</v>
      </c>
      <c r="O30" s="11"/>
      <c r="P30" s="2">
        <v>0</v>
      </c>
      <c r="Q30" s="2"/>
      <c r="R30" s="19">
        <f t="shared" si="10"/>
        <v>0</v>
      </c>
      <c r="S30" s="2"/>
      <c r="T30" s="2"/>
      <c r="U30" s="2"/>
      <c r="V30" s="19">
        <f t="shared" si="11"/>
        <v>0</v>
      </c>
      <c r="W30" s="2"/>
      <c r="X30" s="2">
        <f t="shared" si="12"/>
        <v>0</v>
      </c>
      <c r="Y30" s="2"/>
      <c r="Z30" s="19">
        <f t="shared" si="13"/>
        <v>0</v>
      </c>
    </row>
    <row r="31" spans="1:26" s="24" customFormat="1" hidden="1" outlineLevel="1" x14ac:dyDescent="0.3">
      <c r="A31" s="44"/>
      <c r="B31" s="11" t="str">
        <f>CONCATENATE("          ", "5041", " - ", "PURCHASES @ COST-LOGO GIFTS")</f>
        <v xml:space="preserve">          5041 - PURCHASES @ COST-LOGO GIFTS</v>
      </c>
      <c r="C31" s="11"/>
      <c r="D31" s="2"/>
      <c r="E31" s="2"/>
      <c r="F31" s="19">
        <f t="shared" si="6"/>
        <v>0</v>
      </c>
      <c r="G31" s="2"/>
      <c r="H31" s="2"/>
      <c r="I31" s="2"/>
      <c r="J31" s="19">
        <f t="shared" si="7"/>
        <v>0</v>
      </c>
      <c r="K31" s="2"/>
      <c r="L31" s="2">
        <f t="shared" si="8"/>
        <v>0</v>
      </c>
      <c r="M31" s="2"/>
      <c r="N31" s="19">
        <f t="shared" si="9"/>
        <v>0</v>
      </c>
      <c r="O31" s="11"/>
      <c r="P31" s="2">
        <v>0</v>
      </c>
      <c r="Q31" s="2"/>
      <c r="R31" s="19">
        <f t="shared" si="10"/>
        <v>0</v>
      </c>
      <c r="S31" s="2"/>
      <c r="T31" s="2"/>
      <c r="U31" s="2"/>
      <c r="V31" s="19">
        <f t="shared" si="11"/>
        <v>0</v>
      </c>
      <c r="W31" s="2"/>
      <c r="X31" s="2">
        <f t="shared" si="12"/>
        <v>0</v>
      </c>
      <c r="Y31" s="2"/>
      <c r="Z31" s="19">
        <f t="shared" si="13"/>
        <v>0</v>
      </c>
    </row>
    <row r="32" spans="1:26" s="24" customFormat="1" hidden="1" outlineLevel="1" x14ac:dyDescent="0.3">
      <c r="A32" s="44"/>
      <c r="B32" s="11" t="str">
        <f>CONCATENATE("          ", "5042", " - ", "PURCHASES @ COST-EVERYDAY GIFT")</f>
        <v xml:space="preserve">          5042 - PURCHASES @ COST-EVERYDAY GIFT</v>
      </c>
      <c r="C32" s="11"/>
      <c r="D32" s="2"/>
      <c r="E32" s="2"/>
      <c r="F32" s="19">
        <f t="shared" si="6"/>
        <v>0</v>
      </c>
      <c r="G32" s="2"/>
      <c r="H32" s="2"/>
      <c r="I32" s="2"/>
      <c r="J32" s="19">
        <f t="shared" si="7"/>
        <v>0</v>
      </c>
      <c r="K32" s="2"/>
      <c r="L32" s="2">
        <f t="shared" si="8"/>
        <v>0</v>
      </c>
      <c r="M32" s="2"/>
      <c r="N32" s="19">
        <f t="shared" si="9"/>
        <v>0</v>
      </c>
      <c r="O32" s="11"/>
      <c r="P32" s="2">
        <v>0</v>
      </c>
      <c r="Q32" s="2"/>
      <c r="R32" s="19">
        <f t="shared" si="10"/>
        <v>0</v>
      </c>
      <c r="S32" s="2"/>
      <c r="T32" s="2"/>
      <c r="U32" s="2"/>
      <c r="V32" s="19">
        <f t="shared" si="11"/>
        <v>0</v>
      </c>
      <c r="W32" s="2"/>
      <c r="X32" s="2">
        <f t="shared" si="12"/>
        <v>0</v>
      </c>
      <c r="Y32" s="2"/>
      <c r="Z32" s="19">
        <f t="shared" si="13"/>
        <v>0</v>
      </c>
    </row>
    <row r="33" spans="1:26" s="24" customFormat="1" hidden="1" outlineLevel="1" x14ac:dyDescent="0.3">
      <c r="A33" s="44"/>
      <c r="B33" s="11" t="str">
        <f>CONCATENATE("          ", "5043", " - ", "PURCHASES @ COST-CARDS")</f>
        <v xml:space="preserve">          5043 - PURCHASES @ COST-CARDS</v>
      </c>
      <c r="C33" s="11"/>
      <c r="D33" s="2"/>
      <c r="E33" s="2"/>
      <c r="F33" s="19">
        <f t="shared" si="6"/>
        <v>0</v>
      </c>
      <c r="G33" s="2"/>
      <c r="H33" s="2"/>
      <c r="I33" s="2"/>
      <c r="J33" s="19">
        <f t="shared" si="7"/>
        <v>0</v>
      </c>
      <c r="K33" s="2"/>
      <c r="L33" s="2">
        <f t="shared" si="8"/>
        <v>0</v>
      </c>
      <c r="M33" s="2"/>
      <c r="N33" s="19">
        <f t="shared" si="9"/>
        <v>0</v>
      </c>
      <c r="O33" s="11"/>
      <c r="P33" s="2">
        <v>0</v>
      </c>
      <c r="Q33" s="2"/>
      <c r="R33" s="19">
        <f t="shared" si="10"/>
        <v>0</v>
      </c>
      <c r="S33" s="2"/>
      <c r="T33" s="2"/>
      <c r="U33" s="2"/>
      <c r="V33" s="19">
        <f t="shared" si="11"/>
        <v>0</v>
      </c>
      <c r="W33" s="2"/>
      <c r="X33" s="2">
        <f t="shared" si="12"/>
        <v>0</v>
      </c>
      <c r="Y33" s="2"/>
      <c r="Z33" s="19">
        <f t="shared" si="13"/>
        <v>0</v>
      </c>
    </row>
    <row r="34" spans="1:26" s="24" customFormat="1" hidden="1" outlineLevel="1" x14ac:dyDescent="0.3">
      <c r="A34" s="44"/>
      <c r="B34" s="11" t="str">
        <f>CONCATENATE("          ", "5044", " - ", "PURCHASES @ COST-ACCESSORIES")</f>
        <v xml:space="preserve">          5044 - PURCHASES @ COST-ACCESSORIES</v>
      </c>
      <c r="C34" s="11"/>
      <c r="D34" s="2"/>
      <c r="E34" s="2"/>
      <c r="F34" s="19">
        <f t="shared" si="6"/>
        <v>0</v>
      </c>
      <c r="G34" s="2"/>
      <c r="H34" s="2"/>
      <c r="I34" s="2"/>
      <c r="J34" s="19">
        <f t="shared" si="7"/>
        <v>0</v>
      </c>
      <c r="K34" s="2"/>
      <c r="L34" s="2">
        <f t="shared" si="8"/>
        <v>0</v>
      </c>
      <c r="M34" s="2"/>
      <c r="N34" s="19">
        <f t="shared" si="9"/>
        <v>0</v>
      </c>
      <c r="O34" s="11"/>
      <c r="P34" s="2">
        <v>0</v>
      </c>
      <c r="Q34" s="2"/>
      <c r="R34" s="19">
        <f t="shared" si="10"/>
        <v>0</v>
      </c>
      <c r="S34" s="2"/>
      <c r="T34" s="2"/>
      <c r="U34" s="2"/>
      <c r="V34" s="19">
        <f t="shared" si="11"/>
        <v>0</v>
      </c>
      <c r="W34" s="2"/>
      <c r="X34" s="2">
        <f t="shared" si="12"/>
        <v>0</v>
      </c>
      <c r="Y34" s="2"/>
      <c r="Z34" s="19">
        <f t="shared" si="13"/>
        <v>0</v>
      </c>
    </row>
    <row r="35" spans="1:26" s="24" customFormat="1" hidden="1" outlineLevel="1" x14ac:dyDescent="0.3">
      <c r="A35" s="44"/>
      <c r="B35" s="11" t="str">
        <f>CONCATENATE("          ", "5045", " - ", "PURCHASES @ COST-SPECIAL ORDER")</f>
        <v xml:space="preserve">          5045 - PURCHASES @ COST-SPECIAL ORDER</v>
      </c>
      <c r="C35" s="11"/>
      <c r="D35" s="2"/>
      <c r="E35" s="2"/>
      <c r="F35" s="19">
        <f t="shared" si="6"/>
        <v>0</v>
      </c>
      <c r="G35" s="2"/>
      <c r="H35" s="2"/>
      <c r="I35" s="2"/>
      <c r="J35" s="19">
        <f t="shared" si="7"/>
        <v>0</v>
      </c>
      <c r="K35" s="2"/>
      <c r="L35" s="2">
        <f t="shared" si="8"/>
        <v>0</v>
      </c>
      <c r="M35" s="2"/>
      <c r="N35" s="19">
        <f t="shared" si="9"/>
        <v>0</v>
      </c>
      <c r="O35" s="11"/>
      <c r="P35" s="2">
        <v>0</v>
      </c>
      <c r="Q35" s="2"/>
      <c r="R35" s="19">
        <f t="shared" si="10"/>
        <v>0</v>
      </c>
      <c r="S35" s="2"/>
      <c r="T35" s="2"/>
      <c r="U35" s="2"/>
      <c r="V35" s="19">
        <f t="shared" si="11"/>
        <v>0</v>
      </c>
      <c r="W35" s="2"/>
      <c r="X35" s="2">
        <f t="shared" si="12"/>
        <v>0</v>
      </c>
      <c r="Y35" s="2"/>
      <c r="Z35" s="19">
        <f t="shared" si="13"/>
        <v>0</v>
      </c>
    </row>
    <row r="36" spans="1:26" s="24" customFormat="1" hidden="1" outlineLevel="1" x14ac:dyDescent="0.3">
      <c r="A36" s="44"/>
      <c r="B36" s="11" t="str">
        <f>CONCATENATE("          ", "5200", " - ", "PURCHASES OFFSET")</f>
        <v xml:space="preserve">          5200 - PURCHASES OFFSET</v>
      </c>
      <c r="C36" s="11"/>
      <c r="D36" s="2">
        <v>-472988.62</v>
      </c>
      <c r="E36" s="2"/>
      <c r="F36" s="19">
        <f t="shared" si="6"/>
        <v>-0.62601548143092156</v>
      </c>
      <c r="G36" s="2"/>
      <c r="H36" s="2"/>
      <c r="I36" s="2"/>
      <c r="J36" s="19">
        <f t="shared" si="7"/>
        <v>0</v>
      </c>
      <c r="K36" s="2"/>
      <c r="L36" s="2">
        <f t="shared" si="8"/>
        <v>-472988.62</v>
      </c>
      <c r="M36" s="2"/>
      <c r="N36" s="19">
        <f t="shared" si="9"/>
        <v>0</v>
      </c>
      <c r="O36" s="11"/>
      <c r="P36" s="2">
        <v>-2823984.16</v>
      </c>
      <c r="Q36" s="2"/>
      <c r="R36" s="19">
        <f t="shared" si="10"/>
        <v>-0.63939004673048228</v>
      </c>
      <c r="S36" s="2"/>
      <c r="T36" s="2"/>
      <c r="U36" s="2"/>
      <c r="V36" s="19">
        <f t="shared" si="11"/>
        <v>0</v>
      </c>
      <c r="W36" s="2"/>
      <c r="X36" s="2">
        <f t="shared" si="12"/>
        <v>-2823984.16</v>
      </c>
      <c r="Y36" s="2"/>
      <c r="Z36" s="19">
        <f t="shared" si="13"/>
        <v>0</v>
      </c>
    </row>
    <row r="37" spans="1:26" s="24" customFormat="1" hidden="1" outlineLevel="1" x14ac:dyDescent="0.3">
      <c r="A37" s="44"/>
      <c r="B37" s="11" t="str">
        <f>CONCATENATE("          ", "5300", " - ", "COG$ OFFSET")</f>
        <v xml:space="preserve">          5300 - COG$ OFFSET</v>
      </c>
      <c r="C37" s="11"/>
      <c r="D37" s="2">
        <v>414305.51</v>
      </c>
      <c r="E37" s="2"/>
      <c r="F37" s="19">
        <f t="shared" si="6"/>
        <v>0.54834651899687037</v>
      </c>
      <c r="G37" s="2"/>
      <c r="H37" s="2"/>
      <c r="I37" s="2"/>
      <c r="J37" s="19">
        <f t="shared" si="7"/>
        <v>0</v>
      </c>
      <c r="K37" s="2"/>
      <c r="L37" s="2">
        <f t="shared" si="8"/>
        <v>414305.51</v>
      </c>
      <c r="M37" s="2"/>
      <c r="N37" s="19">
        <f t="shared" si="9"/>
        <v>0</v>
      </c>
      <c r="O37" s="11"/>
      <c r="P37" s="2">
        <v>2375016.67</v>
      </c>
      <c r="Q37" s="2"/>
      <c r="R37" s="19">
        <f t="shared" si="10"/>
        <v>0.53773744241432797</v>
      </c>
      <c r="S37" s="2"/>
      <c r="T37" s="2"/>
      <c r="U37" s="2"/>
      <c r="V37" s="19">
        <f t="shared" si="11"/>
        <v>0</v>
      </c>
      <c r="W37" s="2"/>
      <c r="X37" s="2">
        <f t="shared" si="12"/>
        <v>2375016.67</v>
      </c>
      <c r="Y37" s="2"/>
      <c r="Z37" s="19">
        <f t="shared" si="13"/>
        <v>0</v>
      </c>
    </row>
    <row r="38" spans="1:26" s="24" customFormat="1" hidden="1" outlineLevel="1" x14ac:dyDescent="0.3">
      <c r="A38" s="44"/>
      <c r="B38" s="11" t="str">
        <f>CONCATENATE("          ", "5500", " - ", "FREIGHT-IN")</f>
        <v xml:space="preserve">          5500 - FREIGHT-IN</v>
      </c>
      <c r="C38" s="11"/>
      <c r="D38" s="2">
        <v>21903.56</v>
      </c>
      <c r="E38" s="2"/>
      <c r="F38" s="19">
        <f t="shared" si="6"/>
        <v>2.8990058277620034E-2</v>
      </c>
      <c r="G38" s="2"/>
      <c r="H38" s="2"/>
      <c r="I38" s="2"/>
      <c r="J38" s="19">
        <f t="shared" si="7"/>
        <v>0</v>
      </c>
      <c r="K38" s="2"/>
      <c r="L38" s="2">
        <f t="shared" si="8"/>
        <v>21903.56</v>
      </c>
      <c r="M38" s="2"/>
      <c r="N38" s="19">
        <f t="shared" si="9"/>
        <v>0</v>
      </c>
      <c r="O38" s="11"/>
      <c r="P38" s="2">
        <v>92185.86</v>
      </c>
      <c r="Q38" s="2"/>
      <c r="R38" s="19">
        <f t="shared" si="10"/>
        <v>2.087218553424524E-2</v>
      </c>
      <c r="S38" s="2"/>
      <c r="T38" s="2"/>
      <c r="U38" s="2"/>
      <c r="V38" s="19">
        <f t="shared" si="11"/>
        <v>0</v>
      </c>
      <c r="W38" s="2"/>
      <c r="X38" s="2">
        <f t="shared" si="12"/>
        <v>92185.86</v>
      </c>
      <c r="Y38" s="2"/>
      <c r="Z38" s="19">
        <f t="shared" si="13"/>
        <v>0</v>
      </c>
    </row>
    <row r="39" spans="1:26" s="24" customFormat="1" hidden="1" outlineLevel="1" x14ac:dyDescent="0.3">
      <c r="A39" s="44"/>
      <c r="B39" s="11" t="str">
        <f>CONCATENATE("          ", "5501", " - ", "FREIGHT-IN-NEW TEXT")</f>
        <v xml:space="preserve">          5501 - FREIGHT-IN-NEW TEXT</v>
      </c>
      <c r="C39" s="11"/>
      <c r="D39" s="2"/>
      <c r="E39" s="2"/>
      <c r="F39" s="19">
        <f t="shared" si="6"/>
        <v>0</v>
      </c>
      <c r="G39" s="2"/>
      <c r="H39" s="2"/>
      <c r="I39" s="2"/>
      <c r="J39" s="19">
        <f t="shared" si="7"/>
        <v>0</v>
      </c>
      <c r="K39" s="2"/>
      <c r="L39" s="2">
        <f t="shared" si="8"/>
        <v>0</v>
      </c>
      <c r="M39" s="2"/>
      <c r="N39" s="19">
        <f t="shared" si="9"/>
        <v>0</v>
      </c>
      <c r="O39" s="11"/>
      <c r="P39" s="2">
        <v>0</v>
      </c>
      <c r="Q39" s="2"/>
      <c r="R39" s="19">
        <f t="shared" si="10"/>
        <v>0</v>
      </c>
      <c r="S39" s="2"/>
      <c r="T39" s="2"/>
      <c r="U39" s="2"/>
      <c r="V39" s="19">
        <f t="shared" si="11"/>
        <v>0</v>
      </c>
      <c r="W39" s="2"/>
      <c r="X39" s="2">
        <f t="shared" si="12"/>
        <v>0</v>
      </c>
      <c r="Y39" s="2"/>
      <c r="Z39" s="19">
        <f t="shared" si="13"/>
        <v>0</v>
      </c>
    </row>
    <row r="40" spans="1:26" s="24" customFormat="1" hidden="1" outlineLevel="1" x14ac:dyDescent="0.3">
      <c r="A40" s="44"/>
      <c r="B40" s="11" t="str">
        <f>CONCATENATE("          ", "5502", " - ", "FREIGHT-IN-USED TEXT")</f>
        <v xml:space="preserve">          5502 - FREIGHT-IN-USED TEXT</v>
      </c>
      <c r="C40" s="11"/>
      <c r="D40" s="2"/>
      <c r="E40" s="2"/>
      <c r="F40" s="19">
        <f t="shared" si="6"/>
        <v>0</v>
      </c>
      <c r="G40" s="2"/>
      <c r="H40" s="2"/>
      <c r="I40" s="2"/>
      <c r="J40" s="19">
        <f t="shared" si="7"/>
        <v>0</v>
      </c>
      <c r="K40" s="2"/>
      <c r="L40" s="2">
        <f t="shared" si="8"/>
        <v>0</v>
      </c>
      <c r="M40" s="2"/>
      <c r="N40" s="19">
        <f t="shared" si="9"/>
        <v>0</v>
      </c>
      <c r="O40" s="11"/>
      <c r="P40" s="2">
        <v>0</v>
      </c>
      <c r="Q40" s="2"/>
      <c r="R40" s="19">
        <f t="shared" si="10"/>
        <v>0</v>
      </c>
      <c r="S40" s="2"/>
      <c r="T40" s="2"/>
      <c r="U40" s="2"/>
      <c r="V40" s="19">
        <f t="shared" si="11"/>
        <v>0</v>
      </c>
      <c r="W40" s="2"/>
      <c r="X40" s="2">
        <f t="shared" si="12"/>
        <v>0</v>
      </c>
      <c r="Y40" s="2"/>
      <c r="Z40" s="19">
        <f t="shared" si="13"/>
        <v>0</v>
      </c>
    </row>
    <row r="41" spans="1:26" s="24" customFormat="1" hidden="1" outlineLevel="1" x14ac:dyDescent="0.3">
      <c r="A41" s="44"/>
      <c r="B41" s="11" t="str">
        <f>CONCATENATE("          ", "5518", " - ", "FREIGHT-IN-STUDY GUIDES")</f>
        <v xml:space="preserve">          5518 - FREIGHT-IN-STUDY GUIDES</v>
      </c>
      <c r="C41" s="11"/>
      <c r="D41" s="2"/>
      <c r="E41" s="2"/>
      <c r="F41" s="19">
        <f t="shared" si="6"/>
        <v>0</v>
      </c>
      <c r="G41" s="2"/>
      <c r="H41" s="2"/>
      <c r="I41" s="2"/>
      <c r="J41" s="19">
        <f t="shared" si="7"/>
        <v>0</v>
      </c>
      <c r="K41" s="2"/>
      <c r="L41" s="2">
        <f t="shared" si="8"/>
        <v>0</v>
      </c>
      <c r="M41" s="2"/>
      <c r="N41" s="19">
        <f t="shared" si="9"/>
        <v>0</v>
      </c>
      <c r="O41" s="11"/>
      <c r="P41" s="2">
        <v>0</v>
      </c>
      <c r="Q41" s="2"/>
      <c r="R41" s="19">
        <f t="shared" si="10"/>
        <v>0</v>
      </c>
      <c r="S41" s="2"/>
      <c r="T41" s="2"/>
      <c r="U41" s="2"/>
      <c r="V41" s="19">
        <f t="shared" si="11"/>
        <v>0</v>
      </c>
      <c r="W41" s="2"/>
      <c r="X41" s="2">
        <f t="shared" si="12"/>
        <v>0</v>
      </c>
      <c r="Y41" s="2"/>
      <c r="Z41" s="19">
        <f t="shared" si="13"/>
        <v>0</v>
      </c>
    </row>
    <row r="42" spans="1:26" s="24" customFormat="1" hidden="1" outlineLevel="1" x14ac:dyDescent="0.3">
      <c r="A42" s="44"/>
      <c r="B42" s="11" t="str">
        <f>CONCATENATE("          ", "5527", " - ", "FREIGHT-IN-SCHOOL SUPPLIES")</f>
        <v xml:space="preserve">          5527 - FREIGHT-IN-SCHOOL SUPPLIES</v>
      </c>
      <c r="C42" s="11"/>
      <c r="D42" s="2"/>
      <c r="E42" s="2"/>
      <c r="F42" s="19">
        <f t="shared" si="6"/>
        <v>0</v>
      </c>
      <c r="G42" s="2"/>
      <c r="H42" s="2"/>
      <c r="I42" s="2"/>
      <c r="J42" s="19">
        <f t="shared" si="7"/>
        <v>0</v>
      </c>
      <c r="K42" s="2"/>
      <c r="L42" s="2">
        <f t="shared" si="8"/>
        <v>0</v>
      </c>
      <c r="M42" s="2"/>
      <c r="N42" s="19">
        <f t="shared" si="9"/>
        <v>0</v>
      </c>
      <c r="O42" s="11"/>
      <c r="P42" s="2">
        <v>0</v>
      </c>
      <c r="Q42" s="2"/>
      <c r="R42" s="19">
        <f t="shared" si="10"/>
        <v>0</v>
      </c>
      <c r="S42" s="2"/>
      <c r="T42" s="2"/>
      <c r="U42" s="2"/>
      <c r="V42" s="19">
        <f t="shared" si="11"/>
        <v>0</v>
      </c>
      <c r="W42" s="2"/>
      <c r="X42" s="2">
        <f t="shared" si="12"/>
        <v>0</v>
      </c>
      <c r="Y42" s="2"/>
      <c r="Z42" s="19">
        <f t="shared" si="13"/>
        <v>0</v>
      </c>
    </row>
    <row r="43" spans="1:26" s="24" customFormat="1" hidden="1" outlineLevel="1" x14ac:dyDescent="0.3">
      <c r="A43" s="44"/>
      <c r="B43" s="11" t="str">
        <f>CONCATENATE("          ", "5528", " - ", "FREIGHT-IN-ART/TECH")</f>
        <v xml:space="preserve">          5528 - FREIGHT-IN-ART/TECH</v>
      </c>
      <c r="C43" s="11"/>
      <c r="D43" s="2"/>
      <c r="E43" s="2"/>
      <c r="F43" s="19">
        <f t="shared" si="6"/>
        <v>0</v>
      </c>
      <c r="G43" s="2"/>
      <c r="H43" s="2"/>
      <c r="I43" s="2"/>
      <c r="J43" s="19">
        <f t="shared" si="7"/>
        <v>0</v>
      </c>
      <c r="K43" s="2"/>
      <c r="L43" s="2">
        <f t="shared" si="8"/>
        <v>0</v>
      </c>
      <c r="M43" s="2"/>
      <c r="N43" s="19">
        <f t="shared" si="9"/>
        <v>0</v>
      </c>
      <c r="O43" s="11"/>
      <c r="P43" s="2">
        <v>0</v>
      </c>
      <c r="Q43" s="2"/>
      <c r="R43" s="19">
        <f t="shared" si="10"/>
        <v>0</v>
      </c>
      <c r="S43" s="2"/>
      <c r="T43" s="2"/>
      <c r="U43" s="2"/>
      <c r="V43" s="19">
        <f t="shared" si="11"/>
        <v>0</v>
      </c>
      <c r="W43" s="2"/>
      <c r="X43" s="2">
        <f t="shared" si="12"/>
        <v>0</v>
      </c>
      <c r="Y43" s="2"/>
      <c r="Z43" s="19">
        <f t="shared" si="13"/>
        <v>0</v>
      </c>
    </row>
    <row r="44" spans="1:26" s="24" customFormat="1" hidden="1" outlineLevel="1" x14ac:dyDescent="0.3">
      <c r="A44" s="44"/>
      <c r="B44" s="11" t="str">
        <f>CONCATENATE("          ", "5540", " - ", "FREIGHT-IN-LOGO CLOTHING")</f>
        <v xml:space="preserve">          5540 - FREIGHT-IN-LOGO CLOTHING</v>
      </c>
      <c r="C44" s="11"/>
      <c r="D44" s="2"/>
      <c r="E44" s="2"/>
      <c r="F44" s="19">
        <f t="shared" si="6"/>
        <v>0</v>
      </c>
      <c r="G44" s="2"/>
      <c r="H44" s="2"/>
      <c r="I44" s="2"/>
      <c r="J44" s="19">
        <f t="shared" si="7"/>
        <v>0</v>
      </c>
      <c r="K44" s="2"/>
      <c r="L44" s="2">
        <f t="shared" si="8"/>
        <v>0</v>
      </c>
      <c r="M44" s="2"/>
      <c r="N44" s="19">
        <f t="shared" si="9"/>
        <v>0</v>
      </c>
      <c r="O44" s="11"/>
      <c r="P44" s="2">
        <v>0</v>
      </c>
      <c r="Q44" s="2"/>
      <c r="R44" s="19">
        <f t="shared" si="10"/>
        <v>0</v>
      </c>
      <c r="S44" s="2"/>
      <c r="T44" s="2"/>
      <c r="U44" s="2"/>
      <c r="V44" s="19">
        <f t="shared" si="11"/>
        <v>0</v>
      </c>
      <c r="W44" s="2"/>
      <c r="X44" s="2">
        <f t="shared" si="12"/>
        <v>0</v>
      </c>
      <c r="Y44" s="2"/>
      <c r="Z44" s="19">
        <f t="shared" si="13"/>
        <v>0</v>
      </c>
    </row>
    <row r="45" spans="1:26" s="24" customFormat="1" hidden="1" outlineLevel="1" x14ac:dyDescent="0.3">
      <c r="A45" s="44"/>
      <c r="B45" s="11" t="str">
        <f>CONCATENATE("          ", "5541", " - ", "FREIGHT-IN-LOGO GIFTS")</f>
        <v xml:space="preserve">          5541 - FREIGHT-IN-LOGO GIFTS</v>
      </c>
      <c r="C45" s="11"/>
      <c r="D45" s="2"/>
      <c r="E45" s="2"/>
      <c r="F45" s="19">
        <f t="shared" si="6"/>
        <v>0</v>
      </c>
      <c r="G45" s="2"/>
      <c r="H45" s="2"/>
      <c r="I45" s="2"/>
      <c r="J45" s="19">
        <f t="shared" si="7"/>
        <v>0</v>
      </c>
      <c r="K45" s="2"/>
      <c r="L45" s="2">
        <f t="shared" si="8"/>
        <v>0</v>
      </c>
      <c r="M45" s="2"/>
      <c r="N45" s="19">
        <f t="shared" si="9"/>
        <v>0</v>
      </c>
      <c r="O45" s="11"/>
      <c r="P45" s="2">
        <v>0</v>
      </c>
      <c r="Q45" s="2"/>
      <c r="R45" s="19">
        <f t="shared" si="10"/>
        <v>0</v>
      </c>
      <c r="S45" s="2"/>
      <c r="T45" s="2"/>
      <c r="U45" s="2"/>
      <c r="V45" s="19">
        <f t="shared" si="11"/>
        <v>0</v>
      </c>
      <c r="W45" s="2"/>
      <c r="X45" s="2">
        <f t="shared" si="12"/>
        <v>0</v>
      </c>
      <c r="Y45" s="2"/>
      <c r="Z45" s="19">
        <f t="shared" si="13"/>
        <v>0</v>
      </c>
    </row>
    <row r="46" spans="1:26" s="24" customFormat="1" hidden="1" outlineLevel="1" x14ac:dyDescent="0.3">
      <c r="A46" s="44"/>
      <c r="B46" s="11" t="str">
        <f>CONCATENATE("          ", "5542", " - ", "FREIGHT-IN-EVERYDAY GIFTS")</f>
        <v xml:space="preserve">          5542 - FREIGHT-IN-EVERYDAY GIFTS</v>
      </c>
      <c r="C46" s="11"/>
      <c r="D46" s="2"/>
      <c r="E46" s="2"/>
      <c r="F46" s="19">
        <f t="shared" si="6"/>
        <v>0</v>
      </c>
      <c r="G46" s="2"/>
      <c r="H46" s="2"/>
      <c r="I46" s="2"/>
      <c r="J46" s="19">
        <f t="shared" si="7"/>
        <v>0</v>
      </c>
      <c r="K46" s="2"/>
      <c r="L46" s="2">
        <f t="shared" si="8"/>
        <v>0</v>
      </c>
      <c r="M46" s="2"/>
      <c r="N46" s="19">
        <f t="shared" si="9"/>
        <v>0</v>
      </c>
      <c r="O46" s="11"/>
      <c r="P46" s="2">
        <v>0</v>
      </c>
      <c r="Q46" s="2"/>
      <c r="R46" s="19">
        <f t="shared" si="10"/>
        <v>0</v>
      </c>
      <c r="S46" s="2"/>
      <c r="T46" s="2"/>
      <c r="U46" s="2"/>
      <c r="V46" s="19">
        <f t="shared" si="11"/>
        <v>0</v>
      </c>
      <c r="W46" s="2"/>
      <c r="X46" s="2">
        <f t="shared" si="12"/>
        <v>0</v>
      </c>
      <c r="Y46" s="2"/>
      <c r="Z46" s="19">
        <f t="shared" si="13"/>
        <v>0</v>
      </c>
    </row>
    <row r="47" spans="1:26" s="24" customFormat="1" hidden="1" outlineLevel="1" x14ac:dyDescent="0.3">
      <c r="A47" s="44"/>
      <c r="B47" s="11" t="str">
        <f>CONCATENATE("          ", "5544", " - ", "FREIGHT-IN-ACCESSORIES")</f>
        <v xml:space="preserve">          5544 - FREIGHT-IN-ACCESSORIES</v>
      </c>
      <c r="C47" s="11"/>
      <c r="D47" s="2"/>
      <c r="E47" s="2"/>
      <c r="F47" s="19">
        <f t="shared" si="6"/>
        <v>0</v>
      </c>
      <c r="G47" s="2"/>
      <c r="H47" s="2"/>
      <c r="I47" s="2"/>
      <c r="J47" s="19">
        <f t="shared" si="7"/>
        <v>0</v>
      </c>
      <c r="K47" s="2"/>
      <c r="L47" s="2">
        <f t="shared" si="8"/>
        <v>0</v>
      </c>
      <c r="M47" s="2"/>
      <c r="N47" s="19">
        <f t="shared" si="9"/>
        <v>0</v>
      </c>
      <c r="O47" s="11"/>
      <c r="P47" s="2">
        <v>0</v>
      </c>
      <c r="Q47" s="2"/>
      <c r="R47" s="19">
        <f t="shared" si="10"/>
        <v>0</v>
      </c>
      <c r="S47" s="2"/>
      <c r="T47" s="2"/>
      <c r="U47" s="2"/>
      <c r="V47" s="19">
        <f t="shared" si="11"/>
        <v>0</v>
      </c>
      <c r="W47" s="2"/>
      <c r="X47" s="2">
        <f t="shared" si="12"/>
        <v>0</v>
      </c>
      <c r="Y47" s="2"/>
      <c r="Z47" s="19">
        <f t="shared" si="13"/>
        <v>0</v>
      </c>
    </row>
    <row r="48" spans="1:26" s="24" customFormat="1" hidden="1" outlineLevel="1" x14ac:dyDescent="0.3">
      <c r="A48" s="44"/>
      <c r="B48" s="11" t="str">
        <f>CONCATENATE("          ", "5545", " - ", "FREIGHT-IN-SPECIAL ORDERS")</f>
        <v xml:space="preserve">          5545 - FREIGHT-IN-SPECIAL ORDERS</v>
      </c>
      <c r="C48" s="11"/>
      <c r="D48" s="2"/>
      <c r="E48" s="2"/>
      <c r="F48" s="19">
        <f t="shared" si="6"/>
        <v>0</v>
      </c>
      <c r="G48" s="2"/>
      <c r="H48" s="2"/>
      <c r="I48" s="2"/>
      <c r="J48" s="19">
        <f t="shared" si="7"/>
        <v>0</v>
      </c>
      <c r="K48" s="2"/>
      <c r="L48" s="2">
        <f t="shared" si="8"/>
        <v>0</v>
      </c>
      <c r="M48" s="2"/>
      <c r="N48" s="19">
        <f t="shared" si="9"/>
        <v>0</v>
      </c>
      <c r="O48" s="11"/>
      <c r="P48" s="2">
        <v>0</v>
      </c>
      <c r="Q48" s="2"/>
      <c r="R48" s="19">
        <f t="shared" si="10"/>
        <v>0</v>
      </c>
      <c r="S48" s="2"/>
      <c r="T48" s="2"/>
      <c r="U48" s="2"/>
      <c r="V48" s="19">
        <f t="shared" si="11"/>
        <v>0</v>
      </c>
      <c r="W48" s="2"/>
      <c r="X48" s="2">
        <f t="shared" si="12"/>
        <v>0</v>
      </c>
      <c r="Y48" s="2"/>
      <c r="Z48" s="19">
        <f t="shared" si="13"/>
        <v>0</v>
      </c>
    </row>
    <row r="49" spans="1:26" x14ac:dyDescent="0.3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3">
      <c r="A50" s="10"/>
      <c r="B50" s="26" t="s">
        <v>108</v>
      </c>
      <c r="C50" s="26"/>
      <c r="D50" s="21">
        <f>D12-D21</f>
        <v>303999.81000000006</v>
      </c>
      <c r="E50" s="13"/>
      <c r="F50" s="22">
        <f>IF(D$12=0,0,D50/D$12)</f>
        <v>0.40235341690051385</v>
      </c>
      <c r="G50" s="13"/>
      <c r="H50" s="21">
        <f>H12-H21</f>
        <v>682101</v>
      </c>
      <c r="I50" s="13"/>
      <c r="J50" s="22">
        <f>IF(H$12=0,0,H50/H$12)</f>
        <v>0.34203659149327509</v>
      </c>
      <c r="K50" s="15"/>
      <c r="L50" s="21">
        <f>+D50-H50</f>
        <v>-378101.18999999994</v>
      </c>
      <c r="M50" s="15"/>
      <c r="N50" s="22">
        <f>IF(H50=0,0,L50/H50)</f>
        <v>-0.55431848069420797</v>
      </c>
      <c r="O50" s="25"/>
      <c r="P50" s="21">
        <f>P12-P21</f>
        <v>1753207.8699999996</v>
      </c>
      <c r="Q50" s="13"/>
      <c r="R50" s="22">
        <f>IF(P$12=0,0,P50/P$12)</f>
        <v>0.39695111530921234</v>
      </c>
      <c r="S50" s="13"/>
      <c r="T50" s="21">
        <f>T12-T21</f>
        <v>2540194</v>
      </c>
      <c r="U50" s="13"/>
      <c r="V50" s="22">
        <f>IF(T$12=0,0,T50/T$12)</f>
        <v>0.3656054842391453</v>
      </c>
      <c r="W50" s="15"/>
      <c r="X50" s="21">
        <f>+P50-T50</f>
        <v>-786986.13000000035</v>
      </c>
      <c r="Y50" s="15"/>
      <c r="Z50" s="22">
        <f>IF(T50=0,0,X50/T50)</f>
        <v>-0.30981339614218456</v>
      </c>
    </row>
    <row r="51" spans="1:26" x14ac:dyDescent="0.3">
      <c r="A51" s="9"/>
      <c r="B51" s="10"/>
      <c r="C51" s="9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6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x14ac:dyDescent="0.3">
      <c r="A52" s="10"/>
      <c r="B52" s="25" t="s">
        <v>295</v>
      </c>
      <c r="C52" s="10"/>
      <c r="D52" s="20">
        <f>SUM(OSRRefD22x_0)</f>
        <v>357580.36</v>
      </c>
      <c r="E52" s="20"/>
      <c r="F52" s="33">
        <f t="shared" ref="F52:F63" si="14">IF(D$12=0,0,D52/D$12)</f>
        <v>0.47326897889349268</v>
      </c>
      <c r="G52" s="20"/>
      <c r="H52" s="20">
        <f>SUM(OSRRefH22x_0)</f>
        <v>437516.66225425637</v>
      </c>
      <c r="I52" s="20"/>
      <c r="J52" s="33">
        <f t="shared" ref="J52:J63" si="15">IF(H$12=0,0,H52/H$12)</f>
        <v>0.21939083490415687</v>
      </c>
      <c r="K52" s="4"/>
      <c r="L52" s="20">
        <f t="shared" ref="L52:L63" si="16">+D52-H52</f>
        <v>-79936.302254256385</v>
      </c>
      <c r="M52" s="4"/>
      <c r="N52" s="33">
        <f t="shared" ref="N52:N63" si="17">IF(H52=0,0,L52/H52)</f>
        <v>-0.18270458967755285</v>
      </c>
      <c r="O52" s="10"/>
      <c r="P52" s="20">
        <f>SUM(OSRRefP22x_0)</f>
        <v>2225256.7299999995</v>
      </c>
      <c r="Q52" s="20"/>
      <c r="R52" s="33">
        <f t="shared" ref="R52:R63" si="18">IF(P$12=0,0,P52/P$12)</f>
        <v>0.50382966899574244</v>
      </c>
      <c r="S52" s="20"/>
      <c r="T52" s="20">
        <f>SUM(OSRRefT22x_0)</f>
        <v>2460902.2368043819</v>
      </c>
      <c r="U52" s="20"/>
      <c r="V52" s="33">
        <f t="shared" ref="V52:V63" si="19">IF(T$12=0,0,T52/T$12)</f>
        <v>0.35419316554249869</v>
      </c>
      <c r="W52" s="4"/>
      <c r="X52" s="20">
        <f t="shared" ref="X52:X63" si="20">+P52-T52</f>
        <v>-235645.50680438243</v>
      </c>
      <c r="Y52" s="4"/>
      <c r="Z52" s="33">
        <f t="shared" ref="Z52:Z63" si="21">IF(T52=0,0,X52/T52)</f>
        <v>-9.5755736770096647E-2</v>
      </c>
    </row>
    <row r="53" spans="1:26" s="28" customFormat="1" outlineLevel="1" collapsed="1" x14ac:dyDescent="0.3">
      <c r="A53" s="29"/>
      <c r="B53" s="14" t="str">
        <f>CONCATENATE("     ","*Benefits                                         ")</f>
        <v xml:space="preserve">     *Benefits                                         </v>
      </c>
      <c r="C53" s="14"/>
      <c r="D53" s="1">
        <f>SUM(OSRRefD22_0x_0)</f>
        <v>58185.54</v>
      </c>
      <c r="E53" s="1"/>
      <c r="F53" s="5">
        <f t="shared" si="14"/>
        <v>7.7010412714407686E-2</v>
      </c>
      <c r="G53" s="1"/>
      <c r="H53" s="1">
        <f>SUM(OSRRefH22_0x_0)</f>
        <v>55451.565374612182</v>
      </c>
      <c r="I53" s="1"/>
      <c r="J53" s="5">
        <f t="shared" si="15"/>
        <v>2.7805947233179348E-2</v>
      </c>
      <c r="K53" s="1"/>
      <c r="L53" s="1">
        <f t="shared" si="16"/>
        <v>2733.9746253878184</v>
      </c>
      <c r="M53" s="1"/>
      <c r="N53" s="5">
        <f t="shared" si="17"/>
        <v>4.9303831315094582E-2</v>
      </c>
      <c r="O53" s="14"/>
      <c r="P53" s="1">
        <f>SUM(OSRRefP22_0x_0)</f>
        <v>359403.28999999992</v>
      </c>
      <c r="Q53" s="1"/>
      <c r="R53" s="5">
        <f t="shared" si="18"/>
        <v>8.1373999770660552E-2</v>
      </c>
      <c r="S53" s="1"/>
      <c r="T53" s="1">
        <f>SUM(OSRRefT22_0x_0)</f>
        <v>346218.67234212661</v>
      </c>
      <c r="U53" s="1"/>
      <c r="V53" s="5">
        <f t="shared" si="19"/>
        <v>4.9830621343990723E-2</v>
      </c>
      <c r="W53" s="1"/>
      <c r="X53" s="1">
        <f t="shared" si="20"/>
        <v>13184.617657873314</v>
      </c>
      <c r="Y53" s="1"/>
      <c r="Z53" s="5">
        <f t="shared" si="21"/>
        <v>3.808176366884259E-2</v>
      </c>
    </row>
    <row r="54" spans="1:26" s="24" customFormat="1" hidden="1" outlineLevel="2" x14ac:dyDescent="0.3">
      <c r="A54" s="27"/>
      <c r="B54" s="11" t="str">
        <f>CONCATENATE("          ", "6111", " - ", "F.I.C.A.")</f>
        <v xml:space="preserve">          6111 - F.I.C.A.</v>
      </c>
      <c r="C54" s="11"/>
      <c r="D54" s="7">
        <v>7139.7</v>
      </c>
      <c r="E54" s="2"/>
      <c r="F54" s="6">
        <f t="shared" si="14"/>
        <v>9.4496200199750049E-3</v>
      </c>
      <c r="G54" s="2"/>
      <c r="H54" s="7">
        <v>12262.650643840099</v>
      </c>
      <c r="I54" s="2"/>
      <c r="J54" s="6">
        <f t="shared" si="15"/>
        <v>6.149053041839673E-3</v>
      </c>
      <c r="K54" s="2"/>
      <c r="L54" s="7">
        <f t="shared" si="16"/>
        <v>-5122.9506438400995</v>
      </c>
      <c r="M54" s="2"/>
      <c r="N54" s="6">
        <f t="shared" si="17"/>
        <v>-0.41776862055623454</v>
      </c>
      <c r="O54" s="11"/>
      <c r="P54" s="7">
        <v>62956.42</v>
      </c>
      <c r="Q54" s="2"/>
      <c r="R54" s="6">
        <f t="shared" si="18"/>
        <v>1.4254225960595994E-2</v>
      </c>
      <c r="S54" s="2"/>
      <c r="T54" s="7">
        <v>72589.285818400895</v>
      </c>
      <c r="U54" s="2"/>
      <c r="V54" s="6">
        <f t="shared" si="19"/>
        <v>1.0447643365904409E-2</v>
      </c>
      <c r="W54" s="2"/>
      <c r="X54" s="7">
        <f t="shared" si="20"/>
        <v>-9632.8658184008964</v>
      </c>
      <c r="Y54" s="2"/>
      <c r="Z54" s="6">
        <f t="shared" si="21"/>
        <v>-0.1327036863608187</v>
      </c>
    </row>
    <row r="55" spans="1:26" s="24" customFormat="1" hidden="1" outlineLevel="2" x14ac:dyDescent="0.3">
      <c r="A55" s="27"/>
      <c r="B55" s="11" t="str">
        <f>CONCATENATE("          ", "6112", " - ", "COMPENSATION INSURANCE")</f>
        <v xml:space="preserve">          6112 - COMPENSATION INSURANCE</v>
      </c>
      <c r="C55" s="11"/>
      <c r="D55" s="7">
        <v>2257.4699999999998</v>
      </c>
      <c r="E55" s="2"/>
      <c r="F55" s="6">
        <f t="shared" si="14"/>
        <v>2.9878333412458472E-3</v>
      </c>
      <c r="G55" s="2"/>
      <c r="H55" s="7">
        <v>4170.66179835</v>
      </c>
      <c r="I55" s="2"/>
      <c r="J55" s="6">
        <f t="shared" si="15"/>
        <v>2.0913602908936464E-3</v>
      </c>
      <c r="K55" s="2"/>
      <c r="L55" s="7">
        <f t="shared" si="16"/>
        <v>-1913.1917983500002</v>
      </c>
      <c r="M55" s="2"/>
      <c r="N55" s="6">
        <f t="shared" si="17"/>
        <v>-0.45872619043502844</v>
      </c>
      <c r="O55" s="11"/>
      <c r="P55" s="7">
        <v>17142.810000000001</v>
      </c>
      <c r="Q55" s="2"/>
      <c r="R55" s="6">
        <f t="shared" si="18"/>
        <v>3.8813752011242798E-3</v>
      </c>
      <c r="S55" s="2"/>
      <c r="T55" s="7">
        <v>20882.716988970002</v>
      </c>
      <c r="U55" s="2"/>
      <c r="V55" s="6">
        <f t="shared" si="19"/>
        <v>3.0056113261354854E-3</v>
      </c>
      <c r="W55" s="2"/>
      <c r="X55" s="7">
        <f t="shared" si="20"/>
        <v>-3739.9069889700004</v>
      </c>
      <c r="Y55" s="2"/>
      <c r="Z55" s="6">
        <f t="shared" si="21"/>
        <v>-0.17909101535711919</v>
      </c>
    </row>
    <row r="56" spans="1:26" s="24" customFormat="1" hidden="1" outlineLevel="2" x14ac:dyDescent="0.3">
      <c r="A56" s="27"/>
      <c r="B56" s="11" t="str">
        <f>CONCATENATE("          ", "6113", " - ", "GROUP INSURANCE")</f>
        <v xml:space="preserve">          6113 - GROUP INSURANCE</v>
      </c>
      <c r="C56" s="11"/>
      <c r="D56" s="7">
        <v>15053.29</v>
      </c>
      <c r="E56" s="2"/>
      <c r="F56" s="6">
        <f t="shared" si="14"/>
        <v>1.9923508067634432E-2</v>
      </c>
      <c r="G56" s="2"/>
      <c r="H56" s="7">
        <v>16784.1538461538</v>
      </c>
      <c r="I56" s="2"/>
      <c r="J56" s="6">
        <f t="shared" si="15"/>
        <v>8.4163412348569923E-3</v>
      </c>
      <c r="K56" s="2"/>
      <c r="L56" s="7">
        <f t="shared" si="16"/>
        <v>-1730.8638461537994</v>
      </c>
      <c r="M56" s="2"/>
      <c r="N56" s="6">
        <f t="shared" si="17"/>
        <v>-0.10312487969421456</v>
      </c>
      <c r="O56" s="11"/>
      <c r="P56" s="7">
        <v>121860.33</v>
      </c>
      <c r="Q56" s="2"/>
      <c r="R56" s="6">
        <f t="shared" si="18"/>
        <v>2.7590906208656635E-2</v>
      </c>
      <c r="S56" s="2"/>
      <c r="T56" s="7">
        <v>118158.653846154</v>
      </c>
      <c r="U56" s="2"/>
      <c r="V56" s="6">
        <f t="shared" si="19"/>
        <v>1.7006359300300953E-2</v>
      </c>
      <c r="W56" s="2"/>
      <c r="X56" s="7">
        <f t="shared" si="20"/>
        <v>3701.6761538459978</v>
      </c>
      <c r="Y56" s="2"/>
      <c r="Z56" s="6">
        <f t="shared" si="21"/>
        <v>3.1328015624362882E-2</v>
      </c>
    </row>
    <row r="57" spans="1:26" s="24" customFormat="1" hidden="1" outlineLevel="2" x14ac:dyDescent="0.3">
      <c r="A57" s="27"/>
      <c r="B57" s="11" t="str">
        <f>CONCATENATE("          ", "6114", " - ", "STATE UNEMPLOYMENT INSURANCE")</f>
        <v xml:space="preserve">          6114 - STATE UNEMPLOYMENT INSURANCE</v>
      </c>
      <c r="C57" s="11"/>
      <c r="D57" s="7">
        <v>406.86</v>
      </c>
      <c r="E57" s="2"/>
      <c r="F57" s="6">
        <f t="shared" si="14"/>
        <v>5.3849214971595882E-4</v>
      </c>
      <c r="G57" s="2"/>
      <c r="H57" s="7">
        <v>561.43524208557596</v>
      </c>
      <c r="I57" s="2"/>
      <c r="J57" s="6">
        <f t="shared" si="15"/>
        <v>2.8152926992799037E-4</v>
      </c>
      <c r="K57" s="2"/>
      <c r="L57" s="7">
        <f t="shared" si="16"/>
        <v>-154.57524208557595</v>
      </c>
      <c r="M57" s="2"/>
      <c r="N57" s="6">
        <f t="shared" si="17"/>
        <v>-0.27532158742185808</v>
      </c>
      <c r="O57" s="11"/>
      <c r="P57" s="7">
        <v>3093.05</v>
      </c>
      <c r="Q57" s="2"/>
      <c r="R57" s="6">
        <f t="shared" si="18"/>
        <v>7.0031036719402789E-4</v>
      </c>
      <c r="S57" s="2"/>
      <c r="T57" s="7">
        <v>2811.1349792844198</v>
      </c>
      <c r="U57" s="2"/>
      <c r="V57" s="6">
        <f t="shared" si="19"/>
        <v>4.0460152467208408E-4</v>
      </c>
      <c r="W57" s="2"/>
      <c r="X57" s="7">
        <f t="shared" si="20"/>
        <v>281.91502071558034</v>
      </c>
      <c r="Y57" s="2"/>
      <c r="Z57" s="6">
        <f t="shared" si="21"/>
        <v>0.10028512426228013</v>
      </c>
    </row>
    <row r="58" spans="1:26" s="24" customFormat="1" hidden="1" outlineLevel="2" x14ac:dyDescent="0.3">
      <c r="A58" s="27"/>
      <c r="B58" s="11" t="str">
        <f>CONCATENATE("          ", "6115", " - ", "P.E.R.S.")</f>
        <v xml:space="preserve">          6115 - P.E.R.S.</v>
      </c>
      <c r="C58" s="11"/>
      <c r="D58" s="7">
        <v>5727.73</v>
      </c>
      <c r="E58" s="2"/>
      <c r="F58" s="6">
        <f t="shared" si="14"/>
        <v>7.5808328188875498E-3</v>
      </c>
      <c r="G58" s="2"/>
      <c r="H58" s="7">
        <v>5269.4978039807702</v>
      </c>
      <c r="I58" s="2"/>
      <c r="J58" s="6">
        <f t="shared" si="15"/>
        <v>2.6423668456062679E-3</v>
      </c>
      <c r="K58" s="2"/>
      <c r="L58" s="7">
        <f t="shared" si="16"/>
        <v>458.23219601922938</v>
      </c>
      <c r="M58" s="2"/>
      <c r="N58" s="6">
        <f t="shared" si="17"/>
        <v>8.6959367489073458E-2</v>
      </c>
      <c r="O58" s="11"/>
      <c r="P58" s="7">
        <v>48335.55</v>
      </c>
      <c r="Q58" s="2"/>
      <c r="R58" s="6">
        <f t="shared" si="18"/>
        <v>1.0943853726588737E-2</v>
      </c>
      <c r="S58" s="2"/>
      <c r="T58" s="7">
        <v>34488.479846219197</v>
      </c>
      <c r="U58" s="2"/>
      <c r="V58" s="6">
        <f t="shared" si="19"/>
        <v>4.9638639311993388E-3</v>
      </c>
      <c r="W58" s="2"/>
      <c r="X58" s="7">
        <f t="shared" si="20"/>
        <v>13847.070153780805</v>
      </c>
      <c r="Y58" s="2"/>
      <c r="Z58" s="6">
        <f t="shared" si="21"/>
        <v>0.40149841963239769</v>
      </c>
    </row>
    <row r="59" spans="1:26" s="24" customFormat="1" hidden="1" outlineLevel="2" x14ac:dyDescent="0.3">
      <c r="A59" s="27"/>
      <c r="B59" s="11" t="str">
        <f>CONCATENATE("          ", "6116", " - ", "EDUCATIONAL BENEFITS")</f>
        <v xml:space="preserve">          6116 - EDUCATIONAL BENEFITS</v>
      </c>
      <c r="C59" s="11"/>
      <c r="D59" s="7"/>
      <c r="E59" s="2"/>
      <c r="F59" s="6">
        <f t="shared" si="14"/>
        <v>0</v>
      </c>
      <c r="G59" s="2"/>
      <c r="H59" s="7">
        <v>0</v>
      </c>
      <c r="I59" s="2"/>
      <c r="J59" s="6">
        <f t="shared" si="15"/>
        <v>0</v>
      </c>
      <c r="K59" s="2"/>
      <c r="L59" s="7">
        <f t="shared" si="16"/>
        <v>0</v>
      </c>
      <c r="M59" s="2"/>
      <c r="N59" s="6">
        <f t="shared" si="17"/>
        <v>0</v>
      </c>
      <c r="O59" s="11"/>
      <c r="P59" s="7"/>
      <c r="Q59" s="2"/>
      <c r="R59" s="6">
        <f t="shared" si="18"/>
        <v>0</v>
      </c>
      <c r="S59" s="2"/>
      <c r="T59" s="7">
        <v>0</v>
      </c>
      <c r="U59" s="2"/>
      <c r="V59" s="6">
        <f t="shared" si="19"/>
        <v>0</v>
      </c>
      <c r="W59" s="2"/>
      <c r="X59" s="7">
        <f t="shared" si="20"/>
        <v>0</v>
      </c>
      <c r="Y59" s="2"/>
      <c r="Z59" s="6">
        <f t="shared" si="21"/>
        <v>0</v>
      </c>
    </row>
    <row r="60" spans="1:26" s="24" customFormat="1" hidden="1" outlineLevel="2" x14ac:dyDescent="0.3">
      <c r="A60" s="27"/>
      <c r="B60" s="11" t="str">
        <f>CONCATENATE("          ", "6117", " - ", "RETIREMENT STAFF HOURLY")</f>
        <v xml:space="preserve">          6117 - RETIREMENT STAFF HOURLY</v>
      </c>
      <c r="C60" s="11"/>
      <c r="D60" s="7">
        <v>968.65</v>
      </c>
      <c r="E60" s="2"/>
      <c r="F60" s="6">
        <f t="shared" si="14"/>
        <v>1.2820390818029874E-3</v>
      </c>
      <c r="G60" s="2"/>
      <c r="H60" s="7"/>
      <c r="I60" s="2"/>
      <c r="J60" s="6">
        <f t="shared" si="15"/>
        <v>0</v>
      </c>
      <c r="K60" s="2"/>
      <c r="L60" s="7">
        <f t="shared" si="16"/>
        <v>968.65</v>
      </c>
      <c r="M60" s="2"/>
      <c r="N60" s="6">
        <f t="shared" si="17"/>
        <v>0</v>
      </c>
      <c r="O60" s="11"/>
      <c r="P60" s="7">
        <v>4663.0600000000004</v>
      </c>
      <c r="Q60" s="2"/>
      <c r="R60" s="6">
        <f t="shared" si="18"/>
        <v>1.055782887715292E-3</v>
      </c>
      <c r="S60" s="2"/>
      <c r="T60" s="7"/>
      <c r="U60" s="2"/>
      <c r="V60" s="6">
        <f t="shared" si="19"/>
        <v>0</v>
      </c>
      <c r="W60" s="2"/>
      <c r="X60" s="7">
        <f t="shared" si="20"/>
        <v>4663.0600000000004</v>
      </c>
      <c r="Y60" s="2"/>
      <c r="Z60" s="6">
        <f t="shared" si="21"/>
        <v>0</v>
      </c>
    </row>
    <row r="61" spans="1:26" s="24" customFormat="1" hidden="1" outlineLevel="2" x14ac:dyDescent="0.3">
      <c r="A61" s="27"/>
      <c r="B61" s="11" t="str">
        <f>CONCATENATE("          ", "6118", " - ", "VACATION")</f>
        <v xml:space="preserve">          6118 - VACATION</v>
      </c>
      <c r="C61" s="11"/>
      <c r="D61" s="7">
        <v>9670.4599999999991</v>
      </c>
      <c r="E61" s="2"/>
      <c r="F61" s="6">
        <f t="shared" si="14"/>
        <v>1.2799161367896059E-2</v>
      </c>
      <c r="G61" s="2"/>
      <c r="H61" s="7">
        <v>4741.47971583654</v>
      </c>
      <c r="I61" s="2"/>
      <c r="J61" s="6">
        <f t="shared" si="15"/>
        <v>2.377594462754391E-3</v>
      </c>
      <c r="K61" s="2"/>
      <c r="L61" s="7">
        <f t="shared" si="16"/>
        <v>4928.9802841634591</v>
      </c>
      <c r="M61" s="2"/>
      <c r="N61" s="6">
        <f t="shared" si="17"/>
        <v>1.0395447369943749</v>
      </c>
      <c r="O61" s="11"/>
      <c r="P61" s="7">
        <v>43963.98</v>
      </c>
      <c r="Q61" s="2"/>
      <c r="R61" s="6">
        <f t="shared" si="18"/>
        <v>9.9540683070467335E-3</v>
      </c>
      <c r="S61" s="2"/>
      <c r="T61" s="7">
        <v>31510.655007417299</v>
      </c>
      <c r="U61" s="2"/>
      <c r="V61" s="6">
        <f t="shared" si="19"/>
        <v>4.5352710394085845E-3</v>
      </c>
      <c r="W61" s="2"/>
      <c r="X61" s="7">
        <f t="shared" si="20"/>
        <v>12453.324992582704</v>
      </c>
      <c r="Y61" s="2"/>
      <c r="Z61" s="6">
        <f t="shared" si="21"/>
        <v>0.39520996912477108</v>
      </c>
    </row>
    <row r="62" spans="1:26" s="24" customFormat="1" hidden="1" outlineLevel="2" x14ac:dyDescent="0.3">
      <c r="A62" s="27"/>
      <c r="B62" s="11" t="str">
        <f>CONCATENATE("          ", "6119", " - ", "SICK LEAVE")</f>
        <v xml:space="preserve">          6119 - SICK LEAVE</v>
      </c>
      <c r="C62" s="11"/>
      <c r="D62" s="7">
        <v>14065.21</v>
      </c>
      <c r="E62" s="2"/>
      <c r="F62" s="6">
        <f t="shared" si="14"/>
        <v>1.8615752762882565E-2</v>
      </c>
      <c r="G62" s="2"/>
      <c r="H62" s="7">
        <v>9386.6863243653897</v>
      </c>
      <c r="I62" s="2"/>
      <c r="J62" s="6">
        <f t="shared" si="15"/>
        <v>4.7069131929178771E-3</v>
      </c>
      <c r="K62" s="2"/>
      <c r="L62" s="7">
        <f t="shared" si="16"/>
        <v>4678.5236756346094</v>
      </c>
      <c r="M62" s="2"/>
      <c r="N62" s="6">
        <f t="shared" si="17"/>
        <v>0.49842122277915923</v>
      </c>
      <c r="O62" s="11"/>
      <c r="P62" s="7">
        <v>38845.35</v>
      </c>
      <c r="Q62" s="2"/>
      <c r="R62" s="6">
        <f t="shared" si="18"/>
        <v>8.7951379131538544E-3</v>
      </c>
      <c r="S62" s="2"/>
      <c r="T62" s="7">
        <v>48977.745855680798</v>
      </c>
      <c r="U62" s="2"/>
      <c r="V62" s="6">
        <f t="shared" si="19"/>
        <v>7.0492775317585864E-3</v>
      </c>
      <c r="W62" s="2"/>
      <c r="X62" s="7">
        <f t="shared" si="20"/>
        <v>-10132.395855680799</v>
      </c>
      <c r="Y62" s="2"/>
      <c r="Z62" s="6">
        <f t="shared" si="21"/>
        <v>-0.20687754568242486</v>
      </c>
    </row>
    <row r="63" spans="1:26" s="24" customFormat="1" hidden="1" outlineLevel="2" x14ac:dyDescent="0.3">
      <c r="A63" s="27"/>
      <c r="B63" s="11" t="str">
        <f>CONCATENATE("          ", "6156", " - ", "EMPLOYEE MEALS")</f>
        <v xml:space="preserve">          6156 - EMPLOYEE MEALS</v>
      </c>
      <c r="C63" s="11"/>
      <c r="D63" s="7">
        <v>2896.17</v>
      </c>
      <c r="E63" s="2"/>
      <c r="F63" s="6">
        <f t="shared" si="14"/>
        <v>3.8331731043672723E-3</v>
      </c>
      <c r="G63" s="2"/>
      <c r="H63" s="7">
        <v>2275</v>
      </c>
      <c r="I63" s="2"/>
      <c r="J63" s="6">
        <f t="shared" si="15"/>
        <v>1.1407888943825047E-3</v>
      </c>
      <c r="K63" s="2"/>
      <c r="L63" s="7">
        <f t="shared" si="16"/>
        <v>621.17000000000007</v>
      </c>
      <c r="M63" s="2"/>
      <c r="N63" s="6">
        <f t="shared" si="17"/>
        <v>0.27304175824175825</v>
      </c>
      <c r="O63" s="11"/>
      <c r="P63" s="7">
        <v>18542.740000000002</v>
      </c>
      <c r="Q63" s="2"/>
      <c r="R63" s="6">
        <f t="shared" si="18"/>
        <v>4.1983391985850179E-3</v>
      </c>
      <c r="S63" s="2"/>
      <c r="T63" s="7">
        <v>16800</v>
      </c>
      <c r="U63" s="2"/>
      <c r="V63" s="6">
        <f t="shared" si="19"/>
        <v>2.417993324611286E-3</v>
      </c>
      <c r="W63" s="2"/>
      <c r="X63" s="7">
        <f t="shared" si="20"/>
        <v>1742.7400000000016</v>
      </c>
      <c r="Y63" s="2"/>
      <c r="Z63" s="6">
        <f t="shared" si="21"/>
        <v>0.1037345238095239</v>
      </c>
    </row>
    <row r="64" spans="1:26" s="28" customFormat="1" outlineLevel="1" collapsed="1" x14ac:dyDescent="0.3">
      <c r="A64" s="29"/>
      <c r="B64" s="14" t="str">
        <f>CONCATENATE("     ","*Payroll                                          ")</f>
        <v xml:space="preserve">     *Payroll                                          </v>
      </c>
      <c r="C64" s="14"/>
      <c r="D64" s="1">
        <f>SUM(OSRRefD22_1x_0)</f>
        <v>194439.41</v>
      </c>
      <c r="E64" s="1"/>
      <c r="F64" s="5">
        <f t="shared" ref="F64:F74" si="22">IF(D$12=0,0,D64/D$12)</f>
        <v>0.25734674305756944</v>
      </c>
      <c r="G64" s="1"/>
      <c r="H64" s="1">
        <f>SUM(OSRRefH22_1x_0)</f>
        <v>259494.0968796442</v>
      </c>
      <c r="I64" s="1"/>
      <c r="J64" s="5">
        <f t="shared" ref="J64:J74" si="23">IF(H$12=0,0,H64/H$12)</f>
        <v>0.13012219071565534</v>
      </c>
      <c r="K64" s="1"/>
      <c r="L64" s="1">
        <f t="shared" ref="L64:L74" si="24">+D64-H64</f>
        <v>-65054.6868796442</v>
      </c>
      <c r="M64" s="1"/>
      <c r="N64" s="5">
        <f t="shared" ref="N64:N74" si="25">IF(H64=0,0,L64/H64)</f>
        <v>-0.25069813788410444</v>
      </c>
      <c r="O64" s="14"/>
      <c r="P64" s="1">
        <f>SUM(OSRRefP22_1x_0)</f>
        <v>1148637.0699999998</v>
      </c>
      <c r="Q64" s="1"/>
      <c r="R64" s="5">
        <f t="shared" ref="R64:R74" si="26">IF(P$12=0,0,P64/P$12)</f>
        <v>0.26006771577063809</v>
      </c>
      <c r="S64" s="1"/>
      <c r="T64" s="1">
        <f>SUM(OSRRefT22_1x_0)</f>
        <v>1284296.5644622555</v>
      </c>
      <c r="U64" s="1"/>
      <c r="V64" s="5">
        <f t="shared" ref="V64:V74" si="27">IF(T$12=0,0,T64/T$12)</f>
        <v>0.1848464595054132</v>
      </c>
      <c r="W64" s="1"/>
      <c r="X64" s="1">
        <f t="shared" ref="X64:X74" si="28">+P64-T64</f>
        <v>-135659.49446225562</v>
      </c>
      <c r="Y64" s="1"/>
      <c r="Z64" s="5">
        <f t="shared" ref="Z64:Z74" si="29">IF(T64=0,0,X64/T64)</f>
        <v>-0.1056294147442941</v>
      </c>
    </row>
    <row r="65" spans="1:26" s="24" customFormat="1" hidden="1" outlineLevel="2" x14ac:dyDescent="0.3">
      <c r="A65" s="27"/>
      <c r="B65" s="11" t="str">
        <f>CONCATENATE("          ", "6001", " - ", "ADMINISTRATIVE SALARIES")</f>
        <v xml:space="preserve">          6001 - ADMINISTRATIVE SALARIES</v>
      </c>
      <c r="C65" s="11"/>
      <c r="D65" s="7">
        <v>5357.43</v>
      </c>
      <c r="E65" s="2"/>
      <c r="F65" s="6">
        <f t="shared" si="22"/>
        <v>7.0907289919204869E-3</v>
      </c>
      <c r="G65" s="2"/>
      <c r="H65" s="7">
        <v>5174.7596153846198</v>
      </c>
      <c r="I65" s="2"/>
      <c r="J65" s="6">
        <f t="shared" si="23"/>
        <v>2.5948607913537829E-3</v>
      </c>
      <c r="K65" s="2"/>
      <c r="L65" s="7">
        <f t="shared" si="24"/>
        <v>182.6703846153805</v>
      </c>
      <c r="M65" s="2"/>
      <c r="N65" s="6">
        <f t="shared" si="25"/>
        <v>3.5300264783759104E-2</v>
      </c>
      <c r="O65" s="11"/>
      <c r="P65" s="7">
        <v>33692.199999999997</v>
      </c>
      <c r="Q65" s="2"/>
      <c r="R65" s="6">
        <f t="shared" si="26"/>
        <v>7.6283917019041476E-3</v>
      </c>
      <c r="S65" s="2"/>
      <c r="T65" s="7">
        <v>32083.509615384599</v>
      </c>
      <c r="U65" s="2"/>
      <c r="V65" s="6">
        <f t="shared" si="27"/>
        <v>4.6177209571489266E-3</v>
      </c>
      <c r="W65" s="2"/>
      <c r="X65" s="7">
        <f t="shared" si="28"/>
        <v>1608.6903846153982</v>
      </c>
      <c r="Y65" s="2"/>
      <c r="Z65" s="6">
        <f t="shared" si="29"/>
        <v>5.0140723502518671E-2</v>
      </c>
    </row>
    <row r="66" spans="1:26" s="24" customFormat="1" hidden="1" outlineLevel="2" x14ac:dyDescent="0.3">
      <c r="A66" s="27"/>
      <c r="B66" s="11" t="str">
        <f>CONCATENATE("          ", "6002", " - ", "STAFF SALARIES")</f>
        <v xml:space="preserve">          6002 - STAFF SALARIES</v>
      </c>
      <c r="C66" s="11"/>
      <c r="D66" s="7">
        <v>63389.16</v>
      </c>
      <c r="E66" s="2"/>
      <c r="F66" s="6">
        <f t="shared" si="22"/>
        <v>8.3897569279577422E-2</v>
      </c>
      <c r="G66" s="2"/>
      <c r="H66" s="7">
        <v>50084.255779259598</v>
      </c>
      <c r="I66" s="2"/>
      <c r="J66" s="6">
        <f t="shared" si="23"/>
        <v>2.5114533088524012E-2</v>
      </c>
      <c r="K66" s="2"/>
      <c r="L66" s="7">
        <f t="shared" si="24"/>
        <v>13304.904220740405</v>
      </c>
      <c r="M66" s="2"/>
      <c r="N66" s="6">
        <f t="shared" si="25"/>
        <v>0.26565043273040112</v>
      </c>
      <c r="O66" s="11"/>
      <c r="P66" s="7">
        <v>405028.23</v>
      </c>
      <c r="Q66" s="2"/>
      <c r="R66" s="6">
        <f t="shared" si="26"/>
        <v>9.1704132967539209E-2</v>
      </c>
      <c r="S66" s="2"/>
      <c r="T66" s="7">
        <v>328486.97236987099</v>
      </c>
      <c r="U66" s="2"/>
      <c r="V66" s="6">
        <f t="shared" si="27"/>
        <v>4.7278530143578572E-2</v>
      </c>
      <c r="W66" s="2"/>
      <c r="X66" s="7">
        <f t="shared" si="28"/>
        <v>76541.257630128996</v>
      </c>
      <c r="Y66" s="2"/>
      <c r="Z66" s="6">
        <f t="shared" si="29"/>
        <v>0.23301154708791552</v>
      </c>
    </row>
    <row r="67" spans="1:26" s="24" customFormat="1" hidden="1" outlineLevel="2" x14ac:dyDescent="0.3">
      <c r="A67" s="27"/>
      <c r="B67" s="11" t="str">
        <f>CONCATENATE("          ", "6003", " - ", "STAFF HOURLY-9 MONTH")</f>
        <v xml:space="preserve">          6003 - STAFF HOURLY-9 MONTH</v>
      </c>
      <c r="C67" s="11"/>
      <c r="D67" s="7"/>
      <c r="E67" s="2"/>
      <c r="F67" s="6">
        <f t="shared" si="22"/>
        <v>0</v>
      </c>
      <c r="G67" s="2"/>
      <c r="H67" s="7">
        <v>0</v>
      </c>
      <c r="I67" s="2"/>
      <c r="J67" s="6">
        <f t="shared" si="23"/>
        <v>0</v>
      </c>
      <c r="K67" s="2"/>
      <c r="L67" s="7">
        <f t="shared" si="24"/>
        <v>0</v>
      </c>
      <c r="M67" s="2"/>
      <c r="N67" s="6">
        <f t="shared" si="25"/>
        <v>0</v>
      </c>
      <c r="O67" s="11"/>
      <c r="P67" s="7"/>
      <c r="Q67" s="2"/>
      <c r="R67" s="6">
        <f t="shared" si="26"/>
        <v>0</v>
      </c>
      <c r="S67" s="2"/>
      <c r="T67" s="7">
        <v>0</v>
      </c>
      <c r="U67" s="2"/>
      <c r="V67" s="6">
        <f t="shared" si="27"/>
        <v>0</v>
      </c>
      <c r="W67" s="2"/>
      <c r="X67" s="7">
        <f t="shared" si="28"/>
        <v>0</v>
      </c>
      <c r="Y67" s="2"/>
      <c r="Z67" s="6">
        <f t="shared" si="29"/>
        <v>0</v>
      </c>
    </row>
    <row r="68" spans="1:26" s="24" customFormat="1" hidden="1" outlineLevel="2" x14ac:dyDescent="0.3">
      <c r="A68" s="27"/>
      <c r="B68" s="11" t="str">
        <f>CONCATENATE("          ", "6004", " - ", "STAFF HOURLY")</f>
        <v xml:space="preserve">          6004 - STAFF HOURLY</v>
      </c>
      <c r="C68" s="11"/>
      <c r="D68" s="7">
        <v>21317.88</v>
      </c>
      <c r="E68" s="2"/>
      <c r="F68" s="6">
        <f t="shared" si="22"/>
        <v>2.8214892170738939E-2</v>
      </c>
      <c r="G68" s="2"/>
      <c r="H68" s="7">
        <v>45313.941959999996</v>
      </c>
      <c r="I68" s="2"/>
      <c r="J68" s="6">
        <f t="shared" si="23"/>
        <v>2.2722479889521488E-2</v>
      </c>
      <c r="K68" s="2"/>
      <c r="L68" s="7">
        <f t="shared" si="24"/>
        <v>-23996.061959999995</v>
      </c>
      <c r="M68" s="2"/>
      <c r="N68" s="6">
        <f t="shared" si="25"/>
        <v>-0.5295514122603161</v>
      </c>
      <c r="O68" s="11"/>
      <c r="P68" s="7">
        <v>153792.24</v>
      </c>
      <c r="Q68" s="2"/>
      <c r="R68" s="6">
        <f t="shared" si="26"/>
        <v>3.4820743300623028E-2</v>
      </c>
      <c r="S68" s="2"/>
      <c r="T68" s="7">
        <v>265345.737952</v>
      </c>
      <c r="U68" s="2"/>
      <c r="V68" s="6">
        <f t="shared" si="27"/>
        <v>3.819072756440426E-2</v>
      </c>
      <c r="W68" s="2"/>
      <c r="X68" s="7">
        <f t="shared" si="28"/>
        <v>-111553.49795200001</v>
      </c>
      <c r="Y68" s="2"/>
      <c r="Z68" s="6">
        <f t="shared" si="29"/>
        <v>-0.42040810156965702</v>
      </c>
    </row>
    <row r="69" spans="1:26" s="24" customFormat="1" hidden="1" outlineLevel="2" x14ac:dyDescent="0.3">
      <c r="A69" s="27"/>
      <c r="B69" s="11" t="str">
        <f>CONCATENATE("          ", "6005", " - ", "TEMPORARY WAGES-HOURLY")</f>
        <v xml:space="preserve">          6005 - TEMPORARY WAGES-HOURLY</v>
      </c>
      <c r="C69" s="11"/>
      <c r="D69" s="7">
        <v>7084.01</v>
      </c>
      <c r="E69" s="2"/>
      <c r="F69" s="6">
        <f t="shared" si="22"/>
        <v>9.3759125338183872E-3</v>
      </c>
      <c r="G69" s="2"/>
      <c r="H69" s="7">
        <v>3009.34</v>
      </c>
      <c r="I69" s="2"/>
      <c r="J69" s="6">
        <f t="shared" si="23"/>
        <v>1.5090205061191416E-3</v>
      </c>
      <c r="K69" s="2"/>
      <c r="L69" s="7">
        <f t="shared" si="24"/>
        <v>4074.67</v>
      </c>
      <c r="M69" s="2"/>
      <c r="N69" s="6">
        <f t="shared" si="25"/>
        <v>1.3540078555430759</v>
      </c>
      <c r="O69" s="11"/>
      <c r="P69" s="7">
        <v>59931.45</v>
      </c>
      <c r="Q69" s="2"/>
      <c r="R69" s="6">
        <f t="shared" si="26"/>
        <v>1.3569329870506625E-2</v>
      </c>
      <c r="S69" s="2"/>
      <c r="T69" s="7">
        <v>25378.34</v>
      </c>
      <c r="U69" s="2"/>
      <c r="V69" s="6">
        <f t="shared" si="27"/>
        <v>3.6526581374830705E-3</v>
      </c>
      <c r="W69" s="2"/>
      <c r="X69" s="7">
        <f t="shared" si="28"/>
        <v>34553.11</v>
      </c>
      <c r="Y69" s="2"/>
      <c r="Z69" s="6">
        <f t="shared" si="29"/>
        <v>1.361519705386562</v>
      </c>
    </row>
    <row r="70" spans="1:26" s="24" customFormat="1" hidden="1" outlineLevel="2" x14ac:dyDescent="0.3">
      <c r="A70" s="27"/>
      <c r="B70" s="11" t="str">
        <f>CONCATENATE("          ", "6006", " - ", "TEMPORARY PART TIME")</f>
        <v xml:space="preserve">          6006 - TEMPORARY PART TIME</v>
      </c>
      <c r="C70" s="11"/>
      <c r="D70" s="7">
        <v>2092.35</v>
      </c>
      <c r="E70" s="2"/>
      <c r="F70" s="6">
        <f t="shared" si="22"/>
        <v>2.7692917697935073E-3</v>
      </c>
      <c r="G70" s="2"/>
      <c r="H70" s="7">
        <v>0</v>
      </c>
      <c r="I70" s="2"/>
      <c r="J70" s="6">
        <f t="shared" si="23"/>
        <v>0</v>
      </c>
      <c r="K70" s="2"/>
      <c r="L70" s="7">
        <f t="shared" si="24"/>
        <v>2092.35</v>
      </c>
      <c r="M70" s="2"/>
      <c r="N70" s="6">
        <f t="shared" si="25"/>
        <v>0</v>
      </c>
      <c r="O70" s="11"/>
      <c r="P70" s="7">
        <v>11969.97</v>
      </c>
      <c r="Q70" s="2"/>
      <c r="R70" s="6">
        <f t="shared" si="26"/>
        <v>2.7101708947483865E-3</v>
      </c>
      <c r="S70" s="2"/>
      <c r="T70" s="7">
        <v>0</v>
      </c>
      <c r="U70" s="2"/>
      <c r="V70" s="6">
        <f t="shared" si="27"/>
        <v>0</v>
      </c>
      <c r="W70" s="2"/>
      <c r="X70" s="7">
        <f t="shared" si="28"/>
        <v>11969.97</v>
      </c>
      <c r="Y70" s="2"/>
      <c r="Z70" s="6">
        <f t="shared" si="29"/>
        <v>0</v>
      </c>
    </row>
    <row r="71" spans="1:26" s="24" customFormat="1" hidden="1" outlineLevel="2" x14ac:dyDescent="0.3">
      <c r="A71" s="27"/>
      <c r="B71" s="11" t="str">
        <f>CONCATENATE("          ", "6007", " - ", "STUDENT HOURLY")</f>
        <v xml:space="preserve">          6007 - STUDENT HOURLY</v>
      </c>
      <c r="C71" s="11"/>
      <c r="D71" s="7">
        <v>89539.64</v>
      </c>
      <c r="E71" s="2"/>
      <c r="F71" s="6">
        <f t="shared" si="22"/>
        <v>0.11850856124562024</v>
      </c>
      <c r="G71" s="2"/>
      <c r="H71" s="7">
        <v>50998.61</v>
      </c>
      <c r="I71" s="2"/>
      <c r="J71" s="6">
        <f t="shared" si="23"/>
        <v>2.5573032051404199E-2</v>
      </c>
      <c r="K71" s="2"/>
      <c r="L71" s="7">
        <f t="shared" si="24"/>
        <v>38541.03</v>
      </c>
      <c r="M71" s="2"/>
      <c r="N71" s="6">
        <f t="shared" si="25"/>
        <v>0.7557270678553788</v>
      </c>
      <c r="O71" s="11"/>
      <c r="P71" s="7">
        <v>421271.7</v>
      </c>
      <c r="Q71" s="2"/>
      <c r="R71" s="6">
        <f t="shared" si="26"/>
        <v>9.5381884843585563E-2</v>
      </c>
      <c r="S71" s="2"/>
      <c r="T71" s="7">
        <v>265983.09000000003</v>
      </c>
      <c r="U71" s="2"/>
      <c r="V71" s="6">
        <f t="shared" si="27"/>
        <v>3.8282460480921605E-2</v>
      </c>
      <c r="W71" s="2"/>
      <c r="X71" s="7">
        <f t="shared" si="28"/>
        <v>155288.60999999999</v>
      </c>
      <c r="Y71" s="2"/>
      <c r="Z71" s="6">
        <f t="shared" si="29"/>
        <v>0.58382888175334746</v>
      </c>
    </row>
    <row r="72" spans="1:26" s="24" customFormat="1" hidden="1" outlineLevel="2" x14ac:dyDescent="0.3">
      <c r="A72" s="27"/>
      <c r="B72" s="11" t="str">
        <f>CONCATENATE("          ", "6008", " - ", "STUDENT HOURLY-FICA EXEMPT")</f>
        <v xml:space="preserve">          6008 - STUDENT HOURLY-FICA EXEMPT</v>
      </c>
      <c r="C72" s="11"/>
      <c r="D72" s="7">
        <v>5658.94</v>
      </c>
      <c r="E72" s="2"/>
      <c r="F72" s="6">
        <f t="shared" si="22"/>
        <v>7.4897870661004467E-3</v>
      </c>
      <c r="G72" s="2"/>
      <c r="H72" s="7">
        <v>104913.18952499999</v>
      </c>
      <c r="I72" s="2"/>
      <c r="J72" s="6">
        <f t="shared" si="23"/>
        <v>5.2608264388732714E-2</v>
      </c>
      <c r="K72" s="2"/>
      <c r="L72" s="7">
        <f t="shared" si="24"/>
        <v>-99254.249524999992</v>
      </c>
      <c r="M72" s="2"/>
      <c r="N72" s="6">
        <f t="shared" si="25"/>
        <v>-0.94606073816246405</v>
      </c>
      <c r="O72" s="11"/>
      <c r="P72" s="7">
        <v>62951.28</v>
      </c>
      <c r="Q72" s="2"/>
      <c r="R72" s="6">
        <f t="shared" si="26"/>
        <v>1.4253062191731159E-2</v>
      </c>
      <c r="S72" s="2"/>
      <c r="T72" s="7">
        <v>367018.91452499997</v>
      </c>
      <c r="U72" s="2"/>
      <c r="V72" s="6">
        <f t="shared" si="27"/>
        <v>5.2824362221876787E-2</v>
      </c>
      <c r="W72" s="2"/>
      <c r="X72" s="7">
        <f t="shared" si="28"/>
        <v>-304067.634525</v>
      </c>
      <c r="Y72" s="2"/>
      <c r="Z72" s="6">
        <f t="shared" si="29"/>
        <v>-0.8284794665651708</v>
      </c>
    </row>
    <row r="73" spans="1:26" s="24" customFormat="1" hidden="1" outlineLevel="2" x14ac:dyDescent="0.3">
      <c r="A73" s="27"/>
      <c r="B73" s="11" t="str">
        <f>CONCATENATE("          ", "6009", " - ", "TEMPORARY-SEASONAL")</f>
        <v xml:space="preserve">          6009 - TEMPORARY-SEASONAL</v>
      </c>
      <c r="C73" s="11"/>
      <c r="D73" s="7"/>
      <c r="E73" s="2"/>
      <c r="F73" s="6">
        <f t="shared" si="22"/>
        <v>0</v>
      </c>
      <c r="G73" s="2"/>
      <c r="H73" s="7">
        <v>0</v>
      </c>
      <c r="I73" s="2"/>
      <c r="J73" s="6">
        <f t="shared" si="23"/>
        <v>0</v>
      </c>
      <c r="K73" s="2"/>
      <c r="L73" s="7">
        <f t="shared" si="24"/>
        <v>0</v>
      </c>
      <c r="M73" s="2"/>
      <c r="N73" s="6">
        <f t="shared" si="25"/>
        <v>0</v>
      </c>
      <c r="O73" s="11"/>
      <c r="P73" s="7"/>
      <c r="Q73" s="2"/>
      <c r="R73" s="6">
        <f t="shared" si="26"/>
        <v>0</v>
      </c>
      <c r="S73" s="2"/>
      <c r="T73" s="7">
        <v>0</v>
      </c>
      <c r="U73" s="2"/>
      <c r="V73" s="6">
        <f t="shared" si="27"/>
        <v>0</v>
      </c>
      <c r="W73" s="2"/>
      <c r="X73" s="7">
        <f t="shared" si="28"/>
        <v>0</v>
      </c>
      <c r="Y73" s="2"/>
      <c r="Z73" s="6">
        <f t="shared" si="29"/>
        <v>0</v>
      </c>
    </row>
    <row r="74" spans="1:26" s="24" customFormat="1" hidden="1" outlineLevel="2" x14ac:dyDescent="0.3">
      <c r="A74" s="27"/>
      <c r="B74" s="11" t="str">
        <f>CONCATENATE("          ", "6010", " - ", "GRATUITY")</f>
        <v xml:space="preserve">          6010 - GRATUITY</v>
      </c>
      <c r="C74" s="11"/>
      <c r="D74" s="7"/>
      <c r="E74" s="2"/>
      <c r="F74" s="6">
        <f t="shared" si="22"/>
        <v>0</v>
      </c>
      <c r="G74" s="2"/>
      <c r="H74" s="7">
        <v>0</v>
      </c>
      <c r="I74" s="2"/>
      <c r="J74" s="6">
        <f t="shared" si="23"/>
        <v>0</v>
      </c>
      <c r="K74" s="2"/>
      <c r="L74" s="7">
        <f t="shared" si="24"/>
        <v>0</v>
      </c>
      <c r="M74" s="2"/>
      <c r="N74" s="6">
        <f t="shared" si="25"/>
        <v>0</v>
      </c>
      <c r="O74" s="11"/>
      <c r="P74" s="7"/>
      <c r="Q74" s="2"/>
      <c r="R74" s="6">
        <f t="shared" si="26"/>
        <v>0</v>
      </c>
      <c r="S74" s="2"/>
      <c r="T74" s="7">
        <v>0</v>
      </c>
      <c r="U74" s="2"/>
      <c r="V74" s="6">
        <f t="shared" si="27"/>
        <v>0</v>
      </c>
      <c r="W74" s="2"/>
      <c r="X74" s="7">
        <f t="shared" si="28"/>
        <v>0</v>
      </c>
      <c r="Y74" s="2"/>
      <c r="Z74" s="6">
        <f t="shared" si="29"/>
        <v>0</v>
      </c>
    </row>
    <row r="75" spans="1:26" s="28" customFormat="1" outlineLevel="1" collapsed="1" x14ac:dyDescent="0.3">
      <c r="A75" s="29"/>
      <c r="B75" s="14" t="str">
        <f>CONCATENATE("     ","Advertising/Promo                                 ")</f>
        <v xml:space="preserve">     Advertising/Promo                                 </v>
      </c>
      <c r="C75" s="14"/>
      <c r="D75" s="1">
        <f>SUM(OSRRefD22_2x_0)</f>
        <v>722.24</v>
      </c>
      <c r="E75" s="1"/>
      <c r="F75" s="5">
        <f t="shared" ref="F75:F83" si="30">IF(D$12=0,0,D75/D$12)</f>
        <v>9.5590761001537153E-4</v>
      </c>
      <c r="G75" s="1"/>
      <c r="H75" s="1">
        <f>SUM(OSRRefH22_2x_0)</f>
        <v>600</v>
      </c>
      <c r="I75" s="1"/>
      <c r="J75" s="5">
        <f t="shared" ref="J75:J83" si="31">IF(H$12=0,0,H75/H$12)</f>
        <v>3.0086740071626498E-4</v>
      </c>
      <c r="K75" s="1"/>
      <c r="L75" s="1">
        <f t="shared" ref="L75:L83" si="32">+D75-H75</f>
        <v>122.24000000000001</v>
      </c>
      <c r="M75" s="1"/>
      <c r="N75" s="5">
        <f t="shared" ref="N75:N83" si="33">IF(H75=0,0,L75/H75)</f>
        <v>0.20373333333333335</v>
      </c>
      <c r="O75" s="14"/>
      <c r="P75" s="1">
        <f>SUM(OSRRefP22_2x_0)</f>
        <v>6277.23</v>
      </c>
      <c r="Q75" s="1"/>
      <c r="R75" s="5">
        <f t="shared" ref="R75:R83" si="34">IF(P$12=0,0,P75/P$12)</f>
        <v>1.4212538582503895E-3</v>
      </c>
      <c r="S75" s="1"/>
      <c r="T75" s="1">
        <f>SUM(OSRRefT22_2x_0)</f>
        <v>5500</v>
      </c>
      <c r="U75" s="1"/>
      <c r="V75" s="5">
        <f t="shared" ref="V75:V83" si="35">IF(T$12=0,0,T75/T$12)</f>
        <v>7.9160495746202818E-4</v>
      </c>
      <c r="W75" s="1"/>
      <c r="X75" s="1">
        <f t="shared" ref="X75:X83" si="36">+P75-T75</f>
        <v>777.22999999999956</v>
      </c>
      <c r="Y75" s="1"/>
      <c r="Z75" s="5">
        <f t="shared" ref="Z75:Z83" si="37">IF(T75=0,0,X75/T75)</f>
        <v>0.14131454545454539</v>
      </c>
    </row>
    <row r="76" spans="1:26" s="24" customFormat="1" hidden="1" outlineLevel="2" x14ac:dyDescent="0.3">
      <c r="A76" s="27"/>
      <c r="B76" s="11" t="str">
        <f>CONCATENATE("          ", "6362", " - ", "ADVERTISING EXPENSE")</f>
        <v xml:space="preserve">          6362 - ADVERTISING EXPENSE</v>
      </c>
      <c r="C76" s="11"/>
      <c r="D76" s="7">
        <v>722.24</v>
      </c>
      <c r="E76" s="2"/>
      <c r="F76" s="6">
        <f t="shared" si="30"/>
        <v>9.5590761001537153E-4</v>
      </c>
      <c r="G76" s="2"/>
      <c r="H76" s="7">
        <v>600</v>
      </c>
      <c r="I76" s="2"/>
      <c r="J76" s="6">
        <f t="shared" si="31"/>
        <v>3.0086740071626498E-4</v>
      </c>
      <c r="K76" s="2"/>
      <c r="L76" s="7">
        <f t="shared" si="32"/>
        <v>122.24000000000001</v>
      </c>
      <c r="M76" s="2"/>
      <c r="N76" s="6">
        <f t="shared" si="33"/>
        <v>0.20373333333333335</v>
      </c>
      <c r="O76" s="11"/>
      <c r="P76" s="7">
        <v>6277.23</v>
      </c>
      <c r="Q76" s="2"/>
      <c r="R76" s="6">
        <f t="shared" si="34"/>
        <v>1.4212538582503895E-3</v>
      </c>
      <c r="S76" s="2"/>
      <c r="T76" s="7">
        <v>5500</v>
      </c>
      <c r="U76" s="2"/>
      <c r="V76" s="6">
        <f t="shared" si="35"/>
        <v>7.9160495746202818E-4</v>
      </c>
      <c r="W76" s="2"/>
      <c r="X76" s="7">
        <f t="shared" si="36"/>
        <v>777.22999999999956</v>
      </c>
      <c r="Y76" s="2"/>
      <c r="Z76" s="6">
        <f t="shared" si="37"/>
        <v>0.14131454545454539</v>
      </c>
    </row>
    <row r="77" spans="1:26" s="28" customFormat="1" outlineLevel="1" collapsed="1" x14ac:dyDescent="0.3">
      <c r="A77" s="29"/>
      <c r="B77" s="14" t="str">
        <f>CONCATENATE("     ","Bad Debts/Over/Short                              ")</f>
        <v xml:space="preserve">     Bad Debts/Over/Short                              </v>
      </c>
      <c r="C77" s="14"/>
      <c r="D77" s="1">
        <f>SUM(OSRRefD22_3x_0)</f>
        <v>-2.2799999999999998</v>
      </c>
      <c r="E77" s="1"/>
      <c r="F77" s="5">
        <f t="shared" si="30"/>
        <v>-3.0176525127866734E-6</v>
      </c>
      <c r="G77" s="1"/>
      <c r="H77" s="1">
        <f>SUM(OSRRefH22_3x_0)</f>
        <v>235</v>
      </c>
      <c r="I77" s="1"/>
      <c r="J77" s="5">
        <f t="shared" si="31"/>
        <v>1.1783973194720378E-4</v>
      </c>
      <c r="K77" s="1"/>
      <c r="L77" s="1">
        <f t="shared" si="32"/>
        <v>-237.28</v>
      </c>
      <c r="M77" s="1"/>
      <c r="N77" s="5">
        <f t="shared" si="33"/>
        <v>-1.0097021276595746</v>
      </c>
      <c r="O77" s="14"/>
      <c r="P77" s="1">
        <f>SUM(OSRRefP22_3x_0)</f>
        <v>150.78</v>
      </c>
      <c r="Q77" s="1"/>
      <c r="R77" s="5">
        <f t="shared" si="34"/>
        <v>3.4138729462994624E-5</v>
      </c>
      <c r="S77" s="1"/>
      <c r="T77" s="1">
        <f>SUM(OSRRefT22_3x_0)</f>
        <v>1645</v>
      </c>
      <c r="U77" s="1"/>
      <c r="V77" s="5">
        <f t="shared" si="35"/>
        <v>2.3676184636818842E-4</v>
      </c>
      <c r="W77" s="1"/>
      <c r="X77" s="1">
        <f t="shared" si="36"/>
        <v>-1494.22</v>
      </c>
      <c r="Y77" s="1"/>
      <c r="Z77" s="5">
        <f t="shared" si="37"/>
        <v>-0.90834042553191496</v>
      </c>
    </row>
    <row r="78" spans="1:26" s="24" customFormat="1" hidden="1" outlineLevel="2" x14ac:dyDescent="0.3">
      <c r="A78" s="27"/>
      <c r="B78" s="11" t="str">
        <f>CONCATENATE("          ", "6272", " - ", "CASH (OVER/SHORT)")</f>
        <v xml:space="preserve">          6272 - CASH (OVER/SHORT)</v>
      </c>
      <c r="C78" s="11"/>
      <c r="D78" s="7">
        <v>-2.2799999999999998</v>
      </c>
      <c r="E78" s="2"/>
      <c r="F78" s="6">
        <f t="shared" si="30"/>
        <v>-3.0176525127866734E-6</v>
      </c>
      <c r="G78" s="2"/>
      <c r="H78" s="7">
        <v>235</v>
      </c>
      <c r="I78" s="2"/>
      <c r="J78" s="6">
        <f t="shared" si="31"/>
        <v>1.1783973194720378E-4</v>
      </c>
      <c r="K78" s="2"/>
      <c r="L78" s="7">
        <f t="shared" si="32"/>
        <v>-237.28</v>
      </c>
      <c r="M78" s="2"/>
      <c r="N78" s="6">
        <f t="shared" si="33"/>
        <v>-1.0097021276595746</v>
      </c>
      <c r="O78" s="11"/>
      <c r="P78" s="7">
        <v>150.78</v>
      </c>
      <c r="Q78" s="2"/>
      <c r="R78" s="6">
        <f t="shared" si="34"/>
        <v>3.4138729462994624E-5</v>
      </c>
      <c r="S78" s="2"/>
      <c r="T78" s="7">
        <v>1645</v>
      </c>
      <c r="U78" s="2"/>
      <c r="V78" s="6">
        <f t="shared" si="35"/>
        <v>2.3676184636818842E-4</v>
      </c>
      <c r="W78" s="2"/>
      <c r="X78" s="7">
        <f t="shared" si="36"/>
        <v>-1494.22</v>
      </c>
      <c r="Y78" s="2"/>
      <c r="Z78" s="6">
        <f t="shared" si="37"/>
        <v>-0.90834042553191496</v>
      </c>
    </row>
    <row r="79" spans="1:26" s="28" customFormat="1" outlineLevel="1" collapsed="1" x14ac:dyDescent="0.3">
      <c r="A79" s="29"/>
      <c r="B79" s="14" t="str">
        <f>CONCATENATE("     ","Bank/card Fees                                    ")</f>
        <v xml:space="preserve">     Bank/card Fees                                    </v>
      </c>
      <c r="C79" s="14"/>
      <c r="D79" s="1">
        <f>SUM(OSRRefD22_4x_0)</f>
        <v>12256.54</v>
      </c>
      <c r="E79" s="1"/>
      <c r="F79" s="5">
        <f t="shared" si="30"/>
        <v>1.6221920495206307E-2</v>
      </c>
      <c r="G79" s="1"/>
      <c r="H79" s="1">
        <f>SUM(OSRRefH22_4x_0)</f>
        <v>35405</v>
      </c>
      <c r="I79" s="1"/>
      <c r="J79" s="5">
        <f t="shared" si="31"/>
        <v>1.7753683870598936E-2</v>
      </c>
      <c r="K79" s="1"/>
      <c r="L79" s="1">
        <f t="shared" si="32"/>
        <v>-23148.46</v>
      </c>
      <c r="M79" s="1"/>
      <c r="N79" s="5">
        <f t="shared" si="33"/>
        <v>-0.65381895212540597</v>
      </c>
      <c r="O79" s="14"/>
      <c r="P79" s="1">
        <f>SUM(OSRRefP22_4x_0)</f>
        <v>79623.13</v>
      </c>
      <c r="Q79" s="1"/>
      <c r="R79" s="5">
        <f t="shared" si="34"/>
        <v>1.8027805372508629E-2</v>
      </c>
      <c r="S79" s="1"/>
      <c r="T79" s="1">
        <f>SUM(OSRRefT22_4x_0)</f>
        <v>135982</v>
      </c>
      <c r="U79" s="1"/>
      <c r="V79" s="5">
        <f t="shared" si="35"/>
        <v>1.9571640968291185E-2</v>
      </c>
      <c r="W79" s="1"/>
      <c r="X79" s="1">
        <f t="shared" si="36"/>
        <v>-56358.869999999995</v>
      </c>
      <c r="Y79" s="1"/>
      <c r="Z79" s="5">
        <f t="shared" si="37"/>
        <v>-0.41445831065876365</v>
      </c>
    </row>
    <row r="80" spans="1:26" s="24" customFormat="1" hidden="1" outlineLevel="2" x14ac:dyDescent="0.3">
      <c r="A80" s="27"/>
      <c r="B80" s="11" t="str">
        <f>CONCATENATE("          ", "6381", " - ", "BANK/CREDIT CARD FEES")</f>
        <v xml:space="preserve">          6381 - BANK/CREDIT CARD FEES</v>
      </c>
      <c r="C80" s="11"/>
      <c r="D80" s="7">
        <v>12256.54</v>
      </c>
      <c r="E80" s="2"/>
      <c r="F80" s="6">
        <f t="shared" si="30"/>
        <v>1.6221920495206307E-2</v>
      </c>
      <c r="G80" s="2"/>
      <c r="H80" s="7">
        <v>35405</v>
      </c>
      <c r="I80" s="2"/>
      <c r="J80" s="6">
        <f t="shared" si="31"/>
        <v>1.7753683870598936E-2</v>
      </c>
      <c r="K80" s="2"/>
      <c r="L80" s="7">
        <f t="shared" si="32"/>
        <v>-23148.46</v>
      </c>
      <c r="M80" s="2"/>
      <c r="N80" s="6">
        <f t="shared" si="33"/>
        <v>-0.65381895212540597</v>
      </c>
      <c r="O80" s="11"/>
      <c r="P80" s="7">
        <v>79623.13</v>
      </c>
      <c r="Q80" s="2"/>
      <c r="R80" s="6">
        <f t="shared" si="34"/>
        <v>1.8027805372508629E-2</v>
      </c>
      <c r="S80" s="2"/>
      <c r="T80" s="7">
        <v>135982</v>
      </c>
      <c r="U80" s="2"/>
      <c r="V80" s="6">
        <f t="shared" si="35"/>
        <v>1.9571640968291185E-2</v>
      </c>
      <c r="W80" s="2"/>
      <c r="X80" s="7">
        <f t="shared" si="36"/>
        <v>-56358.869999999995</v>
      </c>
      <c r="Y80" s="2"/>
      <c r="Z80" s="6">
        <f t="shared" si="37"/>
        <v>-0.41445831065876365</v>
      </c>
    </row>
    <row r="81" spans="1:26" s="28" customFormat="1" outlineLevel="1" collapsed="1" x14ac:dyDescent="0.3">
      <c r="A81" s="29"/>
      <c r="B81" s="14" t="str">
        <f>CONCATENATE("     ","Depreciation                                      ")</f>
        <v xml:space="preserve">     Depreciation                                      </v>
      </c>
      <c r="C81" s="14"/>
      <c r="D81" s="1">
        <f>SUM(OSRRefD22_5x_0)</f>
        <v>28349.93</v>
      </c>
      <c r="E81" s="1"/>
      <c r="F81" s="5">
        <f t="shared" si="30"/>
        <v>3.752203399202908E-2</v>
      </c>
      <c r="G81" s="1"/>
      <c r="H81" s="1">
        <f>SUM(OSRRefH22_5x_0)</f>
        <v>28229</v>
      </c>
      <c r="I81" s="1"/>
      <c r="J81" s="5">
        <f t="shared" si="31"/>
        <v>1.4155309758032407E-2</v>
      </c>
      <c r="K81" s="1"/>
      <c r="L81" s="1">
        <f t="shared" si="32"/>
        <v>120.93000000000029</v>
      </c>
      <c r="M81" s="1"/>
      <c r="N81" s="5">
        <f t="shared" si="33"/>
        <v>4.2838924510255512E-3</v>
      </c>
      <c r="O81" s="14"/>
      <c r="P81" s="1">
        <f>SUM(OSRRefP22_5x_0)</f>
        <v>212356.52000000002</v>
      </c>
      <c r="Q81" s="1"/>
      <c r="R81" s="5">
        <f t="shared" si="34"/>
        <v>4.8080526502075921E-2</v>
      </c>
      <c r="S81" s="1"/>
      <c r="T81" s="1">
        <f>SUM(OSRRefT22_5x_0)</f>
        <v>211510</v>
      </c>
      <c r="U81" s="1"/>
      <c r="V81" s="5">
        <f t="shared" si="35"/>
        <v>3.0442248100507923E-2</v>
      </c>
      <c r="W81" s="1"/>
      <c r="X81" s="1">
        <f t="shared" si="36"/>
        <v>846.52000000001863</v>
      </c>
      <c r="Y81" s="1"/>
      <c r="Z81" s="5">
        <f t="shared" si="37"/>
        <v>4.0022693962461281E-3</v>
      </c>
    </row>
    <row r="82" spans="1:26" s="24" customFormat="1" hidden="1" outlineLevel="2" x14ac:dyDescent="0.3">
      <c r="A82" s="27"/>
      <c r="B82" s="11" t="str">
        <f>CONCATENATE("          ", "6321", " - ", "BUILDING DEPRECIATION")</f>
        <v xml:space="preserve">          6321 - BUILDING DEPRECIATION</v>
      </c>
      <c r="C82" s="11"/>
      <c r="D82" s="7">
        <v>14131.6</v>
      </c>
      <c r="E82" s="2"/>
      <c r="F82" s="6">
        <f t="shared" si="30"/>
        <v>1.8703622039340419E-2</v>
      </c>
      <c r="G82" s="2"/>
      <c r="H82" s="7"/>
      <c r="I82" s="2"/>
      <c r="J82" s="6">
        <f t="shared" si="31"/>
        <v>0</v>
      </c>
      <c r="K82" s="2"/>
      <c r="L82" s="7">
        <f t="shared" si="32"/>
        <v>14131.6</v>
      </c>
      <c r="M82" s="2"/>
      <c r="N82" s="6">
        <f t="shared" si="33"/>
        <v>0</v>
      </c>
      <c r="O82" s="11"/>
      <c r="P82" s="7">
        <v>112510.71</v>
      </c>
      <c r="Q82" s="2"/>
      <c r="R82" s="6">
        <f t="shared" si="34"/>
        <v>2.5474019700089161E-2</v>
      </c>
      <c r="S82" s="2"/>
      <c r="T82" s="7"/>
      <c r="U82" s="2"/>
      <c r="V82" s="6">
        <f t="shared" si="35"/>
        <v>0</v>
      </c>
      <c r="W82" s="2"/>
      <c r="X82" s="7">
        <f t="shared" si="36"/>
        <v>112510.71</v>
      </c>
      <c r="Y82" s="2"/>
      <c r="Z82" s="6">
        <f t="shared" si="37"/>
        <v>0</v>
      </c>
    </row>
    <row r="83" spans="1:26" s="24" customFormat="1" hidden="1" outlineLevel="2" x14ac:dyDescent="0.3">
      <c r="A83" s="27"/>
      <c r="B83" s="11" t="str">
        <f>CONCATENATE("          ", "6322", " - ", "EQUIPMENT DEPRECIATION EXPENSE")</f>
        <v xml:space="preserve">          6322 - EQUIPMENT DEPRECIATION EXPENSE</v>
      </c>
      <c r="C83" s="11"/>
      <c r="D83" s="7">
        <v>14218.33</v>
      </c>
      <c r="E83" s="2"/>
      <c r="F83" s="6">
        <f t="shared" si="30"/>
        <v>1.8818411952688661E-2</v>
      </c>
      <c r="G83" s="2"/>
      <c r="H83" s="7">
        <v>28229</v>
      </c>
      <c r="I83" s="2"/>
      <c r="J83" s="6">
        <f t="shared" si="31"/>
        <v>1.4155309758032407E-2</v>
      </c>
      <c r="K83" s="2"/>
      <c r="L83" s="7">
        <f t="shared" si="32"/>
        <v>-14010.67</v>
      </c>
      <c r="M83" s="2"/>
      <c r="N83" s="6">
        <f t="shared" si="33"/>
        <v>-0.49632186758298202</v>
      </c>
      <c r="O83" s="11"/>
      <c r="P83" s="7">
        <v>99845.81</v>
      </c>
      <c r="Q83" s="2"/>
      <c r="R83" s="6">
        <f t="shared" si="34"/>
        <v>2.2606506801986757E-2</v>
      </c>
      <c r="S83" s="2"/>
      <c r="T83" s="7">
        <v>211510</v>
      </c>
      <c r="U83" s="2"/>
      <c r="V83" s="6">
        <f t="shared" si="35"/>
        <v>3.0442248100507923E-2</v>
      </c>
      <c r="W83" s="2"/>
      <c r="X83" s="7">
        <f t="shared" si="36"/>
        <v>-111664.19</v>
      </c>
      <c r="Y83" s="2"/>
      <c r="Z83" s="6">
        <f t="shared" si="37"/>
        <v>-0.52793811167320692</v>
      </c>
    </row>
    <row r="84" spans="1:26" s="28" customFormat="1" outlineLevel="1" collapsed="1" x14ac:dyDescent="0.3">
      <c r="A84" s="29"/>
      <c r="B84" s="14" t="str">
        <f>CONCATENATE("     ","Discounts and Markdowns                           ")</f>
        <v xml:space="preserve">     Discounts and Markdowns                           </v>
      </c>
      <c r="C84" s="14"/>
      <c r="D84" s="1">
        <f>SUM(OSRRefD22_6x_0)</f>
        <v>-1290.25</v>
      </c>
      <c r="E84" s="1"/>
      <c r="F84" s="5">
        <f t="shared" ref="F84:F86" si="38">IF(D$12=0,0,D84/D$12)</f>
        <v>-1.7076869099223709E-3</v>
      </c>
      <c r="G84" s="1"/>
      <c r="H84" s="1">
        <f>SUM(OSRRefH22_6x_0)</f>
        <v>0</v>
      </c>
      <c r="I84" s="1"/>
      <c r="J84" s="5">
        <f t="shared" ref="J84:J86" si="39">IF(H$12=0,0,H84/H$12)</f>
        <v>0</v>
      </c>
      <c r="K84" s="1"/>
      <c r="L84" s="1">
        <f t="shared" ref="L84:L86" si="40">+D84-H84</f>
        <v>-1290.25</v>
      </c>
      <c r="M84" s="1"/>
      <c r="N84" s="5">
        <f t="shared" ref="N84:N86" si="41">IF(H84=0,0,L84/H84)</f>
        <v>0</v>
      </c>
      <c r="O84" s="14"/>
      <c r="P84" s="1">
        <f>SUM(OSRRefP22_6x_0)</f>
        <v>2064.5499999999997</v>
      </c>
      <c r="Q84" s="1"/>
      <c r="R84" s="5">
        <f t="shared" ref="R84:R86" si="42">IF(P$12=0,0,P84/P$12)</f>
        <v>4.6744338713904722E-4</v>
      </c>
      <c r="S84" s="1"/>
      <c r="T84" s="1">
        <f>SUM(OSRRefT22_6x_0)</f>
        <v>0</v>
      </c>
      <c r="U84" s="1"/>
      <c r="V84" s="5">
        <f t="shared" ref="V84:V86" si="43">IF(T$12=0,0,T84/T$12)</f>
        <v>0</v>
      </c>
      <c r="W84" s="1"/>
      <c r="X84" s="1">
        <f t="shared" ref="X84:X86" si="44">+P84-T84</f>
        <v>2064.5499999999997</v>
      </c>
      <c r="Y84" s="1"/>
      <c r="Z84" s="5">
        <f t="shared" ref="Z84:Z86" si="45">IF(T84=0,0,X84/T84)</f>
        <v>0</v>
      </c>
    </row>
    <row r="85" spans="1:26" s="24" customFormat="1" hidden="1" outlineLevel="2" x14ac:dyDescent="0.3">
      <c r="A85" s="27"/>
      <c r="B85" s="11" t="str">
        <f>CONCATENATE("          ", "6382", " - ", "DISCOUNTS/MARK DOWNS")</f>
        <v xml:space="preserve">          6382 - DISCOUNTS/MARK DOWNS</v>
      </c>
      <c r="C85" s="11"/>
      <c r="D85" s="7">
        <v>-1238.6500000000001</v>
      </c>
      <c r="E85" s="2"/>
      <c r="F85" s="6">
        <f t="shared" si="38"/>
        <v>-1.6393926688435148E-3</v>
      </c>
      <c r="G85" s="2"/>
      <c r="H85" s="7"/>
      <c r="I85" s="2"/>
      <c r="J85" s="6">
        <f t="shared" si="39"/>
        <v>0</v>
      </c>
      <c r="K85" s="2"/>
      <c r="L85" s="7">
        <f t="shared" si="40"/>
        <v>-1238.6500000000001</v>
      </c>
      <c r="M85" s="2"/>
      <c r="N85" s="6">
        <f t="shared" si="41"/>
        <v>0</v>
      </c>
      <c r="O85" s="11"/>
      <c r="P85" s="7">
        <v>2171.35</v>
      </c>
      <c r="Q85" s="2"/>
      <c r="R85" s="6">
        <f t="shared" si="42"/>
        <v>4.9162442113989506E-4</v>
      </c>
      <c r="S85" s="2"/>
      <c r="T85" s="7">
        <v>0</v>
      </c>
      <c r="U85" s="2"/>
      <c r="V85" s="6">
        <f t="shared" si="43"/>
        <v>0</v>
      </c>
      <c r="W85" s="2"/>
      <c r="X85" s="7">
        <f t="shared" si="44"/>
        <v>2171.35</v>
      </c>
      <c r="Y85" s="2"/>
      <c r="Z85" s="6">
        <f t="shared" si="45"/>
        <v>0</v>
      </c>
    </row>
    <row r="86" spans="1:26" s="24" customFormat="1" hidden="1" outlineLevel="2" x14ac:dyDescent="0.3">
      <c r="A86" s="27"/>
      <c r="B86" s="11" t="str">
        <f>CONCATENATE("          ", "9175", " - ", "EARNED DISCOUNTS")</f>
        <v xml:space="preserve">          9175 - EARNED DISCOUNTS</v>
      </c>
      <c r="C86" s="11"/>
      <c r="D86" s="7">
        <v>-51.6</v>
      </c>
      <c r="E86" s="2"/>
      <c r="F86" s="6">
        <f t="shared" si="38"/>
        <v>-6.8294241078856294E-5</v>
      </c>
      <c r="G86" s="2"/>
      <c r="H86" s="7"/>
      <c r="I86" s="2"/>
      <c r="J86" s="6">
        <f t="shared" si="39"/>
        <v>0</v>
      </c>
      <c r="K86" s="2"/>
      <c r="L86" s="7">
        <f t="shared" si="40"/>
        <v>-51.6</v>
      </c>
      <c r="M86" s="2"/>
      <c r="N86" s="6">
        <f t="shared" si="41"/>
        <v>0</v>
      </c>
      <c r="O86" s="11"/>
      <c r="P86" s="7">
        <v>-106.8</v>
      </c>
      <c r="Q86" s="2"/>
      <c r="R86" s="6">
        <f t="shared" si="42"/>
        <v>-2.4181034000847762E-5</v>
      </c>
      <c r="S86" s="2"/>
      <c r="T86" s="7"/>
      <c r="U86" s="2"/>
      <c r="V86" s="6">
        <f t="shared" si="43"/>
        <v>0</v>
      </c>
      <c r="W86" s="2"/>
      <c r="X86" s="7">
        <f t="shared" si="44"/>
        <v>-106.8</v>
      </c>
      <c r="Y86" s="2"/>
      <c r="Z86" s="6">
        <f t="shared" si="45"/>
        <v>0</v>
      </c>
    </row>
    <row r="87" spans="1:26" s="28" customFormat="1" outlineLevel="1" collapsed="1" x14ac:dyDescent="0.3">
      <c r="A87" s="29"/>
      <c r="B87" s="14" t="str">
        <f>CONCATENATE("     ","Donations                                         ")</f>
        <v xml:space="preserve">     Donations                                         </v>
      </c>
      <c r="C87" s="14"/>
      <c r="D87" s="1">
        <f>SUM(OSRRefD22_7x_0)</f>
        <v>0</v>
      </c>
      <c r="E87" s="1"/>
      <c r="F87" s="5">
        <f t="shared" ref="F87:F95" si="46">IF(D$12=0,0,D87/D$12)</f>
        <v>0</v>
      </c>
      <c r="G87" s="1"/>
      <c r="H87" s="1">
        <f>SUM(OSRRefH22_7x_0)</f>
        <v>1250</v>
      </c>
      <c r="I87" s="1"/>
      <c r="J87" s="5">
        <f t="shared" ref="J87:J95" si="47">IF(H$12=0,0,H87/H$12)</f>
        <v>6.2680708482555202E-4</v>
      </c>
      <c r="K87" s="1"/>
      <c r="L87" s="1">
        <f t="shared" ref="L87:L95" si="48">+D87-H87</f>
        <v>-1250</v>
      </c>
      <c r="M87" s="1"/>
      <c r="N87" s="5">
        <f t="shared" ref="N87:N95" si="49">IF(H87=0,0,L87/H87)</f>
        <v>-1</v>
      </c>
      <c r="O87" s="14"/>
      <c r="P87" s="1">
        <f>SUM(OSRRefP22_7x_0)</f>
        <v>2820.22</v>
      </c>
      <c r="Q87" s="1"/>
      <c r="R87" s="5">
        <f t="shared" ref="R87:R95" si="50">IF(P$12=0,0,P87/P$12)</f>
        <v>6.385377875456074E-4</v>
      </c>
      <c r="S87" s="1"/>
      <c r="T87" s="1">
        <f>SUM(OSRRefT22_7x_0)</f>
        <v>8750</v>
      </c>
      <c r="U87" s="1"/>
      <c r="V87" s="5">
        <f t="shared" ref="V87:V95" si="51">IF(T$12=0,0,T87/T$12)</f>
        <v>1.2593715232350447E-3</v>
      </c>
      <c r="W87" s="1"/>
      <c r="X87" s="1">
        <f t="shared" ref="X87:X95" si="52">+P87-T87</f>
        <v>-5929.7800000000007</v>
      </c>
      <c r="Y87" s="1"/>
      <c r="Z87" s="5">
        <f t="shared" ref="Z87:Z95" si="53">IF(T87=0,0,X87/T87)</f>
        <v>-0.67768914285714288</v>
      </c>
    </row>
    <row r="88" spans="1:26" s="24" customFormat="1" hidden="1" outlineLevel="2" x14ac:dyDescent="0.3">
      <c r="A88" s="27"/>
      <c r="B88" s="11" t="str">
        <f>CONCATENATE("          ", "6399", " - ", "DONATION-ON CAMPUS")</f>
        <v xml:space="preserve">          6399 - DONATION-ON CAMPUS</v>
      </c>
      <c r="C88" s="11"/>
      <c r="D88" s="7"/>
      <c r="E88" s="2"/>
      <c r="F88" s="6">
        <f t="shared" si="46"/>
        <v>0</v>
      </c>
      <c r="G88" s="2"/>
      <c r="H88" s="7">
        <v>1250</v>
      </c>
      <c r="I88" s="2"/>
      <c r="J88" s="6">
        <f t="shared" si="47"/>
        <v>6.2680708482555202E-4</v>
      </c>
      <c r="K88" s="2"/>
      <c r="L88" s="7">
        <f t="shared" si="48"/>
        <v>-1250</v>
      </c>
      <c r="M88" s="2"/>
      <c r="N88" s="6">
        <f t="shared" si="49"/>
        <v>-1</v>
      </c>
      <c r="O88" s="11"/>
      <c r="P88" s="7">
        <v>2820.22</v>
      </c>
      <c r="Q88" s="2"/>
      <c r="R88" s="6">
        <f t="shared" si="50"/>
        <v>6.385377875456074E-4</v>
      </c>
      <c r="S88" s="2"/>
      <c r="T88" s="7">
        <v>8750</v>
      </c>
      <c r="U88" s="2"/>
      <c r="V88" s="6">
        <f t="shared" si="51"/>
        <v>1.2593715232350447E-3</v>
      </c>
      <c r="W88" s="2"/>
      <c r="X88" s="7">
        <f t="shared" si="52"/>
        <v>-5929.7800000000007</v>
      </c>
      <c r="Y88" s="2"/>
      <c r="Z88" s="6">
        <f t="shared" si="53"/>
        <v>-0.67768914285714288</v>
      </c>
    </row>
    <row r="89" spans="1:26" s="28" customFormat="1" outlineLevel="1" collapsed="1" x14ac:dyDescent="0.3">
      <c r="A89" s="29"/>
      <c r="B89" s="14" t="str">
        <f>CONCATENATE("     ","Employees' Appreciation                           ")</f>
        <v xml:space="preserve">     Employees' Appreciation                           </v>
      </c>
      <c r="C89" s="14"/>
      <c r="D89" s="1">
        <f>SUM(OSRRefD22_8x_0)</f>
        <v>1421.38</v>
      </c>
      <c r="E89" s="1"/>
      <c r="F89" s="5">
        <f t="shared" si="46"/>
        <v>1.8812416353617203E-3</v>
      </c>
      <c r="G89" s="1"/>
      <c r="H89" s="1">
        <f>SUM(OSRRefH22_8x_0)</f>
        <v>225</v>
      </c>
      <c r="I89" s="1"/>
      <c r="J89" s="5">
        <f t="shared" si="47"/>
        <v>1.1282527526859937E-4</v>
      </c>
      <c r="K89" s="1"/>
      <c r="L89" s="1">
        <f t="shared" si="48"/>
        <v>1196.3800000000001</v>
      </c>
      <c r="M89" s="1"/>
      <c r="N89" s="5">
        <f t="shared" si="49"/>
        <v>5.3172444444444453</v>
      </c>
      <c r="O89" s="14"/>
      <c r="P89" s="1">
        <f>SUM(OSRRefP22_8x_0)</f>
        <v>4245.1899999999996</v>
      </c>
      <c r="Q89" s="1"/>
      <c r="R89" s="5">
        <f t="shared" si="50"/>
        <v>9.6117119597433434E-4</v>
      </c>
      <c r="S89" s="1"/>
      <c r="T89" s="1">
        <f>SUM(OSRRefT22_8x_0)</f>
        <v>1575</v>
      </c>
      <c r="U89" s="1"/>
      <c r="V89" s="5">
        <f t="shared" si="51"/>
        <v>2.2668687418230806E-4</v>
      </c>
      <c r="W89" s="1"/>
      <c r="X89" s="1">
        <f t="shared" si="52"/>
        <v>2670.1899999999996</v>
      </c>
      <c r="Y89" s="1"/>
      <c r="Z89" s="5">
        <f t="shared" si="53"/>
        <v>1.6953587301587298</v>
      </c>
    </row>
    <row r="90" spans="1:26" s="24" customFormat="1" hidden="1" outlineLevel="2" x14ac:dyDescent="0.3">
      <c r="A90" s="27"/>
      <c r="B90" s="11" t="str">
        <f>CONCATENATE("          ", "6277", " - ", "EMPLOYEE APPRECIATION")</f>
        <v xml:space="preserve">          6277 - EMPLOYEE APPRECIATION</v>
      </c>
      <c r="C90" s="11"/>
      <c r="D90" s="7">
        <v>1421.38</v>
      </c>
      <c r="E90" s="2"/>
      <c r="F90" s="6">
        <f t="shared" si="46"/>
        <v>1.8812416353617203E-3</v>
      </c>
      <c r="G90" s="2"/>
      <c r="H90" s="7">
        <v>225</v>
      </c>
      <c r="I90" s="2"/>
      <c r="J90" s="6">
        <f t="shared" si="47"/>
        <v>1.1282527526859937E-4</v>
      </c>
      <c r="K90" s="2"/>
      <c r="L90" s="7">
        <f t="shared" si="48"/>
        <v>1196.3800000000001</v>
      </c>
      <c r="M90" s="2"/>
      <c r="N90" s="6">
        <f t="shared" si="49"/>
        <v>5.3172444444444453</v>
      </c>
      <c r="O90" s="11"/>
      <c r="P90" s="7">
        <v>4245.1899999999996</v>
      </c>
      <c r="Q90" s="2"/>
      <c r="R90" s="6">
        <f t="shared" si="50"/>
        <v>9.6117119597433434E-4</v>
      </c>
      <c r="S90" s="2"/>
      <c r="T90" s="7">
        <v>1575</v>
      </c>
      <c r="U90" s="2"/>
      <c r="V90" s="6">
        <f t="shared" si="51"/>
        <v>2.2668687418230806E-4</v>
      </c>
      <c r="W90" s="2"/>
      <c r="X90" s="7">
        <f t="shared" si="52"/>
        <v>2670.1899999999996</v>
      </c>
      <c r="Y90" s="2"/>
      <c r="Z90" s="6">
        <f t="shared" si="53"/>
        <v>1.6953587301587298</v>
      </c>
    </row>
    <row r="91" spans="1:26" s="28" customFormat="1" outlineLevel="1" collapsed="1" x14ac:dyDescent="0.3">
      <c r="A91" s="29"/>
      <c r="B91" s="14" t="str">
        <f>CONCATENATE("     ","Equipment Rental                                  ")</f>
        <v xml:space="preserve">     Equipment Rental                                  </v>
      </c>
      <c r="C91" s="14"/>
      <c r="D91" s="1">
        <f>SUM(OSRRefD22_9x_0)</f>
        <v>1479.42</v>
      </c>
      <c r="E91" s="1"/>
      <c r="F91" s="5">
        <f t="shared" si="46"/>
        <v>1.9580594212573951E-3</v>
      </c>
      <c r="G91" s="1"/>
      <c r="H91" s="1">
        <f>SUM(OSRRefH22_9x_0)</f>
        <v>1700</v>
      </c>
      <c r="I91" s="1"/>
      <c r="J91" s="5">
        <f t="shared" si="47"/>
        <v>8.5245763536275084E-4</v>
      </c>
      <c r="K91" s="1"/>
      <c r="L91" s="1">
        <f t="shared" si="48"/>
        <v>-220.57999999999993</v>
      </c>
      <c r="M91" s="1"/>
      <c r="N91" s="5">
        <f t="shared" si="49"/>
        <v>-0.12975294117647054</v>
      </c>
      <c r="O91" s="14"/>
      <c r="P91" s="1">
        <f>SUM(OSRRefP22_9x_0)</f>
        <v>11309.94</v>
      </c>
      <c r="Q91" s="1"/>
      <c r="R91" s="5">
        <f t="shared" si="50"/>
        <v>2.5607307461380912E-3</v>
      </c>
      <c r="S91" s="1"/>
      <c r="T91" s="1">
        <f>SUM(OSRRefT22_9x_0)</f>
        <v>11700</v>
      </c>
      <c r="U91" s="1"/>
      <c r="V91" s="5">
        <f t="shared" si="51"/>
        <v>1.6839596367828598E-3</v>
      </c>
      <c r="W91" s="1"/>
      <c r="X91" s="1">
        <f t="shared" si="52"/>
        <v>-390.05999999999949</v>
      </c>
      <c r="Y91" s="1"/>
      <c r="Z91" s="5">
        <f t="shared" si="53"/>
        <v>-3.3338461538461497E-2</v>
      </c>
    </row>
    <row r="92" spans="1:26" s="24" customFormat="1" hidden="1" outlineLevel="2" x14ac:dyDescent="0.3">
      <c r="A92" s="27"/>
      <c r="B92" s="11" t="str">
        <f>CONCATENATE("          ", "6351", " - ", "EQUIPMENT RENTAL")</f>
        <v xml:space="preserve">          6351 - EQUIPMENT RENTAL</v>
      </c>
      <c r="C92" s="11"/>
      <c r="D92" s="7">
        <v>1479.42</v>
      </c>
      <c r="E92" s="2"/>
      <c r="F92" s="6">
        <f t="shared" si="46"/>
        <v>1.9580594212573951E-3</v>
      </c>
      <c r="G92" s="2"/>
      <c r="H92" s="7">
        <v>1700</v>
      </c>
      <c r="I92" s="2"/>
      <c r="J92" s="6">
        <f t="shared" si="47"/>
        <v>8.5245763536275084E-4</v>
      </c>
      <c r="K92" s="2"/>
      <c r="L92" s="7">
        <f t="shared" si="48"/>
        <v>-220.57999999999993</v>
      </c>
      <c r="M92" s="2"/>
      <c r="N92" s="6">
        <f t="shared" si="49"/>
        <v>-0.12975294117647054</v>
      </c>
      <c r="O92" s="11"/>
      <c r="P92" s="7">
        <v>11309.94</v>
      </c>
      <c r="Q92" s="2"/>
      <c r="R92" s="6">
        <f t="shared" si="50"/>
        <v>2.5607307461380912E-3</v>
      </c>
      <c r="S92" s="2"/>
      <c r="T92" s="7">
        <v>11700</v>
      </c>
      <c r="U92" s="2"/>
      <c r="V92" s="6">
        <f t="shared" si="51"/>
        <v>1.6839596367828598E-3</v>
      </c>
      <c r="W92" s="2"/>
      <c r="X92" s="7">
        <f t="shared" si="52"/>
        <v>-390.05999999999949</v>
      </c>
      <c r="Y92" s="2"/>
      <c r="Z92" s="6">
        <f t="shared" si="53"/>
        <v>-3.3338461538461497E-2</v>
      </c>
    </row>
    <row r="93" spans="1:26" s="28" customFormat="1" outlineLevel="1" collapsed="1" x14ac:dyDescent="0.3">
      <c r="A93" s="29"/>
      <c r="B93" s="14" t="str">
        <f>CONCATENATE("     ","Freight out/Postage                               ")</f>
        <v xml:space="preserve">     Freight out/Postage                               </v>
      </c>
      <c r="C93" s="14"/>
      <c r="D93" s="1">
        <f>SUM(OSRRefD22_10x_0)</f>
        <v>-7280.8900000000012</v>
      </c>
      <c r="E93" s="1"/>
      <c r="F93" s="5">
        <f t="shared" si="46"/>
        <v>-9.636489475361127E-3</v>
      </c>
      <c r="G93" s="1"/>
      <c r="H93" s="1">
        <f>SUM(OSRRefH22_10x_0)</f>
        <v>-25550</v>
      </c>
      <c r="I93" s="1"/>
      <c r="J93" s="5">
        <f t="shared" si="47"/>
        <v>-1.2811936813834284E-2</v>
      </c>
      <c r="K93" s="1"/>
      <c r="L93" s="1">
        <f t="shared" si="48"/>
        <v>18269.11</v>
      </c>
      <c r="M93" s="1"/>
      <c r="N93" s="5">
        <f t="shared" si="49"/>
        <v>-0.7150336594911938</v>
      </c>
      <c r="O93" s="14"/>
      <c r="P93" s="1">
        <f>SUM(OSRRefP22_10x_0)</f>
        <v>-39448.099999999991</v>
      </c>
      <c r="Q93" s="1"/>
      <c r="R93" s="5">
        <f t="shared" si="50"/>
        <v>-8.9316090577606973E-3</v>
      </c>
      <c r="S93" s="1"/>
      <c r="T93" s="1">
        <f>SUM(OSRRefT22_10x_0)</f>
        <v>-16950</v>
      </c>
      <c r="U93" s="1"/>
      <c r="V93" s="5">
        <f t="shared" si="51"/>
        <v>-2.4395825507238867E-3</v>
      </c>
      <c r="W93" s="1"/>
      <c r="X93" s="1">
        <f t="shared" si="52"/>
        <v>-22498.099999999991</v>
      </c>
      <c r="Y93" s="1"/>
      <c r="Z93" s="5">
        <f t="shared" si="53"/>
        <v>1.3273215339233033</v>
      </c>
    </row>
    <row r="94" spans="1:26" s="24" customFormat="1" hidden="1" outlineLevel="2" x14ac:dyDescent="0.3">
      <c r="A94" s="27"/>
      <c r="B94" s="11" t="str">
        <f>CONCATENATE("          ", "6305", " - ", "FREIGHT OUT")</f>
        <v xml:space="preserve">          6305 - FREIGHT OUT</v>
      </c>
      <c r="C94" s="11"/>
      <c r="D94" s="7">
        <v>16037.19</v>
      </c>
      <c r="E94" s="2"/>
      <c r="F94" s="6">
        <f t="shared" si="46"/>
        <v>2.1225731009446192E-2</v>
      </c>
      <c r="G94" s="2"/>
      <c r="H94" s="7">
        <v>15850</v>
      </c>
      <c r="I94" s="2"/>
      <c r="J94" s="6">
        <f t="shared" si="47"/>
        <v>7.9479138355880007E-3</v>
      </c>
      <c r="K94" s="2"/>
      <c r="L94" s="7">
        <f t="shared" si="48"/>
        <v>187.19000000000051</v>
      </c>
      <c r="M94" s="2"/>
      <c r="N94" s="6">
        <f t="shared" si="49"/>
        <v>1.1810094637224006E-2</v>
      </c>
      <c r="O94" s="11"/>
      <c r="P94" s="7">
        <v>94136.45</v>
      </c>
      <c r="Q94" s="2"/>
      <c r="R94" s="6">
        <f t="shared" si="50"/>
        <v>2.1313826761883009E-2</v>
      </c>
      <c r="S94" s="2"/>
      <c r="T94" s="7">
        <v>115350</v>
      </c>
      <c r="U94" s="2"/>
      <c r="V94" s="6">
        <f t="shared" si="51"/>
        <v>1.6602114880589991E-2</v>
      </c>
      <c r="W94" s="2"/>
      <c r="X94" s="7">
        <f t="shared" si="52"/>
        <v>-21213.550000000003</v>
      </c>
      <c r="Y94" s="2"/>
      <c r="Z94" s="6">
        <f t="shared" si="53"/>
        <v>-0.18390593844820116</v>
      </c>
    </row>
    <row r="95" spans="1:26" s="24" customFormat="1" hidden="1" outlineLevel="2" x14ac:dyDescent="0.3">
      <c r="A95" s="27"/>
      <c r="B95" s="11" t="str">
        <f>CONCATENATE("          ", "6307", " - ", "POSTAGE")</f>
        <v xml:space="preserve">          6307 - POSTAGE</v>
      </c>
      <c r="C95" s="11"/>
      <c r="D95" s="7">
        <v>-23318.080000000002</v>
      </c>
      <c r="E95" s="2"/>
      <c r="F95" s="6">
        <f t="shared" si="46"/>
        <v>-3.0862220484807319E-2</v>
      </c>
      <c r="G95" s="2"/>
      <c r="H95" s="7">
        <v>-41400</v>
      </c>
      <c r="I95" s="2"/>
      <c r="J95" s="6">
        <f t="shared" si="47"/>
        <v>-2.0759850649422283E-2</v>
      </c>
      <c r="K95" s="2"/>
      <c r="L95" s="7">
        <f t="shared" si="48"/>
        <v>18081.919999999998</v>
      </c>
      <c r="M95" s="2"/>
      <c r="N95" s="6">
        <f t="shared" si="49"/>
        <v>-0.43676135265700478</v>
      </c>
      <c r="O95" s="11"/>
      <c r="P95" s="7">
        <v>-133584.54999999999</v>
      </c>
      <c r="Q95" s="2"/>
      <c r="R95" s="6">
        <f t="shared" si="50"/>
        <v>-3.0245435819643705E-2</v>
      </c>
      <c r="S95" s="2"/>
      <c r="T95" s="7">
        <v>-132300</v>
      </c>
      <c r="U95" s="2"/>
      <c r="V95" s="6">
        <f t="shared" si="51"/>
        <v>-1.9041697431313877E-2</v>
      </c>
      <c r="W95" s="2"/>
      <c r="X95" s="7">
        <f t="shared" si="52"/>
        <v>-1284.5499999999884</v>
      </c>
      <c r="Y95" s="2"/>
      <c r="Z95" s="6">
        <f t="shared" si="53"/>
        <v>9.709372637943978E-3</v>
      </c>
    </row>
    <row r="96" spans="1:26" s="28" customFormat="1" outlineLevel="1" collapsed="1" x14ac:dyDescent="0.3">
      <c r="A96" s="29"/>
      <c r="B96" s="14" t="str">
        <f>CONCATENATE("     ","General                                           ")</f>
        <v xml:space="preserve">     General                                           </v>
      </c>
      <c r="C96" s="14"/>
      <c r="D96" s="1">
        <f>SUM(OSRRefD22_11x_0)</f>
        <v>0</v>
      </c>
      <c r="E96" s="1"/>
      <c r="F96" s="5">
        <f t="shared" ref="F96:F98" si="54">IF(D$12=0,0,D96/D$12)</f>
        <v>0</v>
      </c>
      <c r="G96" s="1"/>
      <c r="H96" s="1">
        <f>SUM(OSRRefH22_11x_0)</f>
        <v>200</v>
      </c>
      <c r="I96" s="1"/>
      <c r="J96" s="5">
        <f t="shared" ref="J96:J98" si="55">IF(H$12=0,0,H96/H$12)</f>
        <v>1.0028913357208833E-4</v>
      </c>
      <c r="K96" s="1"/>
      <c r="L96" s="1">
        <f t="shared" ref="L96:L98" si="56">+D96-H96</f>
        <v>-200</v>
      </c>
      <c r="M96" s="1"/>
      <c r="N96" s="5">
        <f t="shared" ref="N96:N98" si="57">IF(H96=0,0,L96/H96)</f>
        <v>-1</v>
      </c>
      <c r="O96" s="14"/>
      <c r="P96" s="1">
        <f>SUM(OSRRefP22_11x_0)</f>
        <v>4331.1899999999996</v>
      </c>
      <c r="Q96" s="1"/>
      <c r="R96" s="5">
        <f t="shared" ref="R96:R98" si="58">IF(P$12=0,0,P96/P$12)</f>
        <v>9.8064281511359369E-4</v>
      </c>
      <c r="S96" s="1"/>
      <c r="T96" s="1">
        <f>SUM(OSRRefT22_11x_0)</f>
        <v>4025</v>
      </c>
      <c r="U96" s="1"/>
      <c r="V96" s="5">
        <f t="shared" ref="V96:V98" si="59">IF(T$12=0,0,T96/T$12)</f>
        <v>5.7931090068812064E-4</v>
      </c>
      <c r="W96" s="1"/>
      <c r="X96" s="1">
        <f t="shared" ref="X96:X98" si="60">+P96-T96</f>
        <v>306.1899999999996</v>
      </c>
      <c r="Y96" s="1"/>
      <c r="Z96" s="5">
        <f t="shared" ref="Z96:Z98" si="61">IF(T96=0,0,X96/T96)</f>
        <v>7.6072049689440896E-2</v>
      </c>
    </row>
    <row r="97" spans="1:26" s="24" customFormat="1" hidden="1" outlineLevel="2" x14ac:dyDescent="0.3">
      <c r="A97" s="27"/>
      <c r="B97" s="11" t="str">
        <f>CONCATENATE("          ", "6276", " - ", "PROPERTY TAX")</f>
        <v xml:space="preserve">          6276 - PROPERTY TAX</v>
      </c>
      <c r="C97" s="11"/>
      <c r="D97" s="7"/>
      <c r="E97" s="2"/>
      <c r="F97" s="6">
        <f t="shared" si="54"/>
        <v>0</v>
      </c>
      <c r="G97" s="2"/>
      <c r="H97" s="7"/>
      <c r="I97" s="2"/>
      <c r="J97" s="6">
        <f t="shared" si="55"/>
        <v>0</v>
      </c>
      <c r="K97" s="2"/>
      <c r="L97" s="7">
        <f t="shared" si="56"/>
        <v>0</v>
      </c>
      <c r="M97" s="2"/>
      <c r="N97" s="6">
        <f t="shared" si="57"/>
        <v>0</v>
      </c>
      <c r="O97" s="11"/>
      <c r="P97" s="7"/>
      <c r="Q97" s="2"/>
      <c r="R97" s="6">
        <f t="shared" si="58"/>
        <v>0</v>
      </c>
      <c r="S97" s="2"/>
      <c r="T97" s="7">
        <v>1250</v>
      </c>
      <c r="U97" s="2"/>
      <c r="V97" s="6">
        <f t="shared" si="59"/>
        <v>1.7991021760500639E-4</v>
      </c>
      <c r="W97" s="2"/>
      <c r="X97" s="7">
        <f t="shared" si="60"/>
        <v>-1250</v>
      </c>
      <c r="Y97" s="2"/>
      <c r="Z97" s="6">
        <f t="shared" si="61"/>
        <v>-1</v>
      </c>
    </row>
    <row r="98" spans="1:26" s="24" customFormat="1" hidden="1" outlineLevel="2" x14ac:dyDescent="0.3">
      <c r="A98" s="27"/>
      <c r="B98" s="11" t="str">
        <f>CONCATENATE("          ", "6279", " - ", "GENERAL EXPENSE")</f>
        <v xml:space="preserve">          6279 - GENERAL EXPENSE</v>
      </c>
      <c r="C98" s="11"/>
      <c r="D98" s="7"/>
      <c r="E98" s="2"/>
      <c r="F98" s="6">
        <f t="shared" si="54"/>
        <v>0</v>
      </c>
      <c r="G98" s="2"/>
      <c r="H98" s="7">
        <v>200</v>
      </c>
      <c r="I98" s="2"/>
      <c r="J98" s="6">
        <f t="shared" si="55"/>
        <v>1.0028913357208833E-4</v>
      </c>
      <c r="K98" s="2"/>
      <c r="L98" s="7">
        <f t="shared" si="56"/>
        <v>-200</v>
      </c>
      <c r="M98" s="2"/>
      <c r="N98" s="6">
        <f t="shared" si="57"/>
        <v>-1</v>
      </c>
      <c r="O98" s="11"/>
      <c r="P98" s="7">
        <v>4331.1899999999996</v>
      </c>
      <c r="Q98" s="2"/>
      <c r="R98" s="6">
        <f t="shared" si="58"/>
        <v>9.8064281511359369E-4</v>
      </c>
      <c r="S98" s="2"/>
      <c r="T98" s="7">
        <v>2775</v>
      </c>
      <c r="U98" s="2"/>
      <c r="V98" s="6">
        <f t="shared" si="59"/>
        <v>3.9940068308311422E-4</v>
      </c>
      <c r="W98" s="2"/>
      <c r="X98" s="7">
        <f t="shared" si="60"/>
        <v>1556.1899999999996</v>
      </c>
      <c r="Y98" s="2"/>
      <c r="Z98" s="6">
        <f t="shared" si="61"/>
        <v>0.56078918918918907</v>
      </c>
    </row>
    <row r="99" spans="1:26" s="28" customFormat="1" outlineLevel="1" collapsed="1" x14ac:dyDescent="0.3">
      <c r="A99" s="29"/>
      <c r="B99" s="14" t="str">
        <f>CONCATENATE("     ","Insurance                                         ")</f>
        <v xml:space="preserve">     Insurance                                         </v>
      </c>
      <c r="C99" s="14"/>
      <c r="D99" s="1">
        <f>SUM(OSRRefD22_12x_0)</f>
        <v>5494.57</v>
      </c>
      <c r="E99" s="1"/>
      <c r="F99" s="5">
        <f t="shared" ref="F99:F111" si="62">IF(D$12=0,0,D99/D$12)</f>
        <v>7.272238143500997E-3</v>
      </c>
      <c r="G99" s="1"/>
      <c r="H99" s="1">
        <f>SUM(OSRRefH22_12x_0)</f>
        <v>5375</v>
      </c>
      <c r="I99" s="1"/>
      <c r="J99" s="5">
        <f t="shared" ref="J99:J111" si="63">IF(H$12=0,0,H99/H$12)</f>
        <v>2.695270464749874E-3</v>
      </c>
      <c r="K99" s="1"/>
      <c r="L99" s="1">
        <f t="shared" ref="L99:L111" si="64">+D99-H99</f>
        <v>119.56999999999971</v>
      </c>
      <c r="M99" s="1"/>
      <c r="N99" s="5">
        <f t="shared" ref="N99:N111" si="65">IF(H99=0,0,L99/H99)</f>
        <v>2.2245581395348782E-2</v>
      </c>
      <c r="O99" s="14"/>
      <c r="P99" s="1">
        <f>SUM(OSRRefP22_12x_0)</f>
        <v>38461.99</v>
      </c>
      <c r="Q99" s="1"/>
      <c r="R99" s="5">
        <f t="shared" ref="R99:R111" si="66">IF(P$12=0,0,P99/P$12)</f>
        <v>8.7083397746279649E-3</v>
      </c>
      <c r="S99" s="1"/>
      <c r="T99" s="1">
        <f>SUM(OSRRefT22_12x_0)</f>
        <v>37625</v>
      </c>
      <c r="U99" s="1"/>
      <c r="V99" s="5">
        <f t="shared" ref="V99:V111" si="67">IF(T$12=0,0,T99/T$12)</f>
        <v>5.4152975499106928E-3</v>
      </c>
      <c r="W99" s="1"/>
      <c r="X99" s="1">
        <f t="shared" ref="X99:X111" si="68">+P99-T99</f>
        <v>836.98999999999796</v>
      </c>
      <c r="Y99" s="1"/>
      <c r="Z99" s="5">
        <f t="shared" ref="Z99:Z111" si="69">IF(T99=0,0,X99/T99)</f>
        <v>2.2245581395348782E-2</v>
      </c>
    </row>
    <row r="100" spans="1:26" s="24" customFormat="1" hidden="1" outlineLevel="2" x14ac:dyDescent="0.3">
      <c r="A100" s="27"/>
      <c r="B100" s="11" t="str">
        <f>CONCATENATE("          ", "6314", " - ", "LIABILITY INSURANCE")</f>
        <v xml:space="preserve">          6314 - LIABILITY INSURANCE</v>
      </c>
      <c r="C100" s="11"/>
      <c r="D100" s="7">
        <v>5494.57</v>
      </c>
      <c r="E100" s="2"/>
      <c r="F100" s="6">
        <f t="shared" si="62"/>
        <v>7.272238143500997E-3</v>
      </c>
      <c r="G100" s="2"/>
      <c r="H100" s="7">
        <v>5375</v>
      </c>
      <c r="I100" s="2"/>
      <c r="J100" s="6">
        <f t="shared" si="63"/>
        <v>2.695270464749874E-3</v>
      </c>
      <c r="K100" s="2"/>
      <c r="L100" s="7">
        <f t="shared" si="64"/>
        <v>119.56999999999971</v>
      </c>
      <c r="M100" s="2"/>
      <c r="N100" s="6">
        <f t="shared" si="65"/>
        <v>2.2245581395348782E-2</v>
      </c>
      <c r="O100" s="11"/>
      <c r="P100" s="7">
        <v>38461.99</v>
      </c>
      <c r="Q100" s="2"/>
      <c r="R100" s="6">
        <f t="shared" si="66"/>
        <v>8.7083397746279649E-3</v>
      </c>
      <c r="S100" s="2"/>
      <c r="T100" s="7">
        <v>37625</v>
      </c>
      <c r="U100" s="2"/>
      <c r="V100" s="6">
        <f t="shared" si="67"/>
        <v>5.4152975499106928E-3</v>
      </c>
      <c r="W100" s="2"/>
      <c r="X100" s="7">
        <f t="shared" si="68"/>
        <v>836.98999999999796</v>
      </c>
      <c r="Y100" s="2"/>
      <c r="Z100" s="6">
        <f t="shared" si="69"/>
        <v>2.2245581395348782E-2</v>
      </c>
    </row>
    <row r="101" spans="1:26" s="28" customFormat="1" outlineLevel="1" collapsed="1" x14ac:dyDescent="0.3">
      <c r="A101" s="29"/>
      <c r="B101" s="14" t="str">
        <f>CONCATENATE("     ","Inventory Adjustment                              ")</f>
        <v xml:space="preserve">     Inventory Adjustment                              </v>
      </c>
      <c r="C101" s="14"/>
      <c r="D101" s="1">
        <f>SUM(OSRRefD22_13x_0)</f>
        <v>5100</v>
      </c>
      <c r="E101" s="1"/>
      <c r="F101" s="5">
        <f t="shared" si="62"/>
        <v>6.7500121996544012E-3</v>
      </c>
      <c r="G101" s="1"/>
      <c r="H101" s="1">
        <f>SUM(OSRRefH22_13x_0)</f>
        <v>5100</v>
      </c>
      <c r="I101" s="1"/>
      <c r="J101" s="5">
        <f t="shared" si="63"/>
        <v>2.5573729060882526E-3</v>
      </c>
      <c r="K101" s="1"/>
      <c r="L101" s="1">
        <f t="shared" si="64"/>
        <v>0</v>
      </c>
      <c r="M101" s="1"/>
      <c r="N101" s="5">
        <f t="shared" si="65"/>
        <v>0</v>
      </c>
      <c r="O101" s="14"/>
      <c r="P101" s="1">
        <f>SUM(OSRRefP22_13x_0)</f>
        <v>39700</v>
      </c>
      <c r="Q101" s="1"/>
      <c r="R101" s="5">
        <f t="shared" si="66"/>
        <v>8.9886427887046465E-3</v>
      </c>
      <c r="S101" s="1"/>
      <c r="T101" s="1">
        <f>SUM(OSRRefT22_13x_0)</f>
        <v>39700</v>
      </c>
      <c r="U101" s="1"/>
      <c r="V101" s="5">
        <f t="shared" si="67"/>
        <v>5.7139485111350032E-3</v>
      </c>
      <c r="W101" s="1"/>
      <c r="X101" s="1">
        <f t="shared" si="68"/>
        <v>0</v>
      </c>
      <c r="Y101" s="1"/>
      <c r="Z101" s="5">
        <f t="shared" si="69"/>
        <v>0</v>
      </c>
    </row>
    <row r="102" spans="1:26" s="24" customFormat="1" hidden="1" outlineLevel="2" x14ac:dyDescent="0.3">
      <c r="A102" s="27"/>
      <c r="B102" s="11" t="str">
        <f>CONCATENATE("          ", "6408", " - ", "INVENTORY ADJUSTMENT")</f>
        <v xml:space="preserve">          6408 - INVENTORY ADJUSTMENT</v>
      </c>
      <c r="C102" s="11"/>
      <c r="D102" s="7">
        <v>5100</v>
      </c>
      <c r="E102" s="2"/>
      <c r="F102" s="6">
        <f t="shared" si="62"/>
        <v>6.7500121996544012E-3</v>
      </c>
      <c r="G102" s="2"/>
      <c r="H102" s="7">
        <v>5100</v>
      </c>
      <c r="I102" s="2"/>
      <c r="J102" s="6">
        <f t="shared" si="63"/>
        <v>2.5573729060882526E-3</v>
      </c>
      <c r="K102" s="2"/>
      <c r="L102" s="7">
        <f t="shared" si="64"/>
        <v>0</v>
      </c>
      <c r="M102" s="2"/>
      <c r="N102" s="6">
        <f t="shared" si="65"/>
        <v>0</v>
      </c>
      <c r="O102" s="11"/>
      <c r="P102" s="7">
        <v>39700</v>
      </c>
      <c r="Q102" s="2"/>
      <c r="R102" s="6">
        <f t="shared" si="66"/>
        <v>8.9886427887046465E-3</v>
      </c>
      <c r="S102" s="2"/>
      <c r="T102" s="7">
        <v>39700</v>
      </c>
      <c r="U102" s="2"/>
      <c r="V102" s="6">
        <f t="shared" si="67"/>
        <v>5.7139485111350032E-3</v>
      </c>
      <c r="W102" s="2"/>
      <c r="X102" s="7">
        <f t="shared" si="68"/>
        <v>0</v>
      </c>
      <c r="Y102" s="2"/>
      <c r="Z102" s="6">
        <f t="shared" si="69"/>
        <v>0</v>
      </c>
    </row>
    <row r="103" spans="1:26" s="28" customFormat="1" outlineLevel="1" collapsed="1" x14ac:dyDescent="0.3">
      <c r="A103" s="29"/>
      <c r="B103" s="14" t="str">
        <f>CONCATENATE("     ","Professional Services                             ")</f>
        <v xml:space="preserve">     Professional Services                             </v>
      </c>
      <c r="C103" s="14"/>
      <c r="D103" s="1">
        <f>SUM(OSRRefD22_14x_0)</f>
        <v>0</v>
      </c>
      <c r="E103" s="1"/>
      <c r="F103" s="5">
        <f t="shared" si="62"/>
        <v>0</v>
      </c>
      <c r="G103" s="1"/>
      <c r="H103" s="1">
        <f>SUM(OSRRefH22_14x_0)</f>
        <v>250</v>
      </c>
      <c r="I103" s="1"/>
      <c r="J103" s="5">
        <f t="shared" si="63"/>
        <v>1.2536141696511041E-4</v>
      </c>
      <c r="K103" s="1"/>
      <c r="L103" s="1">
        <f t="shared" si="64"/>
        <v>-250</v>
      </c>
      <c r="M103" s="1"/>
      <c r="N103" s="5">
        <f t="shared" si="65"/>
        <v>-1</v>
      </c>
      <c r="O103" s="14"/>
      <c r="P103" s="1">
        <f>SUM(OSRRefP22_14x_0)</f>
        <v>8186.53</v>
      </c>
      <c r="Q103" s="1"/>
      <c r="R103" s="5">
        <f t="shared" si="66"/>
        <v>1.8535464445595528E-3</v>
      </c>
      <c r="S103" s="1"/>
      <c r="T103" s="1">
        <f>SUM(OSRRefT22_14x_0)</f>
        <v>1500</v>
      </c>
      <c r="U103" s="1"/>
      <c r="V103" s="5">
        <f t="shared" si="67"/>
        <v>2.1589226112600767E-4</v>
      </c>
      <c r="W103" s="1"/>
      <c r="X103" s="1">
        <f t="shared" si="68"/>
        <v>6686.53</v>
      </c>
      <c r="Y103" s="1"/>
      <c r="Z103" s="5">
        <f t="shared" si="69"/>
        <v>4.4576866666666666</v>
      </c>
    </row>
    <row r="104" spans="1:26" s="24" customFormat="1" hidden="1" outlineLevel="2" x14ac:dyDescent="0.3">
      <c r="A104" s="27"/>
      <c r="B104" s="11" t="str">
        <f>CONCATENATE("          ", "6336", " - ", "PROFESSIONAL SERVICES")</f>
        <v xml:space="preserve">          6336 - PROFESSIONAL SERVICES</v>
      </c>
      <c r="C104" s="11"/>
      <c r="D104" s="7"/>
      <c r="E104" s="2"/>
      <c r="F104" s="6">
        <f t="shared" si="62"/>
        <v>0</v>
      </c>
      <c r="G104" s="2"/>
      <c r="H104" s="7">
        <v>250</v>
      </c>
      <c r="I104" s="2"/>
      <c r="J104" s="6">
        <f t="shared" si="63"/>
        <v>1.2536141696511041E-4</v>
      </c>
      <c r="K104" s="2"/>
      <c r="L104" s="7">
        <f t="shared" si="64"/>
        <v>-250</v>
      </c>
      <c r="M104" s="2"/>
      <c r="N104" s="6">
        <f t="shared" si="65"/>
        <v>-1</v>
      </c>
      <c r="O104" s="11"/>
      <c r="P104" s="7">
        <v>8186.53</v>
      </c>
      <c r="Q104" s="2"/>
      <c r="R104" s="6">
        <f t="shared" si="66"/>
        <v>1.8535464445595528E-3</v>
      </c>
      <c r="S104" s="2"/>
      <c r="T104" s="7">
        <v>1500</v>
      </c>
      <c r="U104" s="2"/>
      <c r="V104" s="6">
        <f t="shared" si="67"/>
        <v>2.1589226112600767E-4</v>
      </c>
      <c r="W104" s="2"/>
      <c r="X104" s="7">
        <f t="shared" si="68"/>
        <v>6686.53</v>
      </c>
      <c r="Y104" s="2"/>
      <c r="Z104" s="6">
        <f t="shared" si="69"/>
        <v>4.4576866666666666</v>
      </c>
    </row>
    <row r="105" spans="1:26" s="28" customFormat="1" outlineLevel="1" collapsed="1" x14ac:dyDescent="0.3">
      <c r="A105" s="29"/>
      <c r="B105" s="14" t="str">
        <f>CONCATENATE("     ","Rent                                              ")</f>
        <v xml:space="preserve">     Rent                                              </v>
      </c>
      <c r="C105" s="14"/>
      <c r="D105" s="1">
        <f>SUM(OSRRefD22_15x_0)</f>
        <v>6100</v>
      </c>
      <c r="E105" s="1"/>
      <c r="F105" s="5">
        <f t="shared" si="62"/>
        <v>8.0735440035082061E-3</v>
      </c>
      <c r="G105" s="1"/>
      <c r="H105" s="1">
        <f>SUM(OSRRefH22_15x_0)</f>
        <v>6100</v>
      </c>
      <c r="I105" s="1"/>
      <c r="J105" s="5">
        <f t="shared" si="63"/>
        <v>3.0588185739486942E-3</v>
      </c>
      <c r="K105" s="1"/>
      <c r="L105" s="1">
        <f t="shared" si="64"/>
        <v>0</v>
      </c>
      <c r="M105" s="1"/>
      <c r="N105" s="5">
        <f t="shared" si="65"/>
        <v>0</v>
      </c>
      <c r="O105" s="14"/>
      <c r="P105" s="1">
        <f>SUM(OSRRefP22_15x_0)</f>
        <v>42700</v>
      </c>
      <c r="Q105" s="1"/>
      <c r="R105" s="5">
        <f t="shared" si="66"/>
        <v>9.6678853168183469E-3</v>
      </c>
      <c r="S105" s="1"/>
      <c r="T105" s="1">
        <f>SUM(OSRRefT22_15x_0)</f>
        <v>42700</v>
      </c>
      <c r="U105" s="1"/>
      <c r="V105" s="5">
        <f t="shared" si="67"/>
        <v>6.1457330333870184E-3</v>
      </c>
      <c r="W105" s="1"/>
      <c r="X105" s="1">
        <f t="shared" si="68"/>
        <v>0</v>
      </c>
      <c r="Y105" s="1"/>
      <c r="Z105" s="5">
        <f t="shared" si="69"/>
        <v>0</v>
      </c>
    </row>
    <row r="106" spans="1:26" s="24" customFormat="1" hidden="1" outlineLevel="2" x14ac:dyDescent="0.3">
      <c r="A106" s="27"/>
      <c r="B106" s="11" t="str">
        <f>CONCATENATE("          ", "6273", " - ", "RENT")</f>
        <v xml:space="preserve">          6273 - RENT</v>
      </c>
      <c r="C106" s="11"/>
      <c r="D106" s="7">
        <v>6100</v>
      </c>
      <c r="E106" s="2"/>
      <c r="F106" s="6">
        <f t="shared" si="62"/>
        <v>8.0735440035082061E-3</v>
      </c>
      <c r="G106" s="2"/>
      <c r="H106" s="7">
        <v>6100</v>
      </c>
      <c r="I106" s="2"/>
      <c r="J106" s="6">
        <f t="shared" si="63"/>
        <v>3.0588185739486942E-3</v>
      </c>
      <c r="K106" s="2"/>
      <c r="L106" s="7">
        <f t="shared" si="64"/>
        <v>0</v>
      </c>
      <c r="M106" s="2"/>
      <c r="N106" s="6">
        <f t="shared" si="65"/>
        <v>0</v>
      </c>
      <c r="O106" s="11"/>
      <c r="P106" s="7">
        <v>42700</v>
      </c>
      <c r="Q106" s="2"/>
      <c r="R106" s="6">
        <f t="shared" si="66"/>
        <v>9.6678853168183469E-3</v>
      </c>
      <c r="S106" s="2"/>
      <c r="T106" s="7">
        <v>42700</v>
      </c>
      <c r="U106" s="2"/>
      <c r="V106" s="6">
        <f t="shared" si="67"/>
        <v>6.1457330333870184E-3</v>
      </c>
      <c r="W106" s="2"/>
      <c r="X106" s="7">
        <f t="shared" si="68"/>
        <v>0</v>
      </c>
      <c r="Y106" s="2"/>
      <c r="Z106" s="6">
        <f t="shared" si="69"/>
        <v>0</v>
      </c>
    </row>
    <row r="107" spans="1:26" s="28" customFormat="1" outlineLevel="1" collapsed="1" x14ac:dyDescent="0.3">
      <c r="A107" s="29"/>
      <c r="B107" s="14" t="str">
        <f>CONCATENATE("     ","Repair and Maintenance                            ")</f>
        <v xml:space="preserve">     Repair and Maintenance                            </v>
      </c>
      <c r="C107" s="14"/>
      <c r="D107" s="1">
        <f>SUM(OSRRefD22_16x_0)</f>
        <v>11622.75</v>
      </c>
      <c r="E107" s="1"/>
      <c r="F107" s="5">
        <f t="shared" si="62"/>
        <v>1.5383079273241803E-2</v>
      </c>
      <c r="G107" s="1"/>
      <c r="H107" s="1">
        <f>SUM(OSRRefH22_16x_0)</f>
        <v>11245</v>
      </c>
      <c r="I107" s="1"/>
      <c r="J107" s="5">
        <f t="shared" si="63"/>
        <v>5.6387565350906662E-3</v>
      </c>
      <c r="K107" s="1"/>
      <c r="L107" s="1">
        <f t="shared" si="64"/>
        <v>377.75</v>
      </c>
      <c r="M107" s="1"/>
      <c r="N107" s="5">
        <f t="shared" si="65"/>
        <v>3.3592707870164516E-2</v>
      </c>
      <c r="O107" s="14"/>
      <c r="P107" s="1">
        <f>SUM(OSRRefP22_16x_0)</f>
        <v>109430.37</v>
      </c>
      <c r="Q107" s="1"/>
      <c r="R107" s="5">
        <f t="shared" si="66"/>
        <v>2.4776587057072575E-2</v>
      </c>
      <c r="S107" s="1"/>
      <c r="T107" s="1">
        <f>SUM(OSRRefT22_16x_0)</f>
        <v>105835</v>
      </c>
      <c r="U107" s="1"/>
      <c r="V107" s="5">
        <f t="shared" si="67"/>
        <v>1.5232638304180682E-2</v>
      </c>
      <c r="W107" s="1"/>
      <c r="X107" s="1">
        <f t="shared" si="68"/>
        <v>3595.3699999999953</v>
      </c>
      <c r="Y107" s="1"/>
      <c r="Z107" s="5">
        <f t="shared" si="69"/>
        <v>3.3971465016298913E-2</v>
      </c>
    </row>
    <row r="108" spans="1:26" s="24" customFormat="1" hidden="1" outlineLevel="2" x14ac:dyDescent="0.3">
      <c r="A108" s="27"/>
      <c r="B108" s="11" t="str">
        <f>CONCATENATE("          ", "6371", " - ", "COMPUTER SOFTWARE MAINTENANCE")</f>
        <v xml:space="preserve">          6371 - COMPUTER SOFTWARE MAINTENANCE</v>
      </c>
      <c r="C108" s="11"/>
      <c r="D108" s="7"/>
      <c r="E108" s="2"/>
      <c r="F108" s="6">
        <f t="shared" si="62"/>
        <v>0</v>
      </c>
      <c r="G108" s="2"/>
      <c r="H108" s="7">
        <v>1000</v>
      </c>
      <c r="I108" s="2"/>
      <c r="J108" s="6">
        <f t="shared" si="63"/>
        <v>5.0144566786044164E-4</v>
      </c>
      <c r="K108" s="2"/>
      <c r="L108" s="7">
        <f t="shared" si="64"/>
        <v>-1000</v>
      </c>
      <c r="M108" s="2"/>
      <c r="N108" s="6">
        <f t="shared" si="65"/>
        <v>-1</v>
      </c>
      <c r="O108" s="11"/>
      <c r="P108" s="7">
        <v>62511</v>
      </c>
      <c r="Q108" s="2"/>
      <c r="R108" s="6">
        <f t="shared" si="66"/>
        <v>1.4153376558305193E-2</v>
      </c>
      <c r="S108" s="2"/>
      <c r="T108" s="7">
        <v>46100</v>
      </c>
      <c r="U108" s="2"/>
      <c r="V108" s="6">
        <f t="shared" si="67"/>
        <v>6.6350888252726357E-3</v>
      </c>
      <c r="W108" s="2"/>
      <c r="X108" s="7">
        <f t="shared" si="68"/>
        <v>16411</v>
      </c>
      <c r="Y108" s="2"/>
      <c r="Z108" s="6">
        <f t="shared" si="69"/>
        <v>0.35598698481561825</v>
      </c>
    </row>
    <row r="109" spans="1:26" s="24" customFormat="1" hidden="1" outlineLevel="2" x14ac:dyDescent="0.3">
      <c r="A109" s="27"/>
      <c r="B109" s="11" t="str">
        <f>CONCATENATE("          ", "6372", " - ", "COMPUTER HARDWARE MAINTENANCE")</f>
        <v xml:space="preserve">          6372 - COMPUTER HARDWARE MAINTENANCE</v>
      </c>
      <c r="C109" s="11"/>
      <c r="D109" s="7"/>
      <c r="E109" s="2"/>
      <c r="F109" s="6">
        <f t="shared" si="62"/>
        <v>0</v>
      </c>
      <c r="G109" s="2"/>
      <c r="H109" s="7">
        <v>3750</v>
      </c>
      <c r="I109" s="2"/>
      <c r="J109" s="6">
        <f t="shared" si="63"/>
        <v>1.8804212544766563E-3</v>
      </c>
      <c r="K109" s="2"/>
      <c r="L109" s="7">
        <f t="shared" si="64"/>
        <v>-3750</v>
      </c>
      <c r="M109" s="2"/>
      <c r="N109" s="6">
        <f t="shared" si="65"/>
        <v>-1</v>
      </c>
      <c r="O109" s="11"/>
      <c r="P109" s="7"/>
      <c r="Q109" s="2"/>
      <c r="R109" s="6">
        <f t="shared" si="66"/>
        <v>0</v>
      </c>
      <c r="S109" s="2"/>
      <c r="T109" s="7">
        <v>22870</v>
      </c>
      <c r="U109" s="2"/>
      <c r="V109" s="6">
        <f t="shared" si="67"/>
        <v>3.291637341301197E-3</v>
      </c>
      <c r="W109" s="2"/>
      <c r="X109" s="7">
        <f t="shared" si="68"/>
        <v>-22870</v>
      </c>
      <c r="Y109" s="2"/>
      <c r="Z109" s="6">
        <f t="shared" si="69"/>
        <v>-1</v>
      </c>
    </row>
    <row r="110" spans="1:26" s="24" customFormat="1" hidden="1" outlineLevel="2" x14ac:dyDescent="0.3">
      <c r="A110" s="27"/>
      <c r="B110" s="11" t="str">
        <f>CONCATENATE("          ", "6373", " - ", "MAINTENANCE CONTRACTS")</f>
        <v xml:space="preserve">          6373 - MAINTENANCE CONTRACTS</v>
      </c>
      <c r="C110" s="11"/>
      <c r="D110" s="7">
        <v>1512.02</v>
      </c>
      <c r="E110" s="2"/>
      <c r="F110" s="6">
        <f t="shared" si="62"/>
        <v>2.0012065580630291E-3</v>
      </c>
      <c r="G110" s="2"/>
      <c r="H110" s="7">
        <v>5955</v>
      </c>
      <c r="I110" s="2"/>
      <c r="J110" s="6">
        <f t="shared" si="63"/>
        <v>2.9861089521089302E-3</v>
      </c>
      <c r="K110" s="2"/>
      <c r="L110" s="7">
        <f t="shared" si="64"/>
        <v>-4442.9799999999996</v>
      </c>
      <c r="M110" s="2"/>
      <c r="N110" s="6">
        <f t="shared" si="65"/>
        <v>-0.74609235936188067</v>
      </c>
      <c r="O110" s="11"/>
      <c r="P110" s="7">
        <v>15995.19</v>
      </c>
      <c r="Q110" s="2"/>
      <c r="R110" s="6">
        <f t="shared" si="66"/>
        <v>3.621537764419664E-3</v>
      </c>
      <c r="S110" s="2"/>
      <c r="T110" s="7">
        <v>36085</v>
      </c>
      <c r="U110" s="2"/>
      <c r="V110" s="6">
        <f t="shared" si="67"/>
        <v>5.1936481618213249E-3</v>
      </c>
      <c r="W110" s="2"/>
      <c r="X110" s="7">
        <f t="shared" si="68"/>
        <v>-20089.809999999998</v>
      </c>
      <c r="Y110" s="2"/>
      <c r="Z110" s="6">
        <f t="shared" si="69"/>
        <v>-0.55673576278231951</v>
      </c>
    </row>
    <row r="111" spans="1:26" s="24" customFormat="1" hidden="1" outlineLevel="2" x14ac:dyDescent="0.3">
      <c r="A111" s="27"/>
      <c r="B111" s="11" t="str">
        <f>CONCATENATE("          ", "6375", " - ", "OUTSIDE REPAIRS &amp; MAINTENANCE")</f>
        <v xml:space="preserve">          6375 - OUTSIDE REPAIRS &amp; MAINTENANCE</v>
      </c>
      <c r="C111" s="11"/>
      <c r="D111" s="7">
        <v>10110.73</v>
      </c>
      <c r="E111" s="2"/>
      <c r="F111" s="6">
        <f t="shared" si="62"/>
        <v>1.3381872715178773E-2</v>
      </c>
      <c r="G111" s="2"/>
      <c r="H111" s="7">
        <v>540</v>
      </c>
      <c r="I111" s="2"/>
      <c r="J111" s="6">
        <f t="shared" si="63"/>
        <v>2.7078066064463847E-4</v>
      </c>
      <c r="K111" s="2"/>
      <c r="L111" s="7">
        <f t="shared" si="64"/>
        <v>9570.73</v>
      </c>
      <c r="M111" s="2"/>
      <c r="N111" s="6">
        <f t="shared" si="65"/>
        <v>17.723574074074072</v>
      </c>
      <c r="O111" s="11"/>
      <c r="P111" s="7">
        <v>30924.18</v>
      </c>
      <c r="Q111" s="2"/>
      <c r="R111" s="6">
        <f t="shared" si="66"/>
        <v>7.0016727343477185E-3</v>
      </c>
      <c r="S111" s="2"/>
      <c r="T111" s="7">
        <v>780</v>
      </c>
      <c r="U111" s="2"/>
      <c r="V111" s="6">
        <f t="shared" si="67"/>
        <v>1.1226397578552399E-4</v>
      </c>
      <c r="W111" s="2"/>
      <c r="X111" s="7">
        <f t="shared" si="68"/>
        <v>30144.18</v>
      </c>
      <c r="Y111" s="2"/>
      <c r="Z111" s="6">
        <f t="shared" si="69"/>
        <v>38.646384615384619</v>
      </c>
    </row>
    <row r="112" spans="1:26" s="28" customFormat="1" outlineLevel="1" collapsed="1" x14ac:dyDescent="0.3">
      <c r="A112" s="29"/>
      <c r="B112" s="14" t="str">
        <f>CONCATENATE("     ","Royalty &amp; Commissions                             ")</f>
        <v xml:space="preserve">     Royalty &amp; Commissions                             </v>
      </c>
      <c r="C112" s="14"/>
      <c r="D112" s="1">
        <f>SUM(OSRRefD22_17x_0)</f>
        <v>23704.5</v>
      </c>
      <c r="E112" s="1"/>
      <c r="F112" s="5">
        <f t="shared" ref="F112:F116" si="70">IF(D$12=0,0,D112/D$12)</f>
        <v>3.1373659644452503E-2</v>
      </c>
      <c r="G112" s="1"/>
      <c r="H112" s="1">
        <f>SUM(OSRRefH22_17x_0)</f>
        <v>19106</v>
      </c>
      <c r="I112" s="1"/>
      <c r="J112" s="5">
        <f t="shared" ref="J112:J116" si="71">IF(H$12=0,0,H112/H$12)</f>
        <v>9.5806209301415989E-3</v>
      </c>
      <c r="K112" s="1"/>
      <c r="L112" s="1">
        <f t="shared" ref="L112:L116" si="72">+D112-H112</f>
        <v>4598.5</v>
      </c>
      <c r="M112" s="1"/>
      <c r="N112" s="5">
        <f t="shared" ref="N112:N116" si="73">IF(H112=0,0,L112/H112)</f>
        <v>0.24068355490421858</v>
      </c>
      <c r="O112" s="14"/>
      <c r="P112" s="1">
        <f>SUM(OSRRefP22_17x_0)</f>
        <v>45451.430000000008</v>
      </c>
      <c r="Q112" s="1"/>
      <c r="R112" s="5">
        <f t="shared" ref="R112:R116" si="74">IF(P$12=0,0,P112/P$12)</f>
        <v>1.0290848073194308E-2</v>
      </c>
      <c r="S112" s="1"/>
      <c r="T112" s="1">
        <f>SUM(OSRRefT22_17x_0)</f>
        <v>64198</v>
      </c>
      <c r="U112" s="1"/>
      <c r="V112" s="5">
        <f t="shared" ref="V112:V116" si="75">IF(T$12=0,0,T112/T$12)</f>
        <v>9.2399009198449612E-3</v>
      </c>
      <c r="W112" s="1"/>
      <c r="X112" s="1">
        <f t="shared" ref="X112:X116" si="76">+P112-T112</f>
        <v>-18746.569999999992</v>
      </c>
      <c r="Y112" s="1"/>
      <c r="Z112" s="5">
        <f t="shared" ref="Z112:Z116" si="77">IF(T112=0,0,X112/T112)</f>
        <v>-0.29201174491417164</v>
      </c>
    </row>
    <row r="113" spans="1:26" s="24" customFormat="1" hidden="1" outlineLevel="2" x14ac:dyDescent="0.3">
      <c r="A113" s="27"/>
      <c r="B113" s="11" t="str">
        <f>CONCATENATE("          ", "6252", " - ", "ROYALTY DUE CSTV")</f>
        <v xml:space="preserve">          6252 - ROYALTY DUE CSTV</v>
      </c>
      <c r="C113" s="11"/>
      <c r="D113" s="7"/>
      <c r="E113" s="2"/>
      <c r="F113" s="6">
        <f t="shared" si="70"/>
        <v>0</v>
      </c>
      <c r="G113" s="2"/>
      <c r="H113" s="7">
        <v>821</v>
      </c>
      <c r="I113" s="2"/>
      <c r="J113" s="6">
        <f t="shared" si="71"/>
        <v>4.1168689331342261E-4</v>
      </c>
      <c r="K113" s="2"/>
      <c r="L113" s="7">
        <f t="shared" si="72"/>
        <v>-821</v>
      </c>
      <c r="M113" s="2"/>
      <c r="N113" s="6">
        <f t="shared" si="73"/>
        <v>-1</v>
      </c>
      <c r="O113" s="11"/>
      <c r="P113" s="7"/>
      <c r="Q113" s="2"/>
      <c r="R113" s="6">
        <f t="shared" si="74"/>
        <v>0</v>
      </c>
      <c r="S113" s="2"/>
      <c r="T113" s="7">
        <v>11051</v>
      </c>
      <c r="U113" s="2"/>
      <c r="V113" s="6">
        <f t="shared" si="75"/>
        <v>1.5905502518023405E-3</v>
      </c>
      <c r="W113" s="2"/>
      <c r="X113" s="7">
        <f t="shared" si="76"/>
        <v>-11051</v>
      </c>
      <c r="Y113" s="2"/>
      <c r="Z113" s="6">
        <f t="shared" si="77"/>
        <v>-1</v>
      </c>
    </row>
    <row r="114" spans="1:26" s="24" customFormat="1" hidden="1" outlineLevel="2" x14ac:dyDescent="0.3">
      <c r="A114" s="27"/>
      <c r="B114" s="11" t="str">
        <f>CONCATENATE("          ", "6253", " - ", "ROYALTY DUE ATHLETICS-LRG")</f>
        <v xml:space="preserve">          6253 - ROYALTY DUE ATHLETICS-LRG</v>
      </c>
      <c r="C114" s="11"/>
      <c r="D114" s="7">
        <v>16060.87</v>
      </c>
      <c r="E114" s="2"/>
      <c r="F114" s="6">
        <f t="shared" si="70"/>
        <v>2.1257072242561448E-2</v>
      </c>
      <c r="G114" s="2"/>
      <c r="H114" s="7">
        <v>7785</v>
      </c>
      <c r="I114" s="2"/>
      <c r="J114" s="6">
        <f t="shared" si="71"/>
        <v>3.9037545242935384E-3</v>
      </c>
      <c r="K114" s="2"/>
      <c r="L114" s="7">
        <f t="shared" si="72"/>
        <v>8275.8700000000008</v>
      </c>
      <c r="M114" s="2"/>
      <c r="N114" s="6">
        <f t="shared" si="73"/>
        <v>1.0630533076429032</v>
      </c>
      <c r="O114" s="11"/>
      <c r="P114" s="7">
        <v>39221.160000000003</v>
      </c>
      <c r="Q114" s="2"/>
      <c r="R114" s="6">
        <f t="shared" si="74"/>
        <v>8.8802266246506591E-3</v>
      </c>
      <c r="S114" s="2"/>
      <c r="T114" s="7">
        <v>23947</v>
      </c>
      <c r="U114" s="2"/>
      <c r="V114" s="6">
        <f t="shared" si="75"/>
        <v>3.4466479847896705E-3</v>
      </c>
      <c r="W114" s="2"/>
      <c r="X114" s="7">
        <f t="shared" si="76"/>
        <v>15274.160000000003</v>
      </c>
      <c r="Y114" s="2"/>
      <c r="Z114" s="6">
        <f t="shared" si="77"/>
        <v>0.63783187873220037</v>
      </c>
    </row>
    <row r="115" spans="1:26" s="24" customFormat="1" hidden="1" outlineLevel="2" x14ac:dyDescent="0.3">
      <c r="A115" s="27"/>
      <c r="B115" s="11" t="str">
        <f>CONCATENATE("          ", "6254", " - ", "ROYALTY &amp; COMMISSIONS")</f>
        <v xml:space="preserve">          6254 - ROYALTY &amp; COMMISSIONS</v>
      </c>
      <c r="C115" s="11"/>
      <c r="D115" s="7">
        <v>7389.19</v>
      </c>
      <c r="E115" s="2"/>
      <c r="F115" s="6">
        <f t="shared" si="70"/>
        <v>9.7798279697184909E-3</v>
      </c>
      <c r="G115" s="2"/>
      <c r="H115" s="7">
        <v>500</v>
      </c>
      <c r="I115" s="2"/>
      <c r="J115" s="6">
        <f t="shared" si="71"/>
        <v>2.5072283393022082E-4</v>
      </c>
      <c r="K115" s="2"/>
      <c r="L115" s="7">
        <f t="shared" si="72"/>
        <v>6889.19</v>
      </c>
      <c r="M115" s="2"/>
      <c r="N115" s="6">
        <f t="shared" si="73"/>
        <v>13.778379999999999</v>
      </c>
      <c r="O115" s="11"/>
      <c r="P115" s="7">
        <v>361.69</v>
      </c>
      <c r="Q115" s="2"/>
      <c r="R115" s="6">
        <f t="shared" si="74"/>
        <v>8.18917433311482E-5</v>
      </c>
      <c r="S115" s="2"/>
      <c r="T115" s="7">
        <v>500</v>
      </c>
      <c r="U115" s="2"/>
      <c r="V115" s="6">
        <f t="shared" si="75"/>
        <v>7.1964087042002557E-5</v>
      </c>
      <c r="W115" s="2"/>
      <c r="X115" s="7">
        <f t="shared" si="76"/>
        <v>-138.31</v>
      </c>
      <c r="Y115" s="2"/>
      <c r="Z115" s="6">
        <f t="shared" si="77"/>
        <v>-0.27661999999999998</v>
      </c>
    </row>
    <row r="116" spans="1:26" s="24" customFormat="1" hidden="1" outlineLevel="2" x14ac:dyDescent="0.3">
      <c r="A116" s="27"/>
      <c r="B116" s="11" t="str">
        <f>CONCATENATE("          ", "6259", " - ", "ROYALTY &amp; COMMISSIONS")</f>
        <v xml:space="preserve">          6259 - ROYALTY &amp; COMMISSIONS</v>
      </c>
      <c r="C116" s="11"/>
      <c r="D116" s="7">
        <v>254.44</v>
      </c>
      <c r="E116" s="2"/>
      <c r="F116" s="6">
        <f t="shared" si="70"/>
        <v>3.3675943217256196E-4</v>
      </c>
      <c r="G116" s="2"/>
      <c r="H116" s="7">
        <v>10000</v>
      </c>
      <c r="I116" s="2"/>
      <c r="J116" s="6">
        <f t="shared" si="71"/>
        <v>5.0144566786044162E-3</v>
      </c>
      <c r="K116" s="2"/>
      <c r="L116" s="7">
        <f t="shared" si="72"/>
        <v>-9745.56</v>
      </c>
      <c r="M116" s="2"/>
      <c r="N116" s="6">
        <f t="shared" si="73"/>
        <v>-0.97455599999999998</v>
      </c>
      <c r="O116" s="11"/>
      <c r="P116" s="7">
        <v>5868.58</v>
      </c>
      <c r="Q116" s="2"/>
      <c r="R116" s="6">
        <f t="shared" si="74"/>
        <v>1.3287297052125015E-3</v>
      </c>
      <c r="S116" s="2"/>
      <c r="T116" s="7">
        <v>28700</v>
      </c>
      <c r="U116" s="2"/>
      <c r="V116" s="6">
        <f t="shared" si="75"/>
        <v>4.1307385962109471E-3</v>
      </c>
      <c r="W116" s="2"/>
      <c r="X116" s="7">
        <f t="shared" si="76"/>
        <v>-22831.42</v>
      </c>
      <c r="Y116" s="2"/>
      <c r="Z116" s="6">
        <f t="shared" si="77"/>
        <v>-0.79551986062717761</v>
      </c>
    </row>
    <row r="117" spans="1:26" s="28" customFormat="1" outlineLevel="1" collapsed="1" x14ac:dyDescent="0.3">
      <c r="A117" s="29"/>
      <c r="B117" s="14" t="str">
        <f>CONCATENATE("     ","Services                                          ")</f>
        <v xml:space="preserve">     Services                                          </v>
      </c>
      <c r="C117" s="14"/>
      <c r="D117" s="1">
        <f>SUM(OSRRefD22_18x_0)</f>
        <v>4457.3099999999995</v>
      </c>
      <c r="E117" s="1"/>
      <c r="F117" s="5">
        <f t="shared" ref="F117:F120" si="78">IF(D$12=0,0,D117/D$12)</f>
        <v>5.8993915446355991E-3</v>
      </c>
      <c r="G117" s="1"/>
      <c r="H117" s="1">
        <f>SUM(OSRRefH22_18x_0)</f>
        <v>4360</v>
      </c>
      <c r="I117" s="1"/>
      <c r="J117" s="5">
        <f t="shared" ref="J117:J120" si="79">IF(H$12=0,0,H117/H$12)</f>
        <v>2.1863031118715256E-3</v>
      </c>
      <c r="K117" s="1"/>
      <c r="L117" s="1">
        <f t="shared" ref="L117:L120" si="80">+D117-H117</f>
        <v>97.309999999999491</v>
      </c>
      <c r="M117" s="1"/>
      <c r="N117" s="5">
        <f t="shared" ref="N117:N120" si="81">IF(H117=0,0,L117/H117)</f>
        <v>2.2318807339449423E-2</v>
      </c>
      <c r="O117" s="14"/>
      <c r="P117" s="1">
        <f>SUM(OSRRefP22_18x_0)</f>
        <v>40244.299999999996</v>
      </c>
      <c r="Q117" s="1"/>
      <c r="R117" s="5">
        <f t="shared" ref="R117:R120" si="82">IF(P$12=0,0,P117/P$12)</f>
        <v>9.1118800247220744E-3</v>
      </c>
      <c r="S117" s="1"/>
      <c r="T117" s="1">
        <f>SUM(OSRRefT22_18x_0)</f>
        <v>30640</v>
      </c>
      <c r="U117" s="1"/>
      <c r="V117" s="5">
        <f t="shared" ref="V117:V120" si="83">IF(T$12=0,0,T117/T$12)</f>
        <v>4.4099592539339171E-3</v>
      </c>
      <c r="W117" s="1"/>
      <c r="X117" s="1">
        <f t="shared" ref="X117:X120" si="84">+P117-T117</f>
        <v>9604.2999999999956</v>
      </c>
      <c r="Y117" s="1"/>
      <c r="Z117" s="5">
        <f t="shared" ref="Z117:Z120" si="85">IF(T117=0,0,X117/T117)</f>
        <v>0.31345626631853774</v>
      </c>
    </row>
    <row r="118" spans="1:26" s="24" customFormat="1" hidden="1" outlineLevel="2" x14ac:dyDescent="0.3">
      <c r="A118" s="27"/>
      <c r="B118" s="11" t="str">
        <f>CONCATENATE("          ", "6282", " - ", "JANITORIAL/EXTERMINATOR EXPENS")</f>
        <v xml:space="preserve">          6282 - JANITORIAL/EXTERMINATOR EXPENS</v>
      </c>
      <c r="C118" s="11"/>
      <c r="D118" s="7">
        <v>69</v>
      </c>
      <c r="E118" s="2"/>
      <c r="F118" s="6">
        <f t="shared" si="78"/>
        <v>9.132369446591249E-5</v>
      </c>
      <c r="G118" s="2"/>
      <c r="H118" s="7">
        <v>4300</v>
      </c>
      <c r="I118" s="2"/>
      <c r="J118" s="6">
        <f t="shared" si="79"/>
        <v>2.1562163717998993E-3</v>
      </c>
      <c r="K118" s="2"/>
      <c r="L118" s="7">
        <f t="shared" si="80"/>
        <v>-4231</v>
      </c>
      <c r="M118" s="2"/>
      <c r="N118" s="6">
        <f t="shared" si="81"/>
        <v>-0.98395348837209307</v>
      </c>
      <c r="O118" s="11"/>
      <c r="P118" s="7">
        <v>2193.6799999999998</v>
      </c>
      <c r="Q118" s="2"/>
      <c r="R118" s="6">
        <f t="shared" si="82"/>
        <v>4.9668024969082129E-4</v>
      </c>
      <c r="S118" s="2"/>
      <c r="T118" s="7">
        <v>30100</v>
      </c>
      <c r="U118" s="2"/>
      <c r="V118" s="6">
        <f t="shared" si="83"/>
        <v>4.3322380399285539E-3</v>
      </c>
      <c r="W118" s="2"/>
      <c r="X118" s="7">
        <f t="shared" si="84"/>
        <v>-27906.32</v>
      </c>
      <c r="Y118" s="2"/>
      <c r="Z118" s="6">
        <f t="shared" si="85"/>
        <v>-0.92712026578073092</v>
      </c>
    </row>
    <row r="119" spans="1:26" s="24" customFormat="1" hidden="1" outlineLevel="2" x14ac:dyDescent="0.3">
      <c r="A119" s="27"/>
      <c r="B119" s="11" t="str">
        <f>CONCATENATE("          ", "6284", " - ", "TRASH REMOVAL EXPENSE")</f>
        <v xml:space="preserve">          6284 - TRASH REMOVAL EXPENSE</v>
      </c>
      <c r="C119" s="11"/>
      <c r="D119" s="7">
        <v>149.69999999999999</v>
      </c>
      <c r="E119" s="2"/>
      <c r="F119" s="6">
        <f t="shared" si="78"/>
        <v>1.9813271103691447E-4</v>
      </c>
      <c r="G119" s="2"/>
      <c r="H119" s="7">
        <v>60</v>
      </c>
      <c r="I119" s="2"/>
      <c r="J119" s="6">
        <f t="shared" si="79"/>
        <v>3.0086740071626499E-5</v>
      </c>
      <c r="K119" s="2"/>
      <c r="L119" s="7">
        <f t="shared" si="80"/>
        <v>89.699999999999989</v>
      </c>
      <c r="M119" s="2"/>
      <c r="N119" s="6">
        <f t="shared" si="81"/>
        <v>1.4949999999999999</v>
      </c>
      <c r="O119" s="11"/>
      <c r="P119" s="7">
        <v>1040.77</v>
      </c>
      <c r="Q119" s="2"/>
      <c r="R119" s="6">
        <f t="shared" si="82"/>
        <v>2.356450819949656E-4</v>
      </c>
      <c r="S119" s="2"/>
      <c r="T119" s="7">
        <v>540</v>
      </c>
      <c r="U119" s="2"/>
      <c r="V119" s="6">
        <f t="shared" si="83"/>
        <v>7.7721214005362757E-5</v>
      </c>
      <c r="W119" s="2"/>
      <c r="X119" s="7">
        <f t="shared" si="84"/>
        <v>500.77</v>
      </c>
      <c r="Y119" s="2"/>
      <c r="Z119" s="6">
        <f t="shared" si="85"/>
        <v>0.92735185185185187</v>
      </c>
    </row>
    <row r="120" spans="1:26" s="24" customFormat="1" hidden="1" outlineLevel="2" x14ac:dyDescent="0.3">
      <c r="A120" s="27"/>
      <c r="B120" s="11" t="str">
        <f>CONCATENATE("          ", "6285", " - ", "JANITORIAL SERVICES")</f>
        <v xml:space="preserve">          6285 - JANITORIAL SERVICES</v>
      </c>
      <c r="C120" s="11"/>
      <c r="D120" s="7">
        <v>4238.6099999999997</v>
      </c>
      <c r="E120" s="2"/>
      <c r="F120" s="6">
        <f t="shared" si="78"/>
        <v>5.6099351391327729E-3</v>
      </c>
      <c r="G120" s="2"/>
      <c r="H120" s="7"/>
      <c r="I120" s="2"/>
      <c r="J120" s="6">
        <f t="shared" si="79"/>
        <v>0</v>
      </c>
      <c r="K120" s="2"/>
      <c r="L120" s="7">
        <f t="shared" si="80"/>
        <v>4238.6099999999997</v>
      </c>
      <c r="M120" s="2"/>
      <c r="N120" s="6">
        <f t="shared" si="81"/>
        <v>0</v>
      </c>
      <c r="O120" s="11"/>
      <c r="P120" s="7">
        <v>37009.85</v>
      </c>
      <c r="Q120" s="2"/>
      <c r="R120" s="6">
        <f t="shared" si="82"/>
        <v>8.3795546930362872E-3</v>
      </c>
      <c r="S120" s="2"/>
      <c r="T120" s="7"/>
      <c r="U120" s="2"/>
      <c r="V120" s="6">
        <f t="shared" si="83"/>
        <v>0</v>
      </c>
      <c r="W120" s="2"/>
      <c r="X120" s="7">
        <f t="shared" si="84"/>
        <v>37009.85</v>
      </c>
      <c r="Y120" s="2"/>
      <c r="Z120" s="6">
        <f t="shared" si="85"/>
        <v>0</v>
      </c>
    </row>
    <row r="121" spans="1:26" s="28" customFormat="1" outlineLevel="1" collapsed="1" x14ac:dyDescent="0.3">
      <c r="A121" s="29"/>
      <c r="B121" s="14" t="str">
        <f>CONCATENATE("     ","Subscriptions &amp; Dues                              ")</f>
        <v xml:space="preserve">     Subscriptions &amp; Dues                              </v>
      </c>
      <c r="C121" s="14"/>
      <c r="D121" s="1">
        <f>SUM(OSRRefD22_19x_0)</f>
        <v>301.99</v>
      </c>
      <c r="E121" s="1"/>
      <c r="F121" s="5">
        <f t="shared" ref="F121:F123" si="86">IF(D$12=0,0,D121/D$12)</f>
        <v>3.9969336944581033E-4</v>
      </c>
      <c r="G121" s="1"/>
      <c r="H121" s="1">
        <f>SUM(OSRRefH22_19x_0)</f>
        <v>2381</v>
      </c>
      <c r="I121" s="1"/>
      <c r="J121" s="5">
        <f t="shared" ref="J121:J123" si="87">IF(H$12=0,0,H121/H$12)</f>
        <v>1.1939421351757115E-3</v>
      </c>
      <c r="K121" s="1"/>
      <c r="L121" s="1">
        <f t="shared" ref="L121:L123" si="88">+D121-H121</f>
        <v>-2079.0100000000002</v>
      </c>
      <c r="M121" s="1"/>
      <c r="N121" s="5">
        <f t="shared" ref="N121:N123" si="89">IF(H121=0,0,L121/H121)</f>
        <v>-0.87316673666526678</v>
      </c>
      <c r="O121" s="14"/>
      <c r="P121" s="1">
        <f>SUM(OSRRefP22_19x_0)</f>
        <v>1693.73</v>
      </c>
      <c r="Q121" s="1"/>
      <c r="R121" s="5">
        <f t="shared" ref="R121:R123" si="90">IF(P$12=0,0,P121/P$12)</f>
        <v>3.8348448238067307E-4</v>
      </c>
      <c r="S121" s="1"/>
      <c r="T121" s="1">
        <f>SUM(OSRRefT22_19x_0)</f>
        <v>9002</v>
      </c>
      <c r="U121" s="1"/>
      <c r="V121" s="5">
        <f t="shared" ref="V121:V123" si="91">IF(T$12=0,0,T121/T$12)</f>
        <v>1.2956414231042141E-3</v>
      </c>
      <c r="W121" s="1"/>
      <c r="X121" s="1">
        <f t="shared" ref="X121:X123" si="92">+P121-T121</f>
        <v>-7308.27</v>
      </c>
      <c r="Y121" s="1"/>
      <c r="Z121" s="5">
        <f t="shared" ref="Z121:Z123" si="93">IF(T121=0,0,X121/T121)</f>
        <v>-0.81184958898022663</v>
      </c>
    </row>
    <row r="122" spans="1:26" s="24" customFormat="1" hidden="1" outlineLevel="2" x14ac:dyDescent="0.3">
      <c r="A122" s="27"/>
      <c r="B122" s="11" t="str">
        <f>CONCATENATE("          ", "6258", " - ", "MEMBERSHIP DUES")</f>
        <v xml:space="preserve">          6258 - MEMBERSHIP DUES</v>
      </c>
      <c r="C122" s="11"/>
      <c r="D122" s="7">
        <v>301.99</v>
      </c>
      <c r="E122" s="2"/>
      <c r="F122" s="6">
        <f t="shared" si="86"/>
        <v>3.9969336944581033E-4</v>
      </c>
      <c r="G122" s="2"/>
      <c r="H122" s="7">
        <v>300</v>
      </c>
      <c r="I122" s="2"/>
      <c r="J122" s="6">
        <f t="shared" si="87"/>
        <v>1.5043370035813249E-4</v>
      </c>
      <c r="K122" s="2"/>
      <c r="L122" s="7">
        <f t="shared" si="88"/>
        <v>1.9900000000000091</v>
      </c>
      <c r="M122" s="2"/>
      <c r="N122" s="6">
        <f t="shared" si="89"/>
        <v>6.6333333333333635E-3</v>
      </c>
      <c r="O122" s="11"/>
      <c r="P122" s="7">
        <v>1693.73</v>
      </c>
      <c r="Q122" s="2"/>
      <c r="R122" s="6">
        <f t="shared" si="90"/>
        <v>3.8348448238067307E-4</v>
      </c>
      <c r="S122" s="2"/>
      <c r="T122" s="7">
        <v>6495</v>
      </c>
      <c r="U122" s="2"/>
      <c r="V122" s="6">
        <f t="shared" si="91"/>
        <v>9.3481349067561325E-4</v>
      </c>
      <c r="W122" s="2"/>
      <c r="X122" s="7">
        <f t="shared" si="92"/>
        <v>-4801.2700000000004</v>
      </c>
      <c r="Y122" s="2"/>
      <c r="Z122" s="6">
        <f t="shared" si="93"/>
        <v>-0.73922555812163204</v>
      </c>
    </row>
    <row r="123" spans="1:26" s="24" customFormat="1" hidden="1" outlineLevel="2" x14ac:dyDescent="0.3">
      <c r="A123" s="27"/>
      <c r="B123" s="11" t="str">
        <f>CONCATENATE("          ", "6275", " - ", "SUBSCRIPTIONS")</f>
        <v xml:space="preserve">          6275 - SUBSCRIPTIONS</v>
      </c>
      <c r="C123" s="11"/>
      <c r="D123" s="7"/>
      <c r="E123" s="2"/>
      <c r="F123" s="6">
        <f t="shared" si="86"/>
        <v>0</v>
      </c>
      <c r="G123" s="2"/>
      <c r="H123" s="7">
        <v>2081</v>
      </c>
      <c r="I123" s="2"/>
      <c r="J123" s="6">
        <f t="shared" si="87"/>
        <v>1.0435084348175791E-3</v>
      </c>
      <c r="K123" s="2"/>
      <c r="L123" s="7">
        <f t="shared" si="88"/>
        <v>-2081</v>
      </c>
      <c r="M123" s="2"/>
      <c r="N123" s="6">
        <f t="shared" si="89"/>
        <v>-1</v>
      </c>
      <c r="O123" s="11"/>
      <c r="P123" s="7"/>
      <c r="Q123" s="2"/>
      <c r="R123" s="6">
        <f t="shared" si="90"/>
        <v>0</v>
      </c>
      <c r="S123" s="2"/>
      <c r="T123" s="7">
        <v>2507</v>
      </c>
      <c r="U123" s="2"/>
      <c r="V123" s="6">
        <f t="shared" si="91"/>
        <v>3.6082793242860084E-4</v>
      </c>
      <c r="W123" s="2"/>
      <c r="X123" s="7">
        <f t="shared" si="92"/>
        <v>-2507</v>
      </c>
      <c r="Y123" s="2"/>
      <c r="Z123" s="6">
        <f t="shared" si="93"/>
        <v>-1</v>
      </c>
    </row>
    <row r="124" spans="1:26" s="28" customFormat="1" outlineLevel="1" collapsed="1" x14ac:dyDescent="0.3">
      <c r="A124" s="29"/>
      <c r="B124" s="14" t="str">
        <f>CONCATENATE("     ","Supplies                                          ")</f>
        <v xml:space="preserve">     Supplies                                          </v>
      </c>
      <c r="C124" s="14"/>
      <c r="D124" s="1">
        <f>SUM(OSRRefD22_20x_0)</f>
        <v>3936.56</v>
      </c>
      <c r="E124" s="1"/>
      <c r="F124" s="5">
        <f t="shared" ref="F124:F131" si="94">IF(D$12=0,0,D124/D$12)</f>
        <v>5.2101623577787311E-3</v>
      </c>
      <c r="G124" s="1"/>
      <c r="H124" s="1">
        <f>SUM(OSRRefH22_20x_0)</f>
        <v>18230</v>
      </c>
      <c r="I124" s="1"/>
      <c r="J124" s="5">
        <f t="shared" ref="J124:J131" si="95">IF(H$12=0,0,H124/H$12)</f>
        <v>9.1413545250958513E-3</v>
      </c>
      <c r="K124" s="1"/>
      <c r="L124" s="1">
        <f t="shared" ref="L124:L131" si="96">+D124-H124</f>
        <v>-14293.44</v>
      </c>
      <c r="M124" s="1"/>
      <c r="N124" s="5">
        <f t="shared" ref="N124:N131" si="97">IF(H124=0,0,L124/H124)</f>
        <v>-0.78406143719144272</v>
      </c>
      <c r="O124" s="14"/>
      <c r="P124" s="1">
        <f>SUM(OSRRefP22_20x_0)</f>
        <v>56653.35</v>
      </c>
      <c r="Q124" s="1"/>
      <c r="R124" s="5">
        <f t="shared" ref="R124:R131" si="98">IF(P$12=0,0,P124/P$12)</f>
        <v>1.2827121560036785E-2</v>
      </c>
      <c r="S124" s="1"/>
      <c r="T124" s="1">
        <f>SUM(OSRRefT22_20x_0)</f>
        <v>78390</v>
      </c>
      <c r="U124" s="1"/>
      <c r="V124" s="5">
        <f t="shared" ref="V124:V131" si="99">IF(T$12=0,0,T124/T$12)</f>
        <v>1.1282529566445161E-2</v>
      </c>
      <c r="W124" s="1"/>
      <c r="X124" s="1">
        <f t="shared" ref="X124:X131" si="100">+P124-T124</f>
        <v>-21736.65</v>
      </c>
      <c r="Y124" s="1"/>
      <c r="Z124" s="5">
        <f t="shared" ref="Z124:Z131" si="101">IF(T124=0,0,X124/T124)</f>
        <v>-0.27728855721393036</v>
      </c>
    </row>
    <row r="125" spans="1:26" s="24" customFormat="1" hidden="1" outlineLevel="2" x14ac:dyDescent="0.3">
      <c r="A125" s="27"/>
      <c r="B125" s="11" t="str">
        <f>CONCATENATE("          ", "6234", " - ", "EXPENDABLE SUPPLIES &amp; EQUIPMEN")</f>
        <v xml:space="preserve">          6234 - EXPENDABLE SUPPLIES &amp; EQUIPMEN</v>
      </c>
      <c r="C125" s="11"/>
      <c r="D125" s="7"/>
      <c r="E125" s="2"/>
      <c r="F125" s="6">
        <f t="shared" si="94"/>
        <v>0</v>
      </c>
      <c r="G125" s="2"/>
      <c r="H125" s="7">
        <v>300</v>
      </c>
      <c r="I125" s="2"/>
      <c r="J125" s="6">
        <f t="shared" si="95"/>
        <v>1.5043370035813249E-4</v>
      </c>
      <c r="K125" s="2"/>
      <c r="L125" s="7">
        <f t="shared" si="96"/>
        <v>-300</v>
      </c>
      <c r="M125" s="2"/>
      <c r="N125" s="6">
        <f t="shared" si="97"/>
        <v>-1</v>
      </c>
      <c r="O125" s="11"/>
      <c r="P125" s="7">
        <v>5289.57</v>
      </c>
      <c r="Q125" s="2"/>
      <c r="R125" s="6">
        <f t="shared" si="98"/>
        <v>1.1976336331447968E-3</v>
      </c>
      <c r="S125" s="2"/>
      <c r="T125" s="7">
        <v>1500</v>
      </c>
      <c r="U125" s="2"/>
      <c r="V125" s="6">
        <f t="shared" si="99"/>
        <v>2.1589226112600767E-4</v>
      </c>
      <c r="W125" s="2"/>
      <c r="X125" s="7">
        <f t="shared" si="100"/>
        <v>3789.5699999999997</v>
      </c>
      <c r="Y125" s="2"/>
      <c r="Z125" s="6">
        <f t="shared" si="101"/>
        <v>2.5263799999999996</v>
      </c>
    </row>
    <row r="126" spans="1:26" s="24" customFormat="1" hidden="1" outlineLevel="2" x14ac:dyDescent="0.3">
      <c r="A126" s="27"/>
      <c r="B126" s="11" t="str">
        <f>CONCATENATE("          ", "6235", " - ", "COVID-19 EXPENSES")</f>
        <v xml:space="preserve">          6235 - COVID-19 EXPENSES</v>
      </c>
      <c r="C126" s="11"/>
      <c r="D126" s="7"/>
      <c r="E126" s="2"/>
      <c r="F126" s="6">
        <f t="shared" si="94"/>
        <v>0</v>
      </c>
      <c r="G126" s="2"/>
      <c r="H126" s="7">
        <v>125</v>
      </c>
      <c r="I126" s="2"/>
      <c r="J126" s="6">
        <f t="shared" si="95"/>
        <v>6.2680708482555205E-5</v>
      </c>
      <c r="K126" s="2"/>
      <c r="L126" s="7">
        <f t="shared" si="96"/>
        <v>-125</v>
      </c>
      <c r="M126" s="2"/>
      <c r="N126" s="6">
        <f t="shared" si="97"/>
        <v>-1</v>
      </c>
      <c r="O126" s="11"/>
      <c r="P126" s="7">
        <v>3430.32</v>
      </c>
      <c r="Q126" s="2"/>
      <c r="R126" s="6">
        <f t="shared" si="98"/>
        <v>7.7667307634633048E-4</v>
      </c>
      <c r="S126" s="2"/>
      <c r="T126" s="7">
        <v>875</v>
      </c>
      <c r="U126" s="2"/>
      <c r="V126" s="6">
        <f t="shared" si="99"/>
        <v>1.2593715232350449E-4</v>
      </c>
      <c r="W126" s="2"/>
      <c r="X126" s="7">
        <f t="shared" si="100"/>
        <v>2555.3200000000002</v>
      </c>
      <c r="Y126" s="2"/>
      <c r="Z126" s="6">
        <f t="shared" si="101"/>
        <v>2.9203657142857145</v>
      </c>
    </row>
    <row r="127" spans="1:26" s="24" customFormat="1" hidden="1" outlineLevel="2" x14ac:dyDescent="0.3">
      <c r="A127" s="27"/>
      <c r="B127" s="11" t="str">
        <f>CONCATENATE("          ", "6237", " - ", "JANITORIAL SUPPLIES")</f>
        <v xml:space="preserve">          6237 - JANITORIAL SUPPLIES</v>
      </c>
      <c r="C127" s="11"/>
      <c r="D127" s="7">
        <v>665.03</v>
      </c>
      <c r="E127" s="2"/>
      <c r="F127" s="6">
        <f t="shared" si="94"/>
        <v>8.8018835551689539E-4</v>
      </c>
      <c r="G127" s="2"/>
      <c r="H127" s="7">
        <v>10</v>
      </c>
      <c r="I127" s="2"/>
      <c r="J127" s="6">
        <f t="shared" si="95"/>
        <v>5.0144566786044162E-6</v>
      </c>
      <c r="K127" s="2"/>
      <c r="L127" s="7">
        <f t="shared" si="96"/>
        <v>655.03</v>
      </c>
      <c r="M127" s="2"/>
      <c r="N127" s="6">
        <f t="shared" si="97"/>
        <v>65.503</v>
      </c>
      <c r="O127" s="11"/>
      <c r="P127" s="7">
        <v>4531.17</v>
      </c>
      <c r="Q127" s="2"/>
      <c r="R127" s="6">
        <f t="shared" si="98"/>
        <v>1.0259211220376532E-3</v>
      </c>
      <c r="S127" s="2"/>
      <c r="T127" s="7">
        <v>150</v>
      </c>
      <c r="U127" s="2"/>
      <c r="V127" s="6">
        <f t="shared" si="99"/>
        <v>2.1589226112600766E-5</v>
      </c>
      <c r="W127" s="2"/>
      <c r="X127" s="7">
        <f t="shared" si="100"/>
        <v>4381.17</v>
      </c>
      <c r="Y127" s="2"/>
      <c r="Z127" s="6">
        <f t="shared" si="101"/>
        <v>29.207799999999999</v>
      </c>
    </row>
    <row r="128" spans="1:26" s="24" customFormat="1" hidden="1" outlineLevel="2" x14ac:dyDescent="0.3">
      <c r="A128" s="27"/>
      <c r="B128" s="11" t="str">
        <f>CONCATENATE("          ", "6241", " - ", "OFFICE EXPENSE")</f>
        <v xml:space="preserve">          6241 - OFFICE EXPENSE</v>
      </c>
      <c r="C128" s="11"/>
      <c r="D128" s="7">
        <v>480.95</v>
      </c>
      <c r="E128" s="2"/>
      <c r="F128" s="6">
        <f t="shared" si="94"/>
        <v>6.3655262106348707E-4</v>
      </c>
      <c r="G128" s="2"/>
      <c r="H128" s="7">
        <v>670</v>
      </c>
      <c r="I128" s="2"/>
      <c r="J128" s="6">
        <f t="shared" si="95"/>
        <v>3.3596859746649589E-4</v>
      </c>
      <c r="K128" s="2"/>
      <c r="L128" s="7">
        <f t="shared" si="96"/>
        <v>-189.05</v>
      </c>
      <c r="M128" s="2"/>
      <c r="N128" s="6">
        <f t="shared" si="97"/>
        <v>-0.28216417910447761</v>
      </c>
      <c r="O128" s="11"/>
      <c r="P128" s="7">
        <v>8877.73</v>
      </c>
      <c r="Q128" s="2"/>
      <c r="R128" s="6">
        <f t="shared" si="98"/>
        <v>2.0100439230369494E-3</v>
      </c>
      <c r="S128" s="2"/>
      <c r="T128" s="7">
        <v>4290</v>
      </c>
      <c r="U128" s="2"/>
      <c r="V128" s="6">
        <f t="shared" si="99"/>
        <v>6.1745186682038195E-4</v>
      </c>
      <c r="W128" s="2"/>
      <c r="X128" s="7">
        <f t="shared" si="100"/>
        <v>4587.7299999999996</v>
      </c>
      <c r="Y128" s="2"/>
      <c r="Z128" s="6">
        <f t="shared" si="101"/>
        <v>1.0694009324009324</v>
      </c>
    </row>
    <row r="129" spans="1:26" s="24" customFormat="1" hidden="1" outlineLevel="2" x14ac:dyDescent="0.3">
      <c r="A129" s="27"/>
      <c r="B129" s="11" t="str">
        <f>CONCATENATE("          ", "6243", " - ", "PAPER SUPPLIES")</f>
        <v xml:space="preserve">          6243 - PAPER SUPPLIES</v>
      </c>
      <c r="C129" s="11"/>
      <c r="D129" s="7">
        <v>78.34</v>
      </c>
      <c r="E129" s="2"/>
      <c r="F129" s="6">
        <f t="shared" si="94"/>
        <v>1.0368548151390703E-4</v>
      </c>
      <c r="G129" s="2"/>
      <c r="H129" s="7">
        <v>7500</v>
      </c>
      <c r="I129" s="2"/>
      <c r="J129" s="6">
        <f t="shared" si="95"/>
        <v>3.7608425089533126E-3</v>
      </c>
      <c r="K129" s="2"/>
      <c r="L129" s="7">
        <f t="shared" si="96"/>
        <v>-7421.66</v>
      </c>
      <c r="M129" s="2"/>
      <c r="N129" s="6">
        <f t="shared" si="97"/>
        <v>-0.98955466666666669</v>
      </c>
      <c r="O129" s="11"/>
      <c r="P129" s="7">
        <v>4549.24</v>
      </c>
      <c r="Q129" s="2"/>
      <c r="R129" s="6">
        <f t="shared" si="98"/>
        <v>1.030012426198658E-3</v>
      </c>
      <c r="S129" s="2"/>
      <c r="T129" s="7">
        <v>26400</v>
      </c>
      <c r="U129" s="2"/>
      <c r="V129" s="6">
        <f t="shared" si="99"/>
        <v>3.7997037958177353E-3</v>
      </c>
      <c r="W129" s="2"/>
      <c r="X129" s="7">
        <f t="shared" si="100"/>
        <v>-21850.760000000002</v>
      </c>
      <c r="Y129" s="2"/>
      <c r="Z129" s="6">
        <f t="shared" si="101"/>
        <v>-0.82768030303030315</v>
      </c>
    </row>
    <row r="130" spans="1:26" s="24" customFormat="1" hidden="1" outlineLevel="2" x14ac:dyDescent="0.3">
      <c r="A130" s="27"/>
      <c r="B130" s="11" t="str">
        <f>CONCATENATE("          ", "6245", " - ", "PRINTING")</f>
        <v xml:space="preserve">          6245 - PRINTING</v>
      </c>
      <c r="C130" s="11"/>
      <c r="D130" s="7">
        <v>689.76</v>
      </c>
      <c r="E130" s="2"/>
      <c r="F130" s="6">
        <f t="shared" si="94"/>
        <v>9.1291929702619996E-4</v>
      </c>
      <c r="G130" s="2"/>
      <c r="H130" s="7">
        <v>3750</v>
      </c>
      <c r="I130" s="2"/>
      <c r="J130" s="6">
        <f t="shared" si="95"/>
        <v>1.8804212544766563E-3</v>
      </c>
      <c r="K130" s="2"/>
      <c r="L130" s="7">
        <f t="shared" si="96"/>
        <v>-3060.24</v>
      </c>
      <c r="M130" s="2"/>
      <c r="N130" s="6">
        <f t="shared" si="97"/>
        <v>-0.8160639999999999</v>
      </c>
      <c r="O130" s="11"/>
      <c r="P130" s="7">
        <v>2801.74</v>
      </c>
      <c r="Q130" s="2"/>
      <c r="R130" s="6">
        <f t="shared" si="98"/>
        <v>6.3435365357242702E-4</v>
      </c>
      <c r="S130" s="2"/>
      <c r="T130" s="7">
        <v>5895</v>
      </c>
      <c r="U130" s="2"/>
      <c r="V130" s="6">
        <f t="shared" si="99"/>
        <v>8.4845658622521012E-4</v>
      </c>
      <c r="W130" s="2"/>
      <c r="X130" s="7">
        <f t="shared" si="100"/>
        <v>-3093.26</v>
      </c>
      <c r="Y130" s="2"/>
      <c r="Z130" s="6">
        <f t="shared" si="101"/>
        <v>-0.52472603901611536</v>
      </c>
    </row>
    <row r="131" spans="1:26" s="24" customFormat="1" hidden="1" outlineLevel="2" x14ac:dyDescent="0.3">
      <c r="A131" s="27"/>
      <c r="B131" s="11" t="str">
        <f>CONCATENATE("          ", "6247", " - ", "STORE SUPPLIES")</f>
        <v xml:space="preserve">          6247 - STORE SUPPLIES</v>
      </c>
      <c r="C131" s="11"/>
      <c r="D131" s="7">
        <v>2022.48</v>
      </c>
      <c r="E131" s="2"/>
      <c r="F131" s="6">
        <f t="shared" si="94"/>
        <v>2.6768166026582422E-3</v>
      </c>
      <c r="G131" s="2"/>
      <c r="H131" s="7">
        <v>5875</v>
      </c>
      <c r="I131" s="2"/>
      <c r="J131" s="6">
        <f t="shared" si="95"/>
        <v>2.9459932986800946E-3</v>
      </c>
      <c r="K131" s="2"/>
      <c r="L131" s="7">
        <f t="shared" si="96"/>
        <v>-3852.52</v>
      </c>
      <c r="M131" s="2"/>
      <c r="N131" s="6">
        <f t="shared" si="97"/>
        <v>-0.65574808510638294</v>
      </c>
      <c r="O131" s="11"/>
      <c r="P131" s="7">
        <v>27173.58</v>
      </c>
      <c r="Q131" s="2"/>
      <c r="R131" s="6">
        <f t="shared" si="98"/>
        <v>6.15248372569997E-3</v>
      </c>
      <c r="S131" s="2"/>
      <c r="T131" s="7">
        <v>39280</v>
      </c>
      <c r="U131" s="2"/>
      <c r="V131" s="6">
        <f t="shared" si="99"/>
        <v>5.653498678019721E-3</v>
      </c>
      <c r="W131" s="2"/>
      <c r="X131" s="7">
        <f t="shared" si="100"/>
        <v>-12106.419999999998</v>
      </c>
      <c r="Y131" s="2"/>
      <c r="Z131" s="6">
        <f t="shared" si="101"/>
        <v>-0.30820824847250505</v>
      </c>
    </row>
    <row r="132" spans="1:26" s="28" customFormat="1" outlineLevel="1" collapsed="1" x14ac:dyDescent="0.3">
      <c r="A132" s="29"/>
      <c r="B132" s="14" t="str">
        <f>CONCATENATE("     ","Telephone/Data Lines                              ")</f>
        <v xml:space="preserve">     Telephone/Data Lines                              </v>
      </c>
      <c r="C132" s="14"/>
      <c r="D132" s="1">
        <f>SUM(OSRRefD22_21x_0)</f>
        <v>2288.73</v>
      </c>
      <c r="E132" s="1"/>
      <c r="F132" s="5">
        <f t="shared" ref="F132:F134" si="102">IF(D$12=0,0,D132/D$12)</f>
        <v>3.0292069454343172E-3</v>
      </c>
      <c r="G132" s="1"/>
      <c r="H132" s="1">
        <f>SUM(OSRRefH22_21x_0)</f>
        <v>1835</v>
      </c>
      <c r="I132" s="1"/>
      <c r="J132" s="5">
        <f t="shared" ref="J132:J134" si="103">IF(H$12=0,0,H132/H$12)</f>
        <v>9.2015280052391043E-4</v>
      </c>
      <c r="K132" s="1"/>
      <c r="L132" s="1">
        <f t="shared" ref="L132:L134" si="104">+D132-H132</f>
        <v>453.73</v>
      </c>
      <c r="M132" s="1"/>
      <c r="N132" s="5">
        <f t="shared" ref="N132:N134" si="105">IF(H132=0,0,L132/H132)</f>
        <v>0.24726430517711173</v>
      </c>
      <c r="O132" s="14"/>
      <c r="P132" s="1">
        <f>SUM(OSRRefP22_21x_0)</f>
        <v>12947.59</v>
      </c>
      <c r="Q132" s="1"/>
      <c r="R132" s="5">
        <f t="shared" ref="R132:R134" si="106">IF(P$12=0,0,P132/P$12)</f>
        <v>2.9315179215265589E-3</v>
      </c>
      <c r="S132" s="1"/>
      <c r="T132" s="1">
        <f>SUM(OSRRefT22_21x_0)</f>
        <v>12745</v>
      </c>
      <c r="U132" s="1"/>
      <c r="V132" s="5">
        <f t="shared" ref="V132:V134" si="107">IF(T$12=0,0,T132/T$12)</f>
        <v>1.8343645787006451E-3</v>
      </c>
      <c r="W132" s="1"/>
      <c r="X132" s="1">
        <f t="shared" ref="X132:X134" si="108">+P132-T132</f>
        <v>202.59000000000015</v>
      </c>
      <c r="Y132" s="1"/>
      <c r="Z132" s="5">
        <f t="shared" ref="Z132:Z134" si="109">IF(T132=0,0,X132/T132)</f>
        <v>1.5895645351118096E-2</v>
      </c>
    </row>
    <row r="133" spans="1:26" s="24" customFormat="1" hidden="1" outlineLevel="2" x14ac:dyDescent="0.3">
      <c r="A133" s="27"/>
      <c r="B133" s="11" t="str">
        <f>CONCATENATE("          ", "6303", " - ", "DATA PHONE LINES")</f>
        <v xml:space="preserve">          6303 - DATA PHONE LINES</v>
      </c>
      <c r="C133" s="11"/>
      <c r="D133" s="7"/>
      <c r="E133" s="2"/>
      <c r="F133" s="6">
        <f t="shared" si="102"/>
        <v>0</v>
      </c>
      <c r="G133" s="2"/>
      <c r="H133" s="7">
        <v>0</v>
      </c>
      <c r="I133" s="2"/>
      <c r="J133" s="6">
        <f t="shared" si="103"/>
        <v>0</v>
      </c>
      <c r="K133" s="2"/>
      <c r="L133" s="7">
        <f t="shared" si="104"/>
        <v>0</v>
      </c>
      <c r="M133" s="2"/>
      <c r="N133" s="6">
        <f t="shared" si="105"/>
        <v>0</v>
      </c>
      <c r="O133" s="11"/>
      <c r="P133" s="7">
        <v>295</v>
      </c>
      <c r="Q133" s="2"/>
      <c r="R133" s="6">
        <f t="shared" si="106"/>
        <v>6.6792181931180617E-5</v>
      </c>
      <c r="S133" s="2"/>
      <c r="T133" s="7">
        <v>0</v>
      </c>
      <c r="U133" s="2"/>
      <c r="V133" s="6">
        <f t="shared" si="107"/>
        <v>0</v>
      </c>
      <c r="W133" s="2"/>
      <c r="X133" s="7">
        <f t="shared" si="108"/>
        <v>295</v>
      </c>
      <c r="Y133" s="2"/>
      <c r="Z133" s="6">
        <f t="shared" si="109"/>
        <v>0</v>
      </c>
    </row>
    <row r="134" spans="1:26" s="24" customFormat="1" hidden="1" outlineLevel="2" x14ac:dyDescent="0.3">
      <c r="A134" s="27"/>
      <c r="B134" s="11" t="str">
        <f>CONCATENATE("          ", "6309", " - ", "TELEPHONE")</f>
        <v xml:space="preserve">          6309 - TELEPHONE</v>
      </c>
      <c r="C134" s="11"/>
      <c r="D134" s="7">
        <v>2288.73</v>
      </c>
      <c r="E134" s="2"/>
      <c r="F134" s="6">
        <f t="shared" si="102"/>
        <v>3.0292069454343172E-3</v>
      </c>
      <c r="G134" s="2"/>
      <c r="H134" s="7">
        <v>1835</v>
      </c>
      <c r="I134" s="2"/>
      <c r="J134" s="6">
        <f t="shared" si="103"/>
        <v>9.2015280052391043E-4</v>
      </c>
      <c r="K134" s="2"/>
      <c r="L134" s="7">
        <f t="shared" si="104"/>
        <v>453.73</v>
      </c>
      <c r="M134" s="2"/>
      <c r="N134" s="6">
        <f t="shared" si="105"/>
        <v>0.24726430517711173</v>
      </c>
      <c r="O134" s="11"/>
      <c r="P134" s="7">
        <v>12652.59</v>
      </c>
      <c r="Q134" s="2"/>
      <c r="R134" s="6">
        <f t="shared" si="106"/>
        <v>2.8647257395953783E-3</v>
      </c>
      <c r="S134" s="2"/>
      <c r="T134" s="7">
        <v>12745</v>
      </c>
      <c r="U134" s="2"/>
      <c r="V134" s="6">
        <f t="shared" si="107"/>
        <v>1.8343645787006451E-3</v>
      </c>
      <c r="W134" s="2"/>
      <c r="X134" s="7">
        <f t="shared" si="108"/>
        <v>-92.409999999999854</v>
      </c>
      <c r="Y134" s="2"/>
      <c r="Z134" s="6">
        <f t="shared" si="109"/>
        <v>-7.2506865437426326E-3</v>
      </c>
    </row>
    <row r="135" spans="1:26" s="28" customFormat="1" outlineLevel="1" collapsed="1" x14ac:dyDescent="0.3">
      <c r="A135" s="29"/>
      <c r="B135" s="14" t="str">
        <f>CONCATENATE("     ","Training                                          ")</f>
        <v xml:space="preserve">     Training                                          </v>
      </c>
      <c r="C135" s="14"/>
      <c r="D135" s="1">
        <f>SUM(OSRRefD22_22x_0)</f>
        <v>0</v>
      </c>
      <c r="E135" s="1"/>
      <c r="F135" s="5">
        <f t="shared" ref="F135:F140" si="110">IF(D$12=0,0,D135/D$12)</f>
        <v>0</v>
      </c>
      <c r="G135" s="1"/>
      <c r="H135" s="1">
        <f>SUM(OSRRefH22_22x_0)</f>
        <v>0</v>
      </c>
      <c r="I135" s="1"/>
      <c r="J135" s="5">
        <f t="shared" ref="J135:J140" si="111">IF(H$12=0,0,H135/H$12)</f>
        <v>0</v>
      </c>
      <c r="K135" s="1"/>
      <c r="L135" s="1">
        <f t="shared" ref="L135:L140" si="112">+D135-H135</f>
        <v>0</v>
      </c>
      <c r="M135" s="1"/>
      <c r="N135" s="5">
        <f t="shared" ref="N135:N140" si="113">IF(H135=0,0,L135/H135)</f>
        <v>0</v>
      </c>
      <c r="O135" s="14"/>
      <c r="P135" s="1">
        <f>SUM(OSRRefP22_22x_0)</f>
        <v>595</v>
      </c>
      <c r="Q135" s="1"/>
      <c r="R135" s="5">
        <f t="shared" ref="R135:R140" si="114">IF(P$12=0,0,P135/P$12)</f>
        <v>1.3471643474255074E-4</v>
      </c>
      <c r="S135" s="1"/>
      <c r="T135" s="1">
        <f>SUM(OSRRefT22_22x_0)</f>
        <v>0</v>
      </c>
      <c r="U135" s="1"/>
      <c r="V135" s="5">
        <f t="shared" ref="V135:V140" si="115">IF(T$12=0,0,T135/T$12)</f>
        <v>0</v>
      </c>
      <c r="W135" s="1"/>
      <c r="X135" s="1">
        <f t="shared" ref="X135:X140" si="116">+P135-T135</f>
        <v>595</v>
      </c>
      <c r="Y135" s="1"/>
      <c r="Z135" s="5">
        <f t="shared" ref="Z135:Z140" si="117">IF(T135=0,0,X135/T135)</f>
        <v>0</v>
      </c>
    </row>
    <row r="136" spans="1:26" s="24" customFormat="1" hidden="1" outlineLevel="2" x14ac:dyDescent="0.3">
      <c r="A136" s="27"/>
      <c r="B136" s="11" t="str">
        <f>CONCATENATE("          ", "6376", " - ", "TRAINING")</f>
        <v xml:space="preserve">          6376 - TRAINING</v>
      </c>
      <c r="C136" s="11"/>
      <c r="D136" s="7"/>
      <c r="E136" s="2"/>
      <c r="F136" s="6">
        <f t="shared" si="110"/>
        <v>0</v>
      </c>
      <c r="G136" s="2"/>
      <c r="H136" s="7">
        <v>0</v>
      </c>
      <c r="I136" s="2"/>
      <c r="J136" s="6">
        <f t="shared" si="111"/>
        <v>0</v>
      </c>
      <c r="K136" s="2"/>
      <c r="L136" s="7">
        <f t="shared" si="112"/>
        <v>0</v>
      </c>
      <c r="M136" s="2"/>
      <c r="N136" s="6">
        <f t="shared" si="113"/>
        <v>0</v>
      </c>
      <c r="O136" s="11"/>
      <c r="P136" s="7">
        <v>595</v>
      </c>
      <c r="Q136" s="2"/>
      <c r="R136" s="6">
        <f t="shared" si="114"/>
        <v>1.3471643474255074E-4</v>
      </c>
      <c r="S136" s="2"/>
      <c r="T136" s="7">
        <v>0</v>
      </c>
      <c r="U136" s="2"/>
      <c r="V136" s="6">
        <f t="shared" si="115"/>
        <v>0</v>
      </c>
      <c r="W136" s="2"/>
      <c r="X136" s="7">
        <f t="shared" si="116"/>
        <v>595</v>
      </c>
      <c r="Y136" s="2"/>
      <c r="Z136" s="6">
        <f t="shared" si="117"/>
        <v>0</v>
      </c>
    </row>
    <row r="137" spans="1:26" s="28" customFormat="1" outlineLevel="1" collapsed="1" x14ac:dyDescent="0.3">
      <c r="A137" s="29"/>
      <c r="B137" s="14" t="str">
        <f>CONCATENATE("     ","Travel                                            ")</f>
        <v xml:space="preserve">     Travel                                            </v>
      </c>
      <c r="C137" s="14"/>
      <c r="D137" s="1">
        <f>SUM(OSRRefD22_23x_0)</f>
        <v>0</v>
      </c>
      <c r="E137" s="1"/>
      <c r="F137" s="5">
        <f t="shared" si="110"/>
        <v>0</v>
      </c>
      <c r="G137" s="1"/>
      <c r="H137" s="1">
        <f>SUM(OSRRefH22_23x_0)</f>
        <v>175</v>
      </c>
      <c r="I137" s="1"/>
      <c r="J137" s="5">
        <f t="shared" si="111"/>
        <v>8.7752991875577287E-5</v>
      </c>
      <c r="K137" s="1"/>
      <c r="L137" s="1">
        <f t="shared" si="112"/>
        <v>-175</v>
      </c>
      <c r="M137" s="1"/>
      <c r="N137" s="5">
        <f t="shared" si="113"/>
        <v>-1</v>
      </c>
      <c r="O137" s="14"/>
      <c r="P137" s="1">
        <f>SUM(OSRRefP22_23x_0)</f>
        <v>882.0100000000001</v>
      </c>
      <c r="Q137" s="1"/>
      <c r="R137" s="5">
        <f t="shared" si="114"/>
        <v>1.9969956740718855E-4</v>
      </c>
      <c r="S137" s="1"/>
      <c r="T137" s="1">
        <f>SUM(OSRRefT22_23x_0)</f>
        <v>1475</v>
      </c>
      <c r="U137" s="1"/>
      <c r="V137" s="5">
        <f t="shared" si="115"/>
        <v>2.1229405677390754E-4</v>
      </c>
      <c r="W137" s="1"/>
      <c r="X137" s="1">
        <f t="shared" si="116"/>
        <v>-592.9899999999999</v>
      </c>
      <c r="Y137" s="1"/>
      <c r="Z137" s="5">
        <f t="shared" si="117"/>
        <v>-0.4020271186440677</v>
      </c>
    </row>
    <row r="138" spans="1:26" s="24" customFormat="1" hidden="1" outlineLevel="2" x14ac:dyDescent="0.3">
      <c r="A138" s="27"/>
      <c r="B138" s="11" t="str">
        <f>CONCATENATE("          ", "6292", " - ", "TRAVEL/CONFERENCE")</f>
        <v xml:space="preserve">          6292 - TRAVEL/CONFERENCE</v>
      </c>
      <c r="C138" s="11"/>
      <c r="D138" s="7"/>
      <c r="E138" s="2"/>
      <c r="F138" s="6">
        <f t="shared" si="110"/>
        <v>0</v>
      </c>
      <c r="G138" s="2"/>
      <c r="H138" s="7">
        <v>125</v>
      </c>
      <c r="I138" s="2"/>
      <c r="J138" s="6">
        <f t="shared" si="111"/>
        <v>6.2680708482555205E-5</v>
      </c>
      <c r="K138" s="2"/>
      <c r="L138" s="7">
        <f t="shared" si="112"/>
        <v>-125</v>
      </c>
      <c r="M138" s="2"/>
      <c r="N138" s="6">
        <f t="shared" si="113"/>
        <v>-1</v>
      </c>
      <c r="O138" s="11"/>
      <c r="P138" s="7">
        <v>495</v>
      </c>
      <c r="Q138" s="2"/>
      <c r="R138" s="6">
        <f t="shared" si="114"/>
        <v>1.1207501713876069E-4</v>
      </c>
      <c r="S138" s="2"/>
      <c r="T138" s="7">
        <v>875</v>
      </c>
      <c r="U138" s="2"/>
      <c r="V138" s="6">
        <f t="shared" si="115"/>
        <v>1.2593715232350449E-4</v>
      </c>
      <c r="W138" s="2"/>
      <c r="X138" s="7">
        <f t="shared" si="116"/>
        <v>-380</v>
      </c>
      <c r="Y138" s="2"/>
      <c r="Z138" s="6">
        <f t="shared" si="117"/>
        <v>-0.43428571428571427</v>
      </c>
    </row>
    <row r="139" spans="1:26" s="24" customFormat="1" hidden="1" outlineLevel="2" x14ac:dyDescent="0.3">
      <c r="A139" s="27"/>
      <c r="B139" s="11" t="str">
        <f>CONCATENATE("          ", "6294", " - ", "TRAVEL OPERATIONAL")</f>
        <v xml:space="preserve">          6294 - TRAVEL OPERATIONAL</v>
      </c>
      <c r="C139" s="11"/>
      <c r="D139" s="7"/>
      <c r="E139" s="2"/>
      <c r="F139" s="6">
        <f t="shared" si="110"/>
        <v>0</v>
      </c>
      <c r="G139" s="2"/>
      <c r="H139" s="7">
        <v>25</v>
      </c>
      <c r="I139" s="2"/>
      <c r="J139" s="6">
        <f t="shared" si="111"/>
        <v>1.2536141696511041E-5</v>
      </c>
      <c r="K139" s="2"/>
      <c r="L139" s="7">
        <f t="shared" si="112"/>
        <v>-25</v>
      </c>
      <c r="M139" s="2"/>
      <c r="N139" s="6">
        <f t="shared" si="113"/>
        <v>-1</v>
      </c>
      <c r="O139" s="11"/>
      <c r="P139" s="7">
        <v>239.93</v>
      </c>
      <c r="Q139" s="2"/>
      <c r="R139" s="6">
        <f t="shared" si="114"/>
        <v>5.4323553256773445E-5</v>
      </c>
      <c r="S139" s="2"/>
      <c r="T139" s="7">
        <v>175</v>
      </c>
      <c r="U139" s="2"/>
      <c r="V139" s="6">
        <f t="shared" si="115"/>
        <v>2.5187430464700897E-5</v>
      </c>
      <c r="W139" s="2"/>
      <c r="X139" s="7">
        <f t="shared" si="116"/>
        <v>64.930000000000007</v>
      </c>
      <c r="Y139" s="2"/>
      <c r="Z139" s="6">
        <f t="shared" si="117"/>
        <v>0.37102857142857149</v>
      </c>
    </row>
    <row r="140" spans="1:26" s="24" customFormat="1" hidden="1" outlineLevel="2" x14ac:dyDescent="0.3">
      <c r="A140" s="27"/>
      <c r="B140" s="11" t="str">
        <f>CONCATENATE("          ", "6298", " - ", "VEHICLE MILEAGE")</f>
        <v xml:space="preserve">          6298 - VEHICLE MILEAGE</v>
      </c>
      <c r="C140" s="11"/>
      <c r="D140" s="7"/>
      <c r="E140" s="2"/>
      <c r="F140" s="6">
        <f t="shared" si="110"/>
        <v>0</v>
      </c>
      <c r="G140" s="2"/>
      <c r="H140" s="7">
        <v>25</v>
      </c>
      <c r="I140" s="2"/>
      <c r="J140" s="6">
        <f t="shared" si="111"/>
        <v>1.2536141696511041E-5</v>
      </c>
      <c r="K140" s="2"/>
      <c r="L140" s="7">
        <f t="shared" si="112"/>
        <v>-25</v>
      </c>
      <c r="M140" s="2"/>
      <c r="N140" s="6">
        <f t="shared" si="113"/>
        <v>-1</v>
      </c>
      <c r="O140" s="11"/>
      <c r="P140" s="7">
        <v>147.08000000000001</v>
      </c>
      <c r="Q140" s="2"/>
      <c r="R140" s="6">
        <f t="shared" si="114"/>
        <v>3.3300997011654391E-5</v>
      </c>
      <c r="S140" s="2"/>
      <c r="T140" s="7">
        <v>425</v>
      </c>
      <c r="U140" s="2"/>
      <c r="V140" s="6">
        <f t="shared" si="115"/>
        <v>6.1169473985702179E-5</v>
      </c>
      <c r="W140" s="2"/>
      <c r="X140" s="7">
        <f t="shared" si="116"/>
        <v>-277.91999999999996</v>
      </c>
      <c r="Y140" s="2"/>
      <c r="Z140" s="6">
        <f t="shared" si="117"/>
        <v>-0.65392941176470576</v>
      </c>
    </row>
    <row r="141" spans="1:26" s="28" customFormat="1" outlineLevel="1" collapsed="1" x14ac:dyDescent="0.3">
      <c r="A141" s="29"/>
      <c r="B141" s="14" t="str">
        <f>CONCATENATE("     ","Utilities                                         ")</f>
        <v xml:space="preserve">     Utilities                                         </v>
      </c>
      <c r="C141" s="14"/>
      <c r="D141" s="1">
        <f>SUM(OSRRefD22_24x_0)</f>
        <v>6292.91</v>
      </c>
      <c r="E141" s="1"/>
      <c r="F141" s="5">
        <f t="shared" ref="F141:F142" si="118">IF(D$12=0,0,D141/D$12)</f>
        <v>8.3288665237896426E-3</v>
      </c>
      <c r="G141" s="1"/>
      <c r="H141" s="1">
        <f>SUM(OSRRefH22_24x_0)</f>
        <v>6120</v>
      </c>
      <c r="I141" s="1"/>
      <c r="J141" s="5">
        <f t="shared" ref="J141:J142" si="119">IF(H$12=0,0,H141/H$12)</f>
        <v>3.0688474873059031E-3</v>
      </c>
      <c r="K141" s="1"/>
      <c r="L141" s="1">
        <f t="shared" ref="L141:L142" si="120">+D141-H141</f>
        <v>172.90999999999985</v>
      </c>
      <c r="M141" s="1"/>
      <c r="N141" s="5">
        <f t="shared" ref="N141:N142" si="121">IF(H141=0,0,L141/H141)</f>
        <v>2.8253267973856185E-2</v>
      </c>
      <c r="O141" s="14"/>
      <c r="P141" s="1">
        <f>SUM(OSRRefP22_24x_0)</f>
        <v>36539.42</v>
      </c>
      <c r="Q141" s="1"/>
      <c r="R141" s="5">
        <f t="shared" ref="R141:R142" si="122">IF(P$12=0,0,P141/P$12)</f>
        <v>8.2730426722027791E-3</v>
      </c>
      <c r="S141" s="1"/>
      <c r="T141" s="1">
        <f>SUM(OSRRefT22_24x_0)</f>
        <v>42840</v>
      </c>
      <c r="U141" s="1"/>
      <c r="V141" s="5">
        <f t="shared" ref="V141:V142" si="123">IF(T$12=0,0,T141/T$12)</f>
        <v>6.1658829777587795E-3</v>
      </c>
      <c r="W141" s="1"/>
      <c r="X141" s="1">
        <f t="shared" ref="X141:X142" si="124">+P141-T141</f>
        <v>-6300.5800000000017</v>
      </c>
      <c r="Y141" s="1"/>
      <c r="Z141" s="5">
        <f t="shared" ref="Z141:Z142" si="125">IF(T141=0,0,X141/T141)</f>
        <v>-0.14707236227824466</v>
      </c>
    </row>
    <row r="142" spans="1:26" s="24" customFormat="1" hidden="1" outlineLevel="2" x14ac:dyDescent="0.3">
      <c r="A142" s="27"/>
      <c r="B142" s="11" t="str">
        <f>CONCATENATE("          ", "6274", " - ", "UTILITIES")</f>
        <v xml:space="preserve">          6274 - UTILITIES</v>
      </c>
      <c r="C142" s="11"/>
      <c r="D142" s="7">
        <v>6292.91</v>
      </c>
      <c r="E142" s="2"/>
      <c r="F142" s="6">
        <f t="shared" si="118"/>
        <v>8.3288665237896426E-3</v>
      </c>
      <c r="G142" s="2"/>
      <c r="H142" s="7">
        <v>6120</v>
      </c>
      <c r="I142" s="2"/>
      <c r="J142" s="6">
        <f t="shared" si="119"/>
        <v>3.0688474873059031E-3</v>
      </c>
      <c r="K142" s="2"/>
      <c r="L142" s="7">
        <f t="shared" si="120"/>
        <v>172.90999999999985</v>
      </c>
      <c r="M142" s="2"/>
      <c r="N142" s="6">
        <f t="shared" si="121"/>
        <v>2.8253267973856185E-2</v>
      </c>
      <c r="O142" s="11"/>
      <c r="P142" s="7">
        <v>36539.42</v>
      </c>
      <c r="Q142" s="2"/>
      <c r="R142" s="6">
        <f t="shared" si="122"/>
        <v>8.2730426722027791E-3</v>
      </c>
      <c r="S142" s="2"/>
      <c r="T142" s="7">
        <v>42840</v>
      </c>
      <c r="U142" s="2"/>
      <c r="V142" s="6">
        <f t="shared" si="123"/>
        <v>6.1658829777587795E-3</v>
      </c>
      <c r="W142" s="2"/>
      <c r="X142" s="7">
        <f t="shared" si="124"/>
        <v>-6300.5800000000017</v>
      </c>
      <c r="Y142" s="2"/>
      <c r="Z142" s="6">
        <f t="shared" si="125"/>
        <v>-0.14707236227824466</v>
      </c>
    </row>
    <row r="143" spans="1:26" s="55" customFormat="1" x14ac:dyDescent="0.3">
      <c r="A143" s="36"/>
      <c r="B143" s="36"/>
      <c r="C143" s="36"/>
      <c r="D143" s="1"/>
      <c r="E143" s="1"/>
      <c r="F143" s="5"/>
      <c r="G143" s="1"/>
      <c r="H143" s="1"/>
      <c r="I143" s="1"/>
      <c r="J143" s="5"/>
      <c r="K143" s="1"/>
      <c r="L143" s="1"/>
      <c r="M143" s="1"/>
      <c r="N143" s="5"/>
      <c r="O143" s="36"/>
      <c r="P143" s="1"/>
      <c r="Q143" s="1"/>
      <c r="R143" s="5"/>
      <c r="S143" s="1"/>
      <c r="T143" s="1"/>
      <c r="U143" s="1"/>
      <c r="V143" s="5"/>
      <c r="W143" s="1"/>
      <c r="X143" s="1"/>
      <c r="Y143" s="1"/>
      <c r="Z143" s="5"/>
    </row>
    <row r="144" spans="1:26" s="23" customFormat="1" collapsed="1" x14ac:dyDescent="0.3">
      <c r="A144" s="10"/>
      <c r="B144" s="25" t="s">
        <v>293</v>
      </c>
      <c r="C144" s="10"/>
      <c r="D144" s="4">
        <f>SUM(OSRRefD25x_0)</f>
        <v>45989.700000000004</v>
      </c>
      <c r="E144" s="4"/>
      <c r="F144" s="12">
        <f t="shared" ref="F144:F149" si="126">IF(D$12=0,0,D144/D$12)</f>
        <v>6.0868830599695306E-2</v>
      </c>
      <c r="G144" s="4"/>
      <c r="H144" s="4">
        <f>SUM(OSRRefH25x_0)</f>
        <v>27724.33</v>
      </c>
      <c r="I144" s="4"/>
      <c r="J144" s="12">
        <f t="shared" ref="J144:J149" si="127">IF(H$12=0,0,H144/H$12)</f>
        <v>1.390224517283328E-2</v>
      </c>
      <c r="K144" s="4"/>
      <c r="L144" s="4">
        <f t="shared" ref="L144:L149" si="128">+D144-H144</f>
        <v>18265.370000000003</v>
      </c>
      <c r="M144" s="4"/>
      <c r="N144" s="12">
        <f t="shared" ref="N144:N149" si="129">IF(H144=0,0,L144/H144)</f>
        <v>0.65882097060596245</v>
      </c>
      <c r="O144" s="10"/>
      <c r="P144" s="4">
        <f>SUM(OSRRefP25x_0)</f>
        <v>515898.42</v>
      </c>
      <c r="Q144" s="4"/>
      <c r="R144" s="12">
        <f t="shared" ref="R144:R149" si="130">IF(P$12=0,0,P144/P$12)</f>
        <v>0.11680671568355468</v>
      </c>
      <c r="S144" s="4"/>
      <c r="T144" s="4">
        <f>SUM(OSRRefT25x_0)</f>
        <v>429977.82999999996</v>
      </c>
      <c r="U144" s="4"/>
      <c r="V144" s="12">
        <f t="shared" ref="V144:V149" si="131">IF(T$12=0,0,T144/T$12)</f>
        <v>6.1885923968502753E-2</v>
      </c>
      <c r="W144" s="4"/>
      <c r="X144" s="4">
        <f t="shared" ref="X144:X149" si="132">+P144-T144</f>
        <v>85920.590000000026</v>
      </c>
      <c r="Y144" s="4"/>
      <c r="Z144" s="12">
        <f t="shared" ref="Z144:Z149" si="133">IF(T144=0,0,X144/T144)</f>
        <v>0.19982562821901778</v>
      </c>
    </row>
    <row r="145" spans="1:26" s="24" customFormat="1" hidden="1" outlineLevel="1" x14ac:dyDescent="0.3">
      <c r="A145" s="44"/>
      <c r="B145" s="11" t="str">
        <f>CONCATENATE("          ", "9150", " - ", "MISC. INCOME")</f>
        <v xml:space="preserve">          9150 - MISC. INCOME</v>
      </c>
      <c r="C145" s="11"/>
      <c r="D145" s="2">
        <f>--35637.01</f>
        <v>35637.01</v>
      </c>
      <c r="E145" s="2"/>
      <c r="F145" s="19">
        <f t="shared" si="126"/>
        <v>4.7166716129256062E-2</v>
      </c>
      <c r="G145" s="2"/>
      <c r="H145" s="2">
        <v>25659</v>
      </c>
      <c r="I145" s="2"/>
      <c r="J145" s="19">
        <f t="shared" si="127"/>
        <v>1.2866594391631072E-2</v>
      </c>
      <c r="K145" s="2"/>
      <c r="L145" s="2">
        <f t="shared" si="128"/>
        <v>9978.010000000002</v>
      </c>
      <c r="M145" s="2"/>
      <c r="N145" s="19">
        <f t="shared" si="129"/>
        <v>0.38886979227561486</v>
      </c>
      <c r="O145" s="11"/>
      <c r="P145" s="2">
        <f>--261207.07</f>
        <v>261207.07</v>
      </c>
      <c r="Q145" s="2"/>
      <c r="R145" s="19">
        <f t="shared" si="130"/>
        <v>5.9140983529324176E-2</v>
      </c>
      <c r="S145" s="2"/>
      <c r="T145" s="2">
        <v>121599</v>
      </c>
      <c r="U145" s="2"/>
      <c r="V145" s="19">
        <f t="shared" si="131"/>
        <v>1.7501522040440937E-2</v>
      </c>
      <c r="W145" s="2"/>
      <c r="X145" s="2">
        <f t="shared" si="132"/>
        <v>139608.07</v>
      </c>
      <c r="Y145" s="2"/>
      <c r="Z145" s="19">
        <f t="shared" si="133"/>
        <v>1.14810212255035</v>
      </c>
    </row>
    <row r="146" spans="1:26" s="24" customFormat="1" hidden="1" outlineLevel="1" x14ac:dyDescent="0.3">
      <c r="A146" s="44"/>
      <c r="B146" s="11" t="str">
        <f>CONCATENATE("          ", "9151", " - ", "MISC. INCOME")</f>
        <v xml:space="preserve">          9151 - MISC. INCOME</v>
      </c>
      <c r="C146" s="11"/>
      <c r="D146" s="2">
        <f>--2958.75</f>
        <v>2958.75</v>
      </c>
      <c r="E146" s="2"/>
      <c r="F146" s="19">
        <f t="shared" si="126"/>
        <v>3.915999724652443E-3</v>
      </c>
      <c r="G146" s="2"/>
      <c r="H146" s="2">
        <v>2065.33</v>
      </c>
      <c r="I146" s="2"/>
      <c r="J146" s="19">
        <f t="shared" si="127"/>
        <v>1.0356507812022059E-3</v>
      </c>
      <c r="K146" s="2"/>
      <c r="L146" s="2">
        <f t="shared" si="128"/>
        <v>893.42000000000007</v>
      </c>
      <c r="M146" s="2"/>
      <c r="N146" s="19">
        <f t="shared" si="129"/>
        <v>0.43257978143928577</v>
      </c>
      <c r="O146" s="11"/>
      <c r="P146" s="2">
        <f>--171422.11</f>
        <v>171422.11</v>
      </c>
      <c r="Q146" s="2"/>
      <c r="R146" s="19">
        <f t="shared" si="130"/>
        <v>3.8812395790328323E-2</v>
      </c>
      <c r="S146" s="2"/>
      <c r="T146" s="2">
        <v>250045.83</v>
      </c>
      <c r="U146" s="2"/>
      <c r="V146" s="19">
        <f t="shared" si="131"/>
        <v>3.598863974921955E-2</v>
      </c>
      <c r="W146" s="2"/>
      <c r="X146" s="2">
        <f t="shared" si="132"/>
        <v>-78623.72</v>
      </c>
      <c r="Y146" s="2"/>
      <c r="Z146" s="19">
        <f t="shared" si="133"/>
        <v>-0.31443723736564616</v>
      </c>
    </row>
    <row r="147" spans="1:26" s="24" customFormat="1" hidden="1" outlineLevel="1" x14ac:dyDescent="0.3">
      <c r="A147" s="44"/>
      <c r="B147" s="11" t="str">
        <f>CONCATENATE("          ", "9152", " - ", "MISC. INCOME")</f>
        <v xml:space="preserve">          9152 - MISC. INCOME</v>
      </c>
      <c r="C147" s="11"/>
      <c r="D147" s="2">
        <f>--366.44</f>
        <v>366.44</v>
      </c>
      <c r="E147" s="2"/>
      <c r="F147" s="19">
        <f t="shared" si="126"/>
        <v>4.8499499420418804E-4</v>
      </c>
      <c r="G147" s="2"/>
      <c r="H147" s="2"/>
      <c r="I147" s="2"/>
      <c r="J147" s="19">
        <f t="shared" si="127"/>
        <v>0</v>
      </c>
      <c r="K147" s="2"/>
      <c r="L147" s="2">
        <f t="shared" si="128"/>
        <v>366.44</v>
      </c>
      <c r="M147" s="2"/>
      <c r="N147" s="19">
        <f t="shared" si="129"/>
        <v>0</v>
      </c>
      <c r="O147" s="11"/>
      <c r="P147" s="2">
        <f>--3493.54</f>
        <v>3493.54</v>
      </c>
      <c r="Q147" s="2"/>
      <c r="R147" s="19">
        <f t="shared" si="130"/>
        <v>7.9098698055544655E-4</v>
      </c>
      <c r="S147" s="2"/>
      <c r="T147" s="2"/>
      <c r="U147" s="2"/>
      <c r="V147" s="19">
        <f t="shared" si="131"/>
        <v>0</v>
      </c>
      <c r="W147" s="2"/>
      <c r="X147" s="2">
        <f t="shared" si="132"/>
        <v>3493.54</v>
      </c>
      <c r="Y147" s="2"/>
      <c r="Z147" s="19">
        <f t="shared" si="133"/>
        <v>0</v>
      </c>
    </row>
    <row r="148" spans="1:26" s="24" customFormat="1" hidden="1" outlineLevel="1" x14ac:dyDescent="0.3">
      <c r="A148" s="44"/>
      <c r="B148" s="11" t="str">
        <f>CONCATENATE("          ", "9160", " - ", "MISC. INCOME")</f>
        <v xml:space="preserve">          9160 - MISC. INCOME</v>
      </c>
      <c r="C148" s="11"/>
      <c r="D148" s="2">
        <f>0</f>
        <v>0</v>
      </c>
      <c r="E148" s="2"/>
      <c r="F148" s="19">
        <f t="shared" si="126"/>
        <v>0</v>
      </c>
      <c r="G148" s="2"/>
      <c r="H148" s="2">
        <v>0</v>
      </c>
      <c r="I148" s="2"/>
      <c r="J148" s="19">
        <f t="shared" si="127"/>
        <v>0</v>
      </c>
      <c r="K148" s="2"/>
      <c r="L148" s="2">
        <f t="shared" si="128"/>
        <v>0</v>
      </c>
      <c r="M148" s="2"/>
      <c r="N148" s="19">
        <f t="shared" si="129"/>
        <v>0</v>
      </c>
      <c r="O148" s="11"/>
      <c r="P148" s="2">
        <f>0</f>
        <v>0</v>
      </c>
      <c r="Q148" s="2"/>
      <c r="R148" s="19">
        <f t="shared" si="130"/>
        <v>0</v>
      </c>
      <c r="S148" s="2"/>
      <c r="T148" s="2">
        <v>58333</v>
      </c>
      <c r="U148" s="2"/>
      <c r="V148" s="19">
        <f t="shared" si="131"/>
        <v>8.3957621788422702E-3</v>
      </c>
      <c r="W148" s="2"/>
      <c r="X148" s="2">
        <f t="shared" si="132"/>
        <v>-58333</v>
      </c>
      <c r="Y148" s="2"/>
      <c r="Z148" s="19">
        <f t="shared" si="133"/>
        <v>-1</v>
      </c>
    </row>
    <row r="149" spans="1:26" s="24" customFormat="1" hidden="1" outlineLevel="1" x14ac:dyDescent="0.3">
      <c r="A149" s="44"/>
      <c r="B149" s="11" t="str">
        <f>CONCATENATE("          ", "9163", " - ", "MISC. INCOME")</f>
        <v xml:space="preserve">          9163 - MISC. INCOME</v>
      </c>
      <c r="C149" s="11"/>
      <c r="D149" s="2">
        <f>--7027.5</f>
        <v>7027.5</v>
      </c>
      <c r="E149" s="2"/>
      <c r="F149" s="19">
        <f t="shared" si="126"/>
        <v>9.3011197515826087E-3</v>
      </c>
      <c r="G149" s="2"/>
      <c r="H149" s="2"/>
      <c r="I149" s="2"/>
      <c r="J149" s="19">
        <f t="shared" si="127"/>
        <v>0</v>
      </c>
      <c r="K149" s="2"/>
      <c r="L149" s="2">
        <f t="shared" si="128"/>
        <v>7027.5</v>
      </c>
      <c r="M149" s="2"/>
      <c r="N149" s="19">
        <f t="shared" si="129"/>
        <v>0</v>
      </c>
      <c r="O149" s="11"/>
      <c r="P149" s="2">
        <f>--79775.7</f>
        <v>79775.7</v>
      </c>
      <c r="Q149" s="2"/>
      <c r="R149" s="19">
        <f t="shared" si="130"/>
        <v>1.8062349383346731E-2</v>
      </c>
      <c r="S149" s="2"/>
      <c r="T149" s="2"/>
      <c r="U149" s="2"/>
      <c r="V149" s="19">
        <f t="shared" si="131"/>
        <v>0</v>
      </c>
      <c r="W149" s="2"/>
      <c r="X149" s="2">
        <f t="shared" si="132"/>
        <v>79775.7</v>
      </c>
      <c r="Y149" s="2"/>
      <c r="Z149" s="19">
        <f t="shared" si="133"/>
        <v>0</v>
      </c>
    </row>
    <row r="150" spans="1:26" x14ac:dyDescent="0.3">
      <c r="A150" s="9"/>
      <c r="B150" s="10"/>
      <c r="C150" s="10"/>
      <c r="D150" s="3"/>
      <c r="E150" s="3"/>
      <c r="F150" s="8"/>
      <c r="G150" s="3"/>
      <c r="H150" s="3"/>
      <c r="I150" s="3"/>
      <c r="J150" s="8"/>
      <c r="K150" s="3"/>
      <c r="L150" s="3"/>
      <c r="M150" s="3"/>
      <c r="N150" s="8"/>
      <c r="O150" s="10"/>
      <c r="P150" s="3"/>
      <c r="Q150" s="3"/>
      <c r="R150" s="8"/>
      <c r="S150" s="3"/>
      <c r="T150" s="3"/>
      <c r="U150" s="3"/>
      <c r="V150" s="8"/>
      <c r="W150" s="3"/>
      <c r="X150" s="3"/>
      <c r="Y150" s="3"/>
      <c r="Z150" s="8"/>
    </row>
    <row r="151" spans="1:26" s="23" customFormat="1" x14ac:dyDescent="0.3">
      <c r="A151" s="10"/>
      <c r="B151" s="26" t="s">
        <v>277</v>
      </c>
      <c r="C151" s="26"/>
      <c r="D151" s="21">
        <f>+D50-D52+D144</f>
        <v>-7590.8499999999258</v>
      </c>
      <c r="E151" s="13"/>
      <c r="F151" s="22">
        <f>IF(D$12=0,0,D151/D$12)</f>
        <v>-1.0046731393283551E-2</v>
      </c>
      <c r="G151" s="13"/>
      <c r="H151" s="21">
        <f>+H50-H52+H144</f>
        <v>272308.66774574365</v>
      </c>
      <c r="I151" s="13"/>
      <c r="J151" s="22">
        <f>IF(H$12=0,0,H151/H$12)</f>
        <v>0.13654800176195153</v>
      </c>
      <c r="K151" s="15"/>
      <c r="L151" s="21">
        <f>+D151-H151</f>
        <v>-279899.51774574356</v>
      </c>
      <c r="M151" s="15"/>
      <c r="N151" s="22">
        <f>IF(H151=0,0,L151/H151)</f>
        <v>-1.0278759029701088</v>
      </c>
      <c r="O151" s="25"/>
      <c r="P151" s="21">
        <f>+P50-P52+P144</f>
        <v>43849.560000000114</v>
      </c>
      <c r="Q151" s="13"/>
      <c r="R151" s="22">
        <f>IF(P$12=0,0,P151/P$12)</f>
        <v>9.9281619970245025E-3</v>
      </c>
      <c r="S151" s="13"/>
      <c r="T151" s="21">
        <f>+T50-T52+T144</f>
        <v>509269.59319561801</v>
      </c>
      <c r="U151" s="13"/>
      <c r="V151" s="22">
        <f>IF(T$12=0,0,T151/T$12)</f>
        <v>7.329824266514938E-2</v>
      </c>
      <c r="W151" s="15"/>
      <c r="X151" s="21">
        <f>+P151-T151</f>
        <v>-465420.0331956179</v>
      </c>
      <c r="Y151" s="15"/>
      <c r="Z151" s="22">
        <f>IF(T151=0,0,X151/T151)</f>
        <v>-0.9138971566614682</v>
      </c>
    </row>
    <row r="152" spans="1:26" x14ac:dyDescent="0.3">
      <c r="A152" s="9"/>
      <c r="B152" s="10"/>
      <c r="C152" s="9"/>
      <c r="D152" s="3"/>
      <c r="E152" s="3"/>
      <c r="F152" s="8"/>
      <c r="G152" s="3"/>
      <c r="H152" s="3"/>
      <c r="I152" s="3"/>
      <c r="J152" s="8"/>
      <c r="K152" s="3"/>
      <c r="L152" s="3"/>
      <c r="M152" s="3"/>
      <c r="N152" s="8"/>
      <c r="P152" s="3"/>
      <c r="Q152" s="3"/>
      <c r="R152" s="8"/>
      <c r="S152" s="3"/>
      <c r="T152" s="3"/>
      <c r="U152" s="3"/>
      <c r="V152" s="8"/>
      <c r="W152" s="3"/>
      <c r="X152" s="3"/>
      <c r="Y152" s="3"/>
      <c r="Z152" s="8"/>
    </row>
    <row r="153" spans="1:26" s="23" customFormat="1" x14ac:dyDescent="0.3">
      <c r="A153" s="52"/>
      <c r="B153" s="10" t="s">
        <v>128</v>
      </c>
      <c r="C153" s="10"/>
      <c r="D153" s="4">
        <v>143931.79</v>
      </c>
      <c r="E153" s="4"/>
      <c r="F153" s="12">
        <f>IF(D$12=0,0,D153/D$12)</f>
        <v>0.19049830165060694</v>
      </c>
      <c r="G153" s="4"/>
      <c r="H153" s="4">
        <v>229190</v>
      </c>
      <c r="I153" s="4"/>
      <c r="J153" s="12">
        <f>IF(H$12=0,0,H153/H$12)</f>
        <v>0.11492633261693462</v>
      </c>
      <c r="K153" s="4"/>
      <c r="L153" s="4">
        <f>+D153-H153</f>
        <v>-85258.209999999992</v>
      </c>
      <c r="M153" s="4"/>
      <c r="N153" s="12">
        <f>IF(H153=0,0,L153/H153)</f>
        <v>-0.37199794929970764</v>
      </c>
      <c r="O153" s="10"/>
      <c r="P153" s="4">
        <v>584624.99</v>
      </c>
      <c r="Q153" s="4"/>
      <c r="R153" s="12">
        <f>IF(P$12=0,0,P153/P$12)</f>
        <v>0.13236738540201576</v>
      </c>
      <c r="S153" s="4"/>
      <c r="T153" s="4">
        <v>870549</v>
      </c>
      <c r="U153" s="4"/>
      <c r="V153" s="12">
        <f>IF(T$12=0,0,T153/T$12)</f>
        <v>0.12529652802065658</v>
      </c>
      <c r="W153" s="4"/>
      <c r="X153" s="4">
        <f>+P153-T153</f>
        <v>-285924.01</v>
      </c>
      <c r="Y153" s="4"/>
      <c r="Z153" s="12">
        <f>IF(T153=0,0,X153/T153)</f>
        <v>-0.32844102974100253</v>
      </c>
    </row>
    <row r="154" spans="1:26" x14ac:dyDescent="0.3">
      <c r="A154" s="9"/>
      <c r="B154" s="10"/>
      <c r="C154" s="10"/>
      <c r="D154" s="3"/>
      <c r="E154" s="3"/>
      <c r="F154" s="8"/>
      <c r="G154" s="3"/>
      <c r="H154" s="3"/>
      <c r="I154" s="3"/>
      <c r="J154" s="8"/>
      <c r="K154" s="3"/>
      <c r="L154" s="3"/>
      <c r="M154" s="3"/>
      <c r="N154" s="8"/>
      <c r="O154" s="10"/>
      <c r="P154" s="3"/>
      <c r="Q154" s="3"/>
      <c r="R154" s="8"/>
      <c r="S154" s="3"/>
      <c r="T154" s="3"/>
      <c r="U154" s="3"/>
      <c r="V154" s="8"/>
      <c r="W154" s="3"/>
      <c r="X154" s="3"/>
      <c r="Y154" s="3"/>
      <c r="Z154" s="8"/>
    </row>
    <row r="155" spans="1:26" s="23" customFormat="1" ht="15" thickBot="1" x14ac:dyDescent="0.35">
      <c r="A155" s="10"/>
      <c r="B155" s="26" t="s">
        <v>126</v>
      </c>
      <c r="C155" s="26"/>
      <c r="D155" s="32">
        <f>+D151-D153</f>
        <v>-151522.63999999993</v>
      </c>
      <c r="E155" s="13"/>
      <c r="F155" s="31">
        <f>IF(D$12=0,0,D155/D$12)</f>
        <v>-0.20054503304389049</v>
      </c>
      <c r="G155" s="13"/>
      <c r="H155" s="32">
        <f>+H151-H153</f>
        <v>43118.667745743645</v>
      </c>
      <c r="I155" s="13"/>
      <c r="J155" s="31">
        <f>IF(H$12=0,0,H155/H$12)</f>
        <v>2.1621669145016908E-2</v>
      </c>
      <c r="K155" s="15"/>
      <c r="L155" s="32">
        <f>D155-H155</f>
        <v>-194641.30774574357</v>
      </c>
      <c r="M155" s="15"/>
      <c r="N155" s="31">
        <f>IF(H155=0,0,L155/H155)</f>
        <v>-4.5140844539418108</v>
      </c>
      <c r="O155" s="25"/>
      <c r="P155" s="32">
        <f>+P151-P153</f>
        <v>-540775.42999999993</v>
      </c>
      <c r="Q155" s="13"/>
      <c r="R155" s="31">
        <f>IF(P$12=0,0,P155/P$12)</f>
        <v>-0.12243922340499128</v>
      </c>
      <c r="S155" s="13"/>
      <c r="T155" s="32">
        <f>+T151-T153</f>
        <v>-361279.40680438199</v>
      </c>
      <c r="U155" s="13"/>
      <c r="V155" s="31">
        <f>IF(T$12=0,0,T155/T$12)</f>
        <v>-5.1998285355507191E-2</v>
      </c>
      <c r="W155" s="15"/>
      <c r="X155" s="32">
        <f>P155-T155</f>
        <v>-179496.02319561795</v>
      </c>
      <c r="Y155" s="15"/>
      <c r="Z155" s="31">
        <f>IF(T155=0,0,X155/T155)</f>
        <v>0.49683436092666</v>
      </c>
    </row>
    <row r="156" spans="1:26" ht="15" thickTop="1" x14ac:dyDescent="0.3">
      <c r="A156" s="9"/>
      <c r="B156" s="9"/>
      <c r="C156" s="9"/>
      <c r="D156" s="3"/>
      <c r="E156" s="3"/>
      <c r="F156" s="8"/>
      <c r="G156" s="3"/>
      <c r="H156" s="3"/>
      <c r="I156" s="3"/>
      <c r="J156" s="8"/>
      <c r="K156" s="3"/>
      <c r="L156" s="3"/>
      <c r="M156" s="3"/>
      <c r="N156" s="8"/>
      <c r="P156" s="3"/>
      <c r="Q156" s="3"/>
      <c r="R156" s="8"/>
      <c r="S156" s="3"/>
      <c r="T156" s="3"/>
      <c r="U156" s="3"/>
      <c r="V156" s="8"/>
      <c r="W156" s="3"/>
      <c r="X156" s="3"/>
      <c r="Y156" s="3"/>
      <c r="Z156" s="8"/>
    </row>
    <row r="157" spans="1:26" x14ac:dyDescent="0.3">
      <c r="A157" s="9"/>
      <c r="B157" s="9"/>
      <c r="C157" s="9"/>
      <c r="D157" s="3"/>
      <c r="E157" s="3"/>
      <c r="F157" s="8"/>
      <c r="G157" s="3"/>
      <c r="H157" s="3"/>
      <c r="I157" s="3"/>
      <c r="J157" s="8"/>
      <c r="K157" s="3"/>
      <c r="L157" s="3"/>
      <c r="M157" s="3"/>
      <c r="N157" s="8"/>
      <c r="P157" s="3"/>
      <c r="Q157" s="3"/>
      <c r="R157" s="8"/>
      <c r="S157" s="3"/>
      <c r="T157" s="3"/>
      <c r="U157" s="3"/>
      <c r="V157" s="8"/>
      <c r="W157" s="3"/>
      <c r="X157" s="3"/>
      <c r="Y157" s="3"/>
      <c r="Z157" s="8"/>
    </row>
    <row r="158" spans="1:26" s="23" customFormat="1" ht="15" thickBot="1" x14ac:dyDescent="0.35">
      <c r="A158" s="10"/>
      <c r="B158" s="26" t="s">
        <v>294</v>
      </c>
      <c r="C158" s="26"/>
      <c r="D158" s="34">
        <f>SUM(D155:D157)</f>
        <v>-151522.63999999993</v>
      </c>
      <c r="E158" s="13"/>
      <c r="F158" s="35">
        <f>IF(D$12=0,0,D158/D$12)</f>
        <v>-0.20054503304389049</v>
      </c>
      <c r="G158" s="13"/>
      <c r="H158" s="34">
        <f>SUM(H155:H157)</f>
        <v>43118.667745743645</v>
      </c>
      <c r="I158" s="13"/>
      <c r="J158" s="35">
        <f>IF(H$12=0,0,H158/H$12)</f>
        <v>2.1621669145016908E-2</v>
      </c>
      <c r="K158" s="15"/>
      <c r="L158" s="34">
        <f>+D158-H158</f>
        <v>-194641.30774574357</v>
      </c>
      <c r="M158" s="15"/>
      <c r="N158" s="35">
        <f>IF(H158=0,0,L158/H158)</f>
        <v>-4.5140844539418108</v>
      </c>
      <c r="O158" s="25"/>
      <c r="P158" s="34">
        <f>SUM(P155:P157)</f>
        <v>-540775.42999999993</v>
      </c>
      <c r="Q158" s="13"/>
      <c r="R158" s="35">
        <f>IF(P$12=0,0,P158/P$12)</f>
        <v>-0.12243922340499128</v>
      </c>
      <c r="S158" s="13"/>
      <c r="T158" s="34">
        <f>SUM(T155:T157)</f>
        <v>-361279.40680438199</v>
      </c>
      <c r="U158" s="13"/>
      <c r="V158" s="35">
        <f>IF(T$12=0,0,T158/T$12)</f>
        <v>-5.1998285355507191E-2</v>
      </c>
      <c r="W158" s="15"/>
      <c r="X158" s="34">
        <f>+P158-T158</f>
        <v>-179496.02319561795</v>
      </c>
      <c r="Y158" s="15"/>
      <c r="Z158" s="35">
        <f>IF(T158=0,0,X158/T158)</f>
        <v>0.49683436092666</v>
      </c>
    </row>
    <row r="159" spans="1:26" ht="15" thickTop="1" x14ac:dyDescent="0.3">
      <c r="A159" s="9"/>
      <c r="C159" s="9"/>
      <c r="D159" s="17"/>
      <c r="E159" s="17"/>
      <c r="G159" s="17"/>
      <c r="H159" s="17"/>
      <c r="I159" s="17"/>
      <c r="J159" s="43"/>
      <c r="K159" s="17"/>
      <c r="L159" s="17"/>
      <c r="M159" s="17"/>
      <c r="P159" s="17"/>
      <c r="Q159" s="17"/>
      <c r="R159" s="43"/>
      <c r="S159" s="17"/>
      <c r="T159" s="17"/>
      <c r="U159" s="17"/>
      <c r="V159" s="43"/>
      <c r="W159" s="17"/>
      <c r="X159" s="17"/>
    </row>
    <row r="160" spans="1:26" x14ac:dyDescent="0.3">
      <c r="A160" s="9"/>
      <c r="B160" s="53">
        <v>44604.019960879632</v>
      </c>
      <c r="D160" s="17"/>
      <c r="E160" s="17"/>
      <c r="G160" s="17"/>
      <c r="H160" s="17"/>
      <c r="I160" s="17"/>
      <c r="J160" s="43"/>
      <c r="K160" s="17"/>
      <c r="L160" s="17"/>
      <c r="M160" s="17"/>
      <c r="P160" s="17"/>
      <c r="Q160" s="17"/>
      <c r="R160" s="43"/>
      <c r="S160" s="17"/>
      <c r="T160" s="17"/>
      <c r="U160" s="17"/>
      <c r="V160" s="43"/>
      <c r="W160" s="17"/>
      <c r="X160" s="17"/>
    </row>
    <row r="161" spans="1:24" x14ac:dyDescent="0.3">
      <c r="A161" s="9"/>
      <c r="B161" s="63" t="s">
        <v>56</v>
      </c>
      <c r="D161" s="17"/>
      <c r="E161" s="17"/>
      <c r="G161" s="17"/>
      <c r="H161" s="17"/>
      <c r="I161" s="17"/>
      <c r="J161" s="43"/>
      <c r="K161" s="17"/>
      <c r="L161" s="17"/>
      <c r="M161" s="17"/>
      <c r="P161" s="17"/>
      <c r="Q161" s="17"/>
      <c r="R161" s="43"/>
      <c r="S161" s="17"/>
      <c r="T161" s="17"/>
      <c r="U161" s="17"/>
      <c r="V161" s="43"/>
      <c r="W161" s="17"/>
      <c r="X161" s="17"/>
    </row>
    <row r="162" spans="1:24" x14ac:dyDescent="0.3">
      <c r="A162" s="9"/>
      <c r="B162" s="58"/>
      <c r="D162" s="17"/>
      <c r="E162" s="17"/>
      <c r="G162" s="17"/>
      <c r="H162" s="17"/>
      <c r="I162" s="17"/>
      <c r="J162" s="43"/>
      <c r="K162" s="17"/>
      <c r="L162" s="17"/>
      <c r="M162" s="17"/>
      <c r="P162" s="17"/>
      <c r="Q162" s="17"/>
      <c r="R162" s="43"/>
      <c r="S162" s="17"/>
      <c r="T162" s="17"/>
      <c r="U162" s="17"/>
      <c r="V162" s="43"/>
      <c r="W162" s="17"/>
      <c r="X162" s="17"/>
    </row>
    <row r="163" spans="1:24" x14ac:dyDescent="0.3">
      <c r="D163" s="17"/>
      <c r="E163" s="17"/>
      <c r="G163" s="17"/>
      <c r="H163" s="17"/>
      <c r="I163" s="17"/>
      <c r="J163" s="43"/>
      <c r="K163" s="17"/>
      <c r="L163" s="17"/>
      <c r="M163" s="17"/>
      <c r="P163" s="17"/>
      <c r="Q163" s="17"/>
      <c r="R163" s="43"/>
      <c r="S163" s="17"/>
      <c r="T163" s="17"/>
      <c r="U163" s="17"/>
      <c r="V163" s="43"/>
      <c r="W163" s="17"/>
      <c r="X163" s="17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313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  <outlinePr summaryBelow="0" summaryRight="0"/>
  </sheetPr>
  <dimension ref="A2:Z17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314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911331.49</v>
      </c>
      <c r="E12" s="4"/>
      <c r="F12" s="12"/>
      <c r="G12" s="4"/>
      <c r="H12" s="4">
        <f>SUM(OSRRefH13x_0)</f>
        <v>2177091</v>
      </c>
      <c r="I12" s="4"/>
      <c r="J12" s="12"/>
      <c r="K12" s="4"/>
      <c r="L12" s="4">
        <f t="shared" ref="L12:L19" si="0">+D12-H12</f>
        <v>-1265759.51</v>
      </c>
      <c r="M12" s="4"/>
      <c r="N12" s="12">
        <f t="shared" ref="N12:N19" si="1">IF(H12=0,0,L12/H12)</f>
        <v>-0.58139945000002302</v>
      </c>
      <c r="O12" s="10"/>
      <c r="P12" s="4">
        <f>SUM(OSRRefP13x_0)</f>
        <v>5539111.6799999997</v>
      </c>
      <c r="Q12" s="4"/>
      <c r="R12" s="12"/>
      <c r="S12" s="4"/>
      <c r="T12" s="4">
        <f>SUM(OSRRefT13x_0)</f>
        <v>8318305</v>
      </c>
      <c r="U12" s="4"/>
      <c r="V12" s="12"/>
      <c r="W12" s="4"/>
      <c r="X12" s="4">
        <f t="shared" ref="X12:X19" si="2">+P12-T12</f>
        <v>-2779193.3200000003</v>
      </c>
      <c r="Y12" s="4"/>
      <c r="Z12" s="12">
        <f t="shared" ref="Z12:Z19" si="3">IF(T12=0,0,X12/T12)</f>
        <v>-0.33410572466385885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--746168.21</f>
        <v>746168.21</v>
      </c>
      <c r="E13" s="2"/>
      <c r="F13" s="19"/>
      <c r="G13" s="2"/>
      <c r="H13" s="2">
        <v>2133438</v>
      </c>
      <c r="I13" s="2"/>
      <c r="J13" s="19"/>
      <c r="K13" s="2"/>
      <c r="L13" s="2">
        <f t="shared" si="0"/>
        <v>-1387269.79</v>
      </c>
      <c r="M13" s="2"/>
      <c r="N13" s="19">
        <f t="shared" si="1"/>
        <v>-0.65025081113207883</v>
      </c>
      <c r="O13" s="11"/>
      <c r="P13" s="2">
        <f>--4677350.67</f>
        <v>4677350.67</v>
      </c>
      <c r="Q13" s="2"/>
      <c r="R13" s="19"/>
      <c r="S13" s="2"/>
      <c r="T13" s="2">
        <v>8051719</v>
      </c>
      <c r="U13" s="2"/>
      <c r="V13" s="19"/>
      <c r="W13" s="2"/>
      <c r="X13" s="2">
        <f t="shared" si="2"/>
        <v>-3374368.33</v>
      </c>
      <c r="Y13" s="2"/>
      <c r="Z13" s="19">
        <f t="shared" si="3"/>
        <v>-0.41908669813241123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--205866.99</f>
        <v>205866.99</v>
      </c>
      <c r="E14" s="2"/>
      <c r="F14" s="19"/>
      <c r="G14" s="2"/>
      <c r="H14" s="2">
        <v>43653</v>
      </c>
      <c r="I14" s="2"/>
      <c r="J14" s="19"/>
      <c r="K14" s="2"/>
      <c r="L14" s="2">
        <f t="shared" si="0"/>
        <v>162213.99</v>
      </c>
      <c r="M14" s="2"/>
      <c r="N14" s="19">
        <f t="shared" si="1"/>
        <v>3.7159872173733763</v>
      </c>
      <c r="O14" s="11"/>
      <c r="P14" s="2">
        <f>--1273233.51</f>
        <v>1273233.51</v>
      </c>
      <c r="Q14" s="2"/>
      <c r="R14" s="19"/>
      <c r="S14" s="2"/>
      <c r="T14" s="2">
        <v>266586</v>
      </c>
      <c r="U14" s="2"/>
      <c r="V14" s="19"/>
      <c r="W14" s="2"/>
      <c r="X14" s="2">
        <f t="shared" si="2"/>
        <v>1006647.51</v>
      </c>
      <c r="Y14" s="2"/>
      <c r="Z14" s="19">
        <f t="shared" si="3"/>
        <v>3.7760704238032003</v>
      </c>
    </row>
    <row r="15" spans="1:26" s="24" customFormat="1" hidden="1" outlineLevel="1" x14ac:dyDescent="0.3">
      <c r="A15" s="44"/>
      <c r="B15" s="11" t="str">
        <f>CONCATENATE("          ", "4141", " - ", "NON-TAXABLE SALES-LOGO GIFTS")</f>
        <v xml:space="preserve">          4141 - NON-TAXABLE SALES-LOGO GIFTS</v>
      </c>
      <c r="C15" s="11"/>
      <c r="D15" s="2">
        <f t="shared" ref="D15:D16" si="4"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ref="P15:P16" si="5">0</f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"4146", " - ", "NON-TAXABLE SALES-COIN OP MACH")</f>
        <v xml:space="preserve">          4146 - NON-TAXABLE SALES-COIN OP MACH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/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"4200", " - ", "TAXABLE RETURNS")</f>
        <v xml:space="preserve">          4200 - TAXABLE RETURNS</v>
      </c>
      <c r="C17" s="11"/>
      <c r="D17" s="2">
        <f>-33158.25</f>
        <v>-33158.25</v>
      </c>
      <c r="E17" s="2"/>
      <c r="F17" s="19"/>
      <c r="G17" s="2"/>
      <c r="H17" s="2"/>
      <c r="I17" s="2"/>
      <c r="J17" s="19"/>
      <c r="K17" s="2"/>
      <c r="L17" s="2">
        <f t="shared" si="0"/>
        <v>-33158.25</v>
      </c>
      <c r="M17" s="2"/>
      <c r="N17" s="19">
        <f t="shared" si="1"/>
        <v>0</v>
      </c>
      <c r="O17" s="11"/>
      <c r="P17" s="2">
        <f>-311559.47</f>
        <v>-311559.46999999997</v>
      </c>
      <c r="Q17" s="2"/>
      <c r="R17" s="19"/>
      <c r="S17" s="2"/>
      <c r="T17" s="2"/>
      <c r="U17" s="2"/>
      <c r="V17" s="19"/>
      <c r="W17" s="2"/>
      <c r="X17" s="2">
        <f t="shared" si="2"/>
        <v>-311559.46999999997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"4300", " - ", "NON-TAX RETURNS")</f>
        <v xml:space="preserve">          4300 - NON-TAX RETURNS</v>
      </c>
      <c r="C18" s="11"/>
      <c r="D18" s="2">
        <f>-894.73</f>
        <v>-894.73</v>
      </c>
      <c r="E18" s="2"/>
      <c r="F18" s="19"/>
      <c r="G18" s="2"/>
      <c r="H18" s="2"/>
      <c r="I18" s="2"/>
      <c r="J18" s="19"/>
      <c r="K18" s="2"/>
      <c r="L18" s="2">
        <f t="shared" si="0"/>
        <v>-894.73</v>
      </c>
      <c r="M18" s="2"/>
      <c r="N18" s="19">
        <f t="shared" si="1"/>
        <v>0</v>
      </c>
      <c r="O18" s="11"/>
      <c r="P18" s="2">
        <f>-28778.86</f>
        <v>-28778.86</v>
      </c>
      <c r="Q18" s="2"/>
      <c r="R18" s="19"/>
      <c r="S18" s="2"/>
      <c r="T18" s="2"/>
      <c r="U18" s="2"/>
      <c r="V18" s="19"/>
      <c r="W18" s="2"/>
      <c r="X18" s="2">
        <f t="shared" si="2"/>
        <v>-28778.86</v>
      </c>
      <c r="Y18" s="2"/>
      <c r="Z18" s="19">
        <f t="shared" si="3"/>
        <v>0</v>
      </c>
    </row>
    <row r="19" spans="1:26" s="24" customFormat="1" hidden="1" outlineLevel="1" x14ac:dyDescent="0.3">
      <c r="A19" s="44"/>
      <c r="B19" s="11" t="str">
        <f>CONCATENATE("          ", "4500", " - ", "SALES DISCOUNT")</f>
        <v xml:space="preserve">          4500 - SALES DISCOUNT</v>
      </c>
      <c r="C19" s="11"/>
      <c r="D19" s="2">
        <f>-6650.73</f>
        <v>-6650.73</v>
      </c>
      <c r="E19" s="2"/>
      <c r="F19" s="19"/>
      <c r="G19" s="2"/>
      <c r="H19" s="2"/>
      <c r="I19" s="2"/>
      <c r="J19" s="19"/>
      <c r="K19" s="2"/>
      <c r="L19" s="2">
        <f t="shared" si="0"/>
        <v>-6650.73</v>
      </c>
      <c r="M19" s="2"/>
      <c r="N19" s="19">
        <f t="shared" si="1"/>
        <v>0</v>
      </c>
      <c r="O19" s="11"/>
      <c r="P19" s="2">
        <f>-71134.17</f>
        <v>-71134.17</v>
      </c>
      <c r="Q19" s="2"/>
      <c r="R19" s="19"/>
      <c r="S19" s="2"/>
      <c r="T19" s="2"/>
      <c r="U19" s="2"/>
      <c r="V19" s="19"/>
      <c r="W19" s="2"/>
      <c r="X19" s="2">
        <f t="shared" si="2"/>
        <v>-71134.17</v>
      </c>
      <c r="Y19" s="2"/>
      <c r="Z19" s="19">
        <f t="shared" si="3"/>
        <v>0</v>
      </c>
    </row>
    <row r="20" spans="1:26" x14ac:dyDescent="0.3">
      <c r="A20" s="9"/>
      <c r="B20" s="10"/>
      <c r="C20" s="9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collapsed="1" x14ac:dyDescent="0.3">
      <c r="A21" s="10"/>
      <c r="B21" s="25" t="s">
        <v>257</v>
      </c>
      <c r="C21" s="10"/>
      <c r="D21" s="4">
        <f>SUM(OSRRefD16x_0)</f>
        <v>583369.90999999992</v>
      </c>
      <c r="E21" s="4"/>
      <c r="F21" s="12">
        <f t="shared" ref="F21:F54" si="6">IF(D$12=0,0,D21/D$12)</f>
        <v>0.64012921357518315</v>
      </c>
      <c r="G21" s="4"/>
      <c r="H21" s="4">
        <f>SUM(OSRRefH16x_0)</f>
        <v>1475789</v>
      </c>
      <c r="I21" s="4"/>
      <c r="J21" s="12">
        <f t="shared" ref="J21:J54" si="7">IF(H$12=0,0,H21/H$12)</f>
        <v>0.67787198605846055</v>
      </c>
      <c r="K21" s="4"/>
      <c r="L21" s="4">
        <f t="shared" ref="L21:L54" si="8">+D21-H21</f>
        <v>-892419.09000000008</v>
      </c>
      <c r="M21" s="4"/>
      <c r="N21" s="12">
        <f t="shared" ref="N21:N54" si="9">IF(H21=0,0,L21/H21)</f>
        <v>-0.60470642483444459</v>
      </c>
      <c r="O21" s="10"/>
      <c r="P21" s="4">
        <f>SUM(OSRRefP16x_0)</f>
        <v>3617784.4700000007</v>
      </c>
      <c r="Q21" s="4"/>
      <c r="R21" s="12">
        <f t="shared" ref="R21:R54" si="10">IF(P$12=0,0,P21/P$12)</f>
        <v>0.65313441558917995</v>
      </c>
      <c r="S21" s="4"/>
      <c r="T21" s="4">
        <f>SUM(OSRRefT16x_0)</f>
        <v>5634217</v>
      </c>
      <c r="U21" s="4"/>
      <c r="V21" s="12">
        <f t="shared" ref="V21:V54" si="11">IF(T$12=0,0,T21/T$12)</f>
        <v>0.67732753247206012</v>
      </c>
      <c r="W21" s="4"/>
      <c r="X21" s="4">
        <f t="shared" ref="X21:X54" si="12">+P21-T21</f>
        <v>-2016432.5299999993</v>
      </c>
      <c r="Y21" s="4"/>
      <c r="Z21" s="12">
        <f t="shared" ref="Z21:Z54" si="13">IF(T21=0,0,X21/T21)</f>
        <v>-0.35789046286289633</v>
      </c>
    </row>
    <row r="22" spans="1:26" s="24" customFormat="1" hidden="1" outlineLevel="1" x14ac:dyDescent="0.3">
      <c r="A22" s="44"/>
      <c r="B22" s="11" t="str">
        <f>CONCATENATE("          ", "5000", " - ", "PURCHASES @ COST")</f>
        <v xml:space="preserve">          5000 - PURCHASES @ COST</v>
      </c>
      <c r="C22" s="11"/>
      <c r="D22" s="2">
        <v>586825.11</v>
      </c>
      <c r="E22" s="2"/>
      <c r="F22" s="19">
        <f t="shared" si="6"/>
        <v>0.64392058920294748</v>
      </c>
      <c r="G22" s="2"/>
      <c r="H22" s="2">
        <v>1475789</v>
      </c>
      <c r="I22" s="2"/>
      <c r="J22" s="19">
        <f t="shared" si="7"/>
        <v>0.67787198605846055</v>
      </c>
      <c r="K22" s="2"/>
      <c r="L22" s="2">
        <f t="shared" si="8"/>
        <v>-888963.89</v>
      </c>
      <c r="M22" s="2"/>
      <c r="N22" s="19">
        <f t="shared" si="9"/>
        <v>-0.60236516873347068</v>
      </c>
      <c r="O22" s="11"/>
      <c r="P22" s="2">
        <v>4045987.7</v>
      </c>
      <c r="Q22" s="2"/>
      <c r="R22" s="19">
        <f t="shared" si="10"/>
        <v>0.73043981304959005</v>
      </c>
      <c r="S22" s="2"/>
      <c r="T22" s="2">
        <v>5634217</v>
      </c>
      <c r="U22" s="2"/>
      <c r="V22" s="19">
        <f t="shared" si="11"/>
        <v>0.67732753247206012</v>
      </c>
      <c r="W22" s="2"/>
      <c r="X22" s="2">
        <f t="shared" si="12"/>
        <v>-1588229.2999999998</v>
      </c>
      <c r="Y22" s="2"/>
      <c r="Z22" s="19">
        <f t="shared" si="13"/>
        <v>-0.28188997690362294</v>
      </c>
    </row>
    <row r="23" spans="1:26" s="24" customFormat="1" hidden="1" outlineLevel="1" x14ac:dyDescent="0.3">
      <c r="A23" s="44"/>
      <c r="B23" s="11" t="str">
        <f>CONCATENATE("          ", "5001", " - ", "PURCHASES @ COST-NEW TEXT")</f>
        <v xml:space="preserve">          5001 - PURCHASES @ COST-NEW TEXT</v>
      </c>
      <c r="C23" s="11"/>
      <c r="D23" s="2"/>
      <c r="E23" s="2"/>
      <c r="F23" s="19">
        <f t="shared" si="6"/>
        <v>0</v>
      </c>
      <c r="G23" s="2"/>
      <c r="H23" s="2"/>
      <c r="I23" s="2"/>
      <c r="J23" s="19">
        <f t="shared" si="7"/>
        <v>0</v>
      </c>
      <c r="K23" s="2"/>
      <c r="L23" s="2">
        <f t="shared" si="8"/>
        <v>0</v>
      </c>
      <c r="M23" s="2"/>
      <c r="N23" s="19">
        <f t="shared" si="9"/>
        <v>0</v>
      </c>
      <c r="O23" s="11"/>
      <c r="P23" s="2">
        <v>0</v>
      </c>
      <c r="Q23" s="2"/>
      <c r="R23" s="19">
        <f t="shared" si="10"/>
        <v>0</v>
      </c>
      <c r="S23" s="2"/>
      <c r="T23" s="2"/>
      <c r="U23" s="2"/>
      <c r="V23" s="19">
        <f t="shared" si="11"/>
        <v>0</v>
      </c>
      <c r="W23" s="2"/>
      <c r="X23" s="2">
        <f t="shared" si="12"/>
        <v>0</v>
      </c>
      <c r="Y23" s="2"/>
      <c r="Z23" s="19">
        <f t="shared" si="13"/>
        <v>0</v>
      </c>
    </row>
    <row r="24" spans="1:26" s="24" customFormat="1" hidden="1" outlineLevel="1" x14ac:dyDescent="0.3">
      <c r="A24" s="44"/>
      <c r="B24" s="11" t="str">
        <f>CONCATENATE("          ", "5002", " - ", "PURCHASES @ COST-USED TEXT")</f>
        <v xml:space="preserve">          5002 - PURCHASES @ COST-USED TEXT</v>
      </c>
      <c r="C24" s="11"/>
      <c r="D24" s="2"/>
      <c r="E24" s="2"/>
      <c r="F24" s="19">
        <f t="shared" si="6"/>
        <v>0</v>
      </c>
      <c r="G24" s="2"/>
      <c r="H24" s="2"/>
      <c r="I24" s="2"/>
      <c r="J24" s="19">
        <f t="shared" si="7"/>
        <v>0</v>
      </c>
      <c r="K24" s="2"/>
      <c r="L24" s="2">
        <f t="shared" si="8"/>
        <v>0</v>
      </c>
      <c r="M24" s="2"/>
      <c r="N24" s="19">
        <f t="shared" si="9"/>
        <v>0</v>
      </c>
      <c r="O24" s="11"/>
      <c r="P24" s="2">
        <v>0</v>
      </c>
      <c r="Q24" s="2"/>
      <c r="R24" s="19">
        <f t="shared" si="10"/>
        <v>0</v>
      </c>
      <c r="S24" s="2"/>
      <c r="T24" s="2"/>
      <c r="U24" s="2"/>
      <c r="V24" s="19">
        <f t="shared" si="11"/>
        <v>0</v>
      </c>
      <c r="W24" s="2"/>
      <c r="X24" s="2">
        <f t="shared" si="12"/>
        <v>0</v>
      </c>
      <c r="Y24" s="2"/>
      <c r="Z24" s="19">
        <f t="shared" si="13"/>
        <v>0</v>
      </c>
    </row>
    <row r="25" spans="1:26" s="24" customFormat="1" hidden="1" outlineLevel="1" x14ac:dyDescent="0.3">
      <c r="A25" s="44"/>
      <c r="B25" s="11" t="str">
        <f>CONCATENATE("          ", "5004", " - ", "PURCHASES @ COST-DIGITAL TEXT")</f>
        <v xml:space="preserve">          5004 - PURCHASES @ COST-DIGITAL TEXT</v>
      </c>
      <c r="C25" s="11"/>
      <c r="D25" s="2"/>
      <c r="E25" s="2"/>
      <c r="F25" s="19">
        <f t="shared" si="6"/>
        <v>0</v>
      </c>
      <c r="G25" s="2"/>
      <c r="H25" s="2"/>
      <c r="I25" s="2"/>
      <c r="J25" s="19">
        <f t="shared" si="7"/>
        <v>0</v>
      </c>
      <c r="K25" s="2"/>
      <c r="L25" s="2">
        <f t="shared" si="8"/>
        <v>0</v>
      </c>
      <c r="M25" s="2"/>
      <c r="N25" s="19">
        <f t="shared" si="9"/>
        <v>0</v>
      </c>
      <c r="O25" s="11"/>
      <c r="P25" s="2">
        <v>0</v>
      </c>
      <c r="Q25" s="2"/>
      <c r="R25" s="19">
        <f t="shared" si="10"/>
        <v>0</v>
      </c>
      <c r="S25" s="2"/>
      <c r="T25" s="2"/>
      <c r="U25" s="2"/>
      <c r="V25" s="19">
        <f t="shared" si="11"/>
        <v>0</v>
      </c>
      <c r="W25" s="2"/>
      <c r="X25" s="2">
        <f t="shared" si="12"/>
        <v>0</v>
      </c>
      <c r="Y25" s="2"/>
      <c r="Z25" s="19">
        <f t="shared" si="13"/>
        <v>0</v>
      </c>
    </row>
    <row r="26" spans="1:26" s="24" customFormat="1" hidden="1" outlineLevel="1" x14ac:dyDescent="0.3">
      <c r="A26" s="44"/>
      <c r="B26" s="11" t="str">
        <f>CONCATENATE("          ", "5026", " - ", "PURCHASES @ COST-WRITING INSTR")</f>
        <v xml:space="preserve">          5026 - PURCHASES @ COST-WRITING INSTR</v>
      </c>
      <c r="C26" s="11"/>
      <c r="D26" s="2"/>
      <c r="E26" s="2"/>
      <c r="F26" s="19">
        <f t="shared" si="6"/>
        <v>0</v>
      </c>
      <c r="G26" s="2"/>
      <c r="H26" s="2"/>
      <c r="I26" s="2"/>
      <c r="J26" s="19">
        <f t="shared" si="7"/>
        <v>0</v>
      </c>
      <c r="K26" s="2"/>
      <c r="L26" s="2">
        <f t="shared" si="8"/>
        <v>0</v>
      </c>
      <c r="M26" s="2"/>
      <c r="N26" s="19">
        <f t="shared" si="9"/>
        <v>0</v>
      </c>
      <c r="O26" s="11"/>
      <c r="P26" s="2">
        <v>0</v>
      </c>
      <c r="Q26" s="2"/>
      <c r="R26" s="19">
        <f t="shared" si="10"/>
        <v>0</v>
      </c>
      <c r="S26" s="2"/>
      <c r="T26" s="2"/>
      <c r="U26" s="2"/>
      <c r="V26" s="19">
        <f t="shared" si="11"/>
        <v>0</v>
      </c>
      <c r="W26" s="2"/>
      <c r="X26" s="2">
        <f t="shared" si="12"/>
        <v>0</v>
      </c>
      <c r="Y26" s="2"/>
      <c r="Z26" s="19">
        <f t="shared" si="13"/>
        <v>0</v>
      </c>
    </row>
    <row r="27" spans="1:26" s="24" customFormat="1" hidden="1" outlineLevel="1" x14ac:dyDescent="0.3">
      <c r="A27" s="44"/>
      <c r="B27" s="11" t="str">
        <f>CONCATENATE("          ", "5027", " - ", "PURCHASES @ COST-SCHOOL SUPPLI")</f>
        <v xml:space="preserve">          5027 - PURCHASES @ COST-SCHOOL SUPPLI</v>
      </c>
      <c r="C27" s="11"/>
      <c r="D27" s="2"/>
      <c r="E27" s="2"/>
      <c r="F27" s="19">
        <f t="shared" si="6"/>
        <v>0</v>
      </c>
      <c r="G27" s="2"/>
      <c r="H27" s="2"/>
      <c r="I27" s="2"/>
      <c r="J27" s="19">
        <f t="shared" si="7"/>
        <v>0</v>
      </c>
      <c r="K27" s="2"/>
      <c r="L27" s="2">
        <f t="shared" si="8"/>
        <v>0</v>
      </c>
      <c r="M27" s="2"/>
      <c r="N27" s="19">
        <f t="shared" si="9"/>
        <v>0</v>
      </c>
      <c r="O27" s="11"/>
      <c r="P27" s="2">
        <v>0</v>
      </c>
      <c r="Q27" s="2"/>
      <c r="R27" s="19">
        <f t="shared" si="10"/>
        <v>0</v>
      </c>
      <c r="S27" s="2"/>
      <c r="T27" s="2"/>
      <c r="U27" s="2"/>
      <c r="V27" s="19">
        <f t="shared" si="11"/>
        <v>0</v>
      </c>
      <c r="W27" s="2"/>
      <c r="X27" s="2">
        <f t="shared" si="12"/>
        <v>0</v>
      </c>
      <c r="Y27" s="2"/>
      <c r="Z27" s="19">
        <f t="shared" si="13"/>
        <v>0</v>
      </c>
    </row>
    <row r="28" spans="1:26" s="24" customFormat="1" hidden="1" outlineLevel="1" x14ac:dyDescent="0.3">
      <c r="A28" s="44"/>
      <c r="B28" s="11" t="str">
        <f>CONCATENATE("          ", "5028", " - ", "PURCHASES @ COST-ART/TECH")</f>
        <v xml:space="preserve">          5028 - PURCHASES @ COST-ART/TECH</v>
      </c>
      <c r="C28" s="11"/>
      <c r="D28" s="2"/>
      <c r="E28" s="2"/>
      <c r="F28" s="19">
        <f t="shared" si="6"/>
        <v>0</v>
      </c>
      <c r="G28" s="2"/>
      <c r="H28" s="2"/>
      <c r="I28" s="2"/>
      <c r="J28" s="19">
        <f t="shared" si="7"/>
        <v>0</v>
      </c>
      <c r="K28" s="2"/>
      <c r="L28" s="2">
        <f t="shared" si="8"/>
        <v>0</v>
      </c>
      <c r="M28" s="2"/>
      <c r="N28" s="19">
        <f t="shared" si="9"/>
        <v>0</v>
      </c>
      <c r="O28" s="11"/>
      <c r="P28" s="2">
        <v>0</v>
      </c>
      <c r="Q28" s="2"/>
      <c r="R28" s="19">
        <f t="shared" si="10"/>
        <v>0</v>
      </c>
      <c r="S28" s="2"/>
      <c r="T28" s="2"/>
      <c r="U28" s="2"/>
      <c r="V28" s="19">
        <f t="shared" si="11"/>
        <v>0</v>
      </c>
      <c r="W28" s="2"/>
      <c r="X28" s="2">
        <f t="shared" si="12"/>
        <v>0</v>
      </c>
      <c r="Y28" s="2"/>
      <c r="Z28" s="19">
        <f t="shared" si="13"/>
        <v>0</v>
      </c>
    </row>
    <row r="29" spans="1:26" s="24" customFormat="1" hidden="1" outlineLevel="1" x14ac:dyDescent="0.3">
      <c r="A29" s="44"/>
      <c r="B29" s="11" t="str">
        <f>CONCATENATE("          ", "5031", " - ", "PURCHASES @ COST-FOOD")</f>
        <v xml:space="preserve">          5031 - PURCHASES @ COST-FOOD</v>
      </c>
      <c r="C29" s="11"/>
      <c r="D29" s="2"/>
      <c r="E29" s="2"/>
      <c r="F29" s="19">
        <f t="shared" si="6"/>
        <v>0</v>
      </c>
      <c r="G29" s="2"/>
      <c r="H29" s="2"/>
      <c r="I29" s="2"/>
      <c r="J29" s="19">
        <f t="shared" si="7"/>
        <v>0</v>
      </c>
      <c r="K29" s="2"/>
      <c r="L29" s="2">
        <f t="shared" si="8"/>
        <v>0</v>
      </c>
      <c r="M29" s="2"/>
      <c r="N29" s="19">
        <f t="shared" si="9"/>
        <v>0</v>
      </c>
      <c r="O29" s="11"/>
      <c r="P29" s="2">
        <v>0</v>
      </c>
      <c r="Q29" s="2"/>
      <c r="R29" s="19">
        <f t="shared" si="10"/>
        <v>0</v>
      </c>
      <c r="S29" s="2"/>
      <c r="T29" s="2"/>
      <c r="U29" s="2"/>
      <c r="V29" s="19">
        <f t="shared" si="11"/>
        <v>0</v>
      </c>
      <c r="W29" s="2"/>
      <c r="X29" s="2">
        <f t="shared" si="12"/>
        <v>0</v>
      </c>
      <c r="Y29" s="2"/>
      <c r="Z29" s="19">
        <f t="shared" si="13"/>
        <v>0</v>
      </c>
    </row>
    <row r="30" spans="1:26" s="24" customFormat="1" hidden="1" outlineLevel="1" x14ac:dyDescent="0.3">
      <c r="A30" s="44"/>
      <c r="B30" s="11" t="str">
        <f>CONCATENATE("          ", "5040", " - ", "PURCHASES @ COST-LOGO CLOTHING")</f>
        <v xml:space="preserve">          5040 - PURCHASES @ COST-LOGO CLOTHING</v>
      </c>
      <c r="C30" s="11"/>
      <c r="D30" s="2"/>
      <c r="E30" s="2"/>
      <c r="F30" s="19">
        <f t="shared" si="6"/>
        <v>0</v>
      </c>
      <c r="G30" s="2"/>
      <c r="H30" s="2"/>
      <c r="I30" s="2"/>
      <c r="J30" s="19">
        <f t="shared" si="7"/>
        <v>0</v>
      </c>
      <c r="K30" s="2"/>
      <c r="L30" s="2">
        <f t="shared" si="8"/>
        <v>0</v>
      </c>
      <c r="M30" s="2"/>
      <c r="N30" s="19">
        <f t="shared" si="9"/>
        <v>0</v>
      </c>
      <c r="O30" s="11"/>
      <c r="P30" s="2">
        <v>0</v>
      </c>
      <c r="Q30" s="2"/>
      <c r="R30" s="19">
        <f t="shared" si="10"/>
        <v>0</v>
      </c>
      <c r="S30" s="2"/>
      <c r="T30" s="2"/>
      <c r="U30" s="2"/>
      <c r="V30" s="19">
        <f t="shared" si="11"/>
        <v>0</v>
      </c>
      <c r="W30" s="2"/>
      <c r="X30" s="2">
        <f t="shared" si="12"/>
        <v>0</v>
      </c>
      <c r="Y30" s="2"/>
      <c r="Z30" s="19">
        <f t="shared" si="13"/>
        <v>0</v>
      </c>
    </row>
    <row r="31" spans="1:26" s="24" customFormat="1" hidden="1" outlineLevel="1" x14ac:dyDescent="0.3">
      <c r="A31" s="44"/>
      <c r="B31" s="11" t="str">
        <f>CONCATENATE("          ", "5041", " - ", "PURCHASES @ COST-LOGO GIFTS")</f>
        <v xml:space="preserve">          5041 - PURCHASES @ COST-LOGO GIFTS</v>
      </c>
      <c r="C31" s="11"/>
      <c r="D31" s="2"/>
      <c r="E31" s="2"/>
      <c r="F31" s="19">
        <f t="shared" si="6"/>
        <v>0</v>
      </c>
      <c r="G31" s="2"/>
      <c r="H31" s="2"/>
      <c r="I31" s="2"/>
      <c r="J31" s="19">
        <f t="shared" si="7"/>
        <v>0</v>
      </c>
      <c r="K31" s="2"/>
      <c r="L31" s="2">
        <f t="shared" si="8"/>
        <v>0</v>
      </c>
      <c r="M31" s="2"/>
      <c r="N31" s="19">
        <f t="shared" si="9"/>
        <v>0</v>
      </c>
      <c r="O31" s="11"/>
      <c r="P31" s="2">
        <v>0</v>
      </c>
      <c r="Q31" s="2"/>
      <c r="R31" s="19">
        <f t="shared" si="10"/>
        <v>0</v>
      </c>
      <c r="S31" s="2"/>
      <c r="T31" s="2"/>
      <c r="U31" s="2"/>
      <c r="V31" s="19">
        <f t="shared" si="11"/>
        <v>0</v>
      </c>
      <c r="W31" s="2"/>
      <c r="X31" s="2">
        <f t="shared" si="12"/>
        <v>0</v>
      </c>
      <c r="Y31" s="2"/>
      <c r="Z31" s="19">
        <f t="shared" si="13"/>
        <v>0</v>
      </c>
    </row>
    <row r="32" spans="1:26" s="24" customFormat="1" hidden="1" outlineLevel="1" x14ac:dyDescent="0.3">
      <c r="A32" s="44"/>
      <c r="B32" s="11" t="str">
        <f>CONCATENATE("          ", "5042", " - ", "PURCHASES @ COST-EVERYDAY GIFT")</f>
        <v xml:space="preserve">          5042 - PURCHASES @ COST-EVERYDAY GIFT</v>
      </c>
      <c r="C32" s="11"/>
      <c r="D32" s="2"/>
      <c r="E32" s="2"/>
      <c r="F32" s="19">
        <f t="shared" si="6"/>
        <v>0</v>
      </c>
      <c r="G32" s="2"/>
      <c r="H32" s="2"/>
      <c r="I32" s="2"/>
      <c r="J32" s="19">
        <f t="shared" si="7"/>
        <v>0</v>
      </c>
      <c r="K32" s="2"/>
      <c r="L32" s="2">
        <f t="shared" si="8"/>
        <v>0</v>
      </c>
      <c r="M32" s="2"/>
      <c r="N32" s="19">
        <f t="shared" si="9"/>
        <v>0</v>
      </c>
      <c r="O32" s="11"/>
      <c r="P32" s="2">
        <v>0</v>
      </c>
      <c r="Q32" s="2"/>
      <c r="R32" s="19">
        <f t="shared" si="10"/>
        <v>0</v>
      </c>
      <c r="S32" s="2"/>
      <c r="T32" s="2"/>
      <c r="U32" s="2"/>
      <c r="V32" s="19">
        <f t="shared" si="11"/>
        <v>0</v>
      </c>
      <c r="W32" s="2"/>
      <c r="X32" s="2">
        <f t="shared" si="12"/>
        <v>0</v>
      </c>
      <c r="Y32" s="2"/>
      <c r="Z32" s="19">
        <f t="shared" si="13"/>
        <v>0</v>
      </c>
    </row>
    <row r="33" spans="1:26" s="24" customFormat="1" hidden="1" outlineLevel="1" x14ac:dyDescent="0.3">
      <c r="A33" s="44"/>
      <c r="B33" s="11" t="str">
        <f>CONCATENATE("          ", "5043", " - ", "PURCHASES @ COST-CARDS")</f>
        <v xml:space="preserve">          5043 - PURCHASES @ COST-CARDS</v>
      </c>
      <c r="C33" s="11"/>
      <c r="D33" s="2"/>
      <c r="E33" s="2"/>
      <c r="F33" s="19">
        <f t="shared" si="6"/>
        <v>0</v>
      </c>
      <c r="G33" s="2"/>
      <c r="H33" s="2"/>
      <c r="I33" s="2"/>
      <c r="J33" s="19">
        <f t="shared" si="7"/>
        <v>0</v>
      </c>
      <c r="K33" s="2"/>
      <c r="L33" s="2">
        <f t="shared" si="8"/>
        <v>0</v>
      </c>
      <c r="M33" s="2"/>
      <c r="N33" s="19">
        <f t="shared" si="9"/>
        <v>0</v>
      </c>
      <c r="O33" s="11"/>
      <c r="P33" s="2">
        <v>0</v>
      </c>
      <c r="Q33" s="2"/>
      <c r="R33" s="19">
        <f t="shared" si="10"/>
        <v>0</v>
      </c>
      <c r="S33" s="2"/>
      <c r="T33" s="2"/>
      <c r="U33" s="2"/>
      <c r="V33" s="19">
        <f t="shared" si="11"/>
        <v>0</v>
      </c>
      <c r="W33" s="2"/>
      <c r="X33" s="2">
        <f t="shared" si="12"/>
        <v>0</v>
      </c>
      <c r="Y33" s="2"/>
      <c r="Z33" s="19">
        <f t="shared" si="13"/>
        <v>0</v>
      </c>
    </row>
    <row r="34" spans="1:26" s="24" customFormat="1" hidden="1" outlineLevel="1" x14ac:dyDescent="0.3">
      <c r="A34" s="44"/>
      <c r="B34" s="11" t="str">
        <f>CONCATENATE("          ", "5044", " - ", "PURCHASES @ COST-ACCESSORIES")</f>
        <v xml:space="preserve">          5044 - PURCHASES @ COST-ACCESSORIES</v>
      </c>
      <c r="C34" s="11"/>
      <c r="D34" s="2"/>
      <c r="E34" s="2"/>
      <c r="F34" s="19">
        <f t="shared" si="6"/>
        <v>0</v>
      </c>
      <c r="G34" s="2"/>
      <c r="H34" s="2"/>
      <c r="I34" s="2"/>
      <c r="J34" s="19">
        <f t="shared" si="7"/>
        <v>0</v>
      </c>
      <c r="K34" s="2"/>
      <c r="L34" s="2">
        <f t="shared" si="8"/>
        <v>0</v>
      </c>
      <c r="M34" s="2"/>
      <c r="N34" s="19">
        <f t="shared" si="9"/>
        <v>0</v>
      </c>
      <c r="O34" s="11"/>
      <c r="P34" s="2">
        <v>0</v>
      </c>
      <c r="Q34" s="2"/>
      <c r="R34" s="19">
        <f t="shared" si="10"/>
        <v>0</v>
      </c>
      <c r="S34" s="2"/>
      <c r="T34" s="2"/>
      <c r="U34" s="2"/>
      <c r="V34" s="19">
        <f t="shared" si="11"/>
        <v>0</v>
      </c>
      <c r="W34" s="2"/>
      <c r="X34" s="2">
        <f t="shared" si="12"/>
        <v>0</v>
      </c>
      <c r="Y34" s="2"/>
      <c r="Z34" s="19">
        <f t="shared" si="13"/>
        <v>0</v>
      </c>
    </row>
    <row r="35" spans="1:26" s="24" customFormat="1" hidden="1" outlineLevel="1" x14ac:dyDescent="0.3">
      <c r="A35" s="44"/>
      <c r="B35" s="11" t="str">
        <f>CONCATENATE("          ", "5045", " - ", "PURCHASES @ COST-SPECIAL ORDER")</f>
        <v xml:space="preserve">          5045 - PURCHASES @ COST-SPECIAL ORDER</v>
      </c>
      <c r="C35" s="11"/>
      <c r="D35" s="2"/>
      <c r="E35" s="2"/>
      <c r="F35" s="19">
        <f t="shared" si="6"/>
        <v>0</v>
      </c>
      <c r="G35" s="2"/>
      <c r="H35" s="2"/>
      <c r="I35" s="2"/>
      <c r="J35" s="19">
        <f t="shared" si="7"/>
        <v>0</v>
      </c>
      <c r="K35" s="2"/>
      <c r="L35" s="2">
        <f t="shared" si="8"/>
        <v>0</v>
      </c>
      <c r="M35" s="2"/>
      <c r="N35" s="19">
        <f t="shared" si="9"/>
        <v>0</v>
      </c>
      <c r="O35" s="11"/>
      <c r="P35" s="2">
        <v>0</v>
      </c>
      <c r="Q35" s="2"/>
      <c r="R35" s="19">
        <f t="shared" si="10"/>
        <v>0</v>
      </c>
      <c r="S35" s="2"/>
      <c r="T35" s="2"/>
      <c r="U35" s="2"/>
      <c r="V35" s="19">
        <f t="shared" si="11"/>
        <v>0</v>
      </c>
      <c r="W35" s="2"/>
      <c r="X35" s="2">
        <f t="shared" si="12"/>
        <v>0</v>
      </c>
      <c r="Y35" s="2"/>
      <c r="Z35" s="19">
        <f t="shared" si="13"/>
        <v>0</v>
      </c>
    </row>
    <row r="36" spans="1:26" s="24" customFormat="1" hidden="1" outlineLevel="1" x14ac:dyDescent="0.3">
      <c r="A36" s="44"/>
      <c r="B36" s="11" t="str">
        <f>CONCATENATE("          ", "5081", " - ", "PURCHASES @ COST-ELECTRONICS")</f>
        <v xml:space="preserve">          5081 - PURCHASES @ COST-ELECTRONICS</v>
      </c>
      <c r="C36" s="11"/>
      <c r="D36" s="2"/>
      <c r="E36" s="2"/>
      <c r="F36" s="19">
        <f t="shared" si="6"/>
        <v>0</v>
      </c>
      <c r="G36" s="2"/>
      <c r="H36" s="2"/>
      <c r="I36" s="2"/>
      <c r="J36" s="19">
        <f t="shared" si="7"/>
        <v>0</v>
      </c>
      <c r="K36" s="2"/>
      <c r="L36" s="2">
        <f t="shared" si="8"/>
        <v>0</v>
      </c>
      <c r="M36" s="2"/>
      <c r="N36" s="19">
        <f t="shared" si="9"/>
        <v>0</v>
      </c>
      <c r="O36" s="11"/>
      <c r="P36" s="2">
        <v>0</v>
      </c>
      <c r="Q36" s="2"/>
      <c r="R36" s="19">
        <f t="shared" si="10"/>
        <v>0</v>
      </c>
      <c r="S36" s="2"/>
      <c r="T36" s="2"/>
      <c r="U36" s="2"/>
      <c r="V36" s="19">
        <f t="shared" si="11"/>
        <v>0</v>
      </c>
      <c r="W36" s="2"/>
      <c r="X36" s="2">
        <f t="shared" si="12"/>
        <v>0</v>
      </c>
      <c r="Y36" s="2"/>
      <c r="Z36" s="19">
        <f t="shared" si="13"/>
        <v>0</v>
      </c>
    </row>
    <row r="37" spans="1:26" s="24" customFormat="1" hidden="1" outlineLevel="1" x14ac:dyDescent="0.3">
      <c r="A37" s="44"/>
      <c r="B37" s="11" t="str">
        <f>CONCATENATE("          ", "5082", " - ", "PURCHASES @ COST-COMPUTER HARD")</f>
        <v xml:space="preserve">          5082 - PURCHASES @ COST-COMPUTER HARD</v>
      </c>
      <c r="C37" s="11"/>
      <c r="D37" s="2">
        <v>-6938.92</v>
      </c>
      <c r="E37" s="2"/>
      <c r="F37" s="19">
        <f t="shared" si="6"/>
        <v>-7.6140461249725941E-3</v>
      </c>
      <c r="G37" s="2"/>
      <c r="H37" s="2"/>
      <c r="I37" s="2"/>
      <c r="J37" s="19">
        <f t="shared" si="7"/>
        <v>0</v>
      </c>
      <c r="K37" s="2"/>
      <c r="L37" s="2">
        <f t="shared" si="8"/>
        <v>-6938.92</v>
      </c>
      <c r="M37" s="2"/>
      <c r="N37" s="19">
        <f t="shared" si="9"/>
        <v>0</v>
      </c>
      <c r="O37" s="11"/>
      <c r="P37" s="2">
        <v>-93808.4</v>
      </c>
      <c r="Q37" s="2"/>
      <c r="R37" s="19">
        <f t="shared" si="10"/>
        <v>-1.6935639759478545E-2</v>
      </c>
      <c r="S37" s="2"/>
      <c r="T37" s="2"/>
      <c r="U37" s="2"/>
      <c r="V37" s="19">
        <f t="shared" si="11"/>
        <v>0</v>
      </c>
      <c r="W37" s="2"/>
      <c r="X37" s="2">
        <f t="shared" si="12"/>
        <v>-93808.4</v>
      </c>
      <c r="Y37" s="2"/>
      <c r="Z37" s="19">
        <f t="shared" si="13"/>
        <v>0</v>
      </c>
    </row>
    <row r="38" spans="1:26" s="24" customFormat="1" hidden="1" outlineLevel="1" x14ac:dyDescent="0.3">
      <c r="A38" s="44"/>
      <c r="B38" s="11" t="str">
        <f>CONCATENATE("          ", "5083", " - ", "PURCHASES @ COST-COMPUTER EQUI")</f>
        <v xml:space="preserve">          5083 - PURCHASES @ COST-COMPUTER EQUI</v>
      </c>
      <c r="C38" s="11"/>
      <c r="D38" s="2"/>
      <c r="E38" s="2"/>
      <c r="F38" s="19">
        <f t="shared" si="6"/>
        <v>0</v>
      </c>
      <c r="G38" s="2"/>
      <c r="H38" s="2"/>
      <c r="I38" s="2"/>
      <c r="J38" s="19">
        <f t="shared" si="7"/>
        <v>0</v>
      </c>
      <c r="K38" s="2"/>
      <c r="L38" s="2">
        <f t="shared" si="8"/>
        <v>0</v>
      </c>
      <c r="M38" s="2"/>
      <c r="N38" s="19">
        <f t="shared" si="9"/>
        <v>0</v>
      </c>
      <c r="O38" s="11"/>
      <c r="P38" s="2">
        <v>0</v>
      </c>
      <c r="Q38" s="2"/>
      <c r="R38" s="19">
        <f t="shared" si="10"/>
        <v>0</v>
      </c>
      <c r="S38" s="2"/>
      <c r="T38" s="2"/>
      <c r="U38" s="2"/>
      <c r="V38" s="19">
        <f t="shared" si="11"/>
        <v>0</v>
      </c>
      <c r="W38" s="2"/>
      <c r="X38" s="2">
        <f t="shared" si="12"/>
        <v>0</v>
      </c>
      <c r="Y38" s="2"/>
      <c r="Z38" s="19">
        <f t="shared" si="13"/>
        <v>0</v>
      </c>
    </row>
    <row r="39" spans="1:26" s="24" customFormat="1" hidden="1" outlineLevel="1" x14ac:dyDescent="0.3">
      <c r="A39" s="44"/>
      <c r="B39" s="11" t="str">
        <f>CONCATENATE("          ", "5085", " - ", "PURCHASES @ COST-SOFTWARE")</f>
        <v xml:space="preserve">          5085 - PURCHASES @ COST-SOFTWARE</v>
      </c>
      <c r="C39" s="11"/>
      <c r="D39" s="2"/>
      <c r="E39" s="2"/>
      <c r="F39" s="19">
        <f t="shared" si="6"/>
        <v>0</v>
      </c>
      <c r="G39" s="2"/>
      <c r="H39" s="2"/>
      <c r="I39" s="2"/>
      <c r="J39" s="19">
        <f t="shared" si="7"/>
        <v>0</v>
      </c>
      <c r="K39" s="2"/>
      <c r="L39" s="2">
        <f t="shared" si="8"/>
        <v>0</v>
      </c>
      <c r="M39" s="2"/>
      <c r="N39" s="19">
        <f t="shared" si="9"/>
        <v>0</v>
      </c>
      <c r="O39" s="11"/>
      <c r="P39" s="2">
        <v>0</v>
      </c>
      <c r="Q39" s="2"/>
      <c r="R39" s="19">
        <f t="shared" si="10"/>
        <v>0</v>
      </c>
      <c r="S39" s="2"/>
      <c r="T39" s="2"/>
      <c r="U39" s="2"/>
      <c r="V39" s="19">
        <f t="shared" si="11"/>
        <v>0</v>
      </c>
      <c r="W39" s="2"/>
      <c r="X39" s="2">
        <f t="shared" si="12"/>
        <v>0</v>
      </c>
      <c r="Y39" s="2"/>
      <c r="Z39" s="19">
        <f t="shared" si="13"/>
        <v>0</v>
      </c>
    </row>
    <row r="40" spans="1:26" s="24" customFormat="1" hidden="1" outlineLevel="1" x14ac:dyDescent="0.3">
      <c r="A40" s="44"/>
      <c r="B40" s="11" t="str">
        <f>CONCATENATE("          ", "5086", " - ", "PURCHASES @ COST-COMPUTER SUPP")</f>
        <v xml:space="preserve">          5086 - PURCHASES @ COST-COMPUTER SUPP</v>
      </c>
      <c r="C40" s="11"/>
      <c r="D40" s="2"/>
      <c r="E40" s="2"/>
      <c r="F40" s="19">
        <f t="shared" si="6"/>
        <v>0</v>
      </c>
      <c r="G40" s="2"/>
      <c r="H40" s="2"/>
      <c r="I40" s="2"/>
      <c r="J40" s="19">
        <f t="shared" si="7"/>
        <v>0</v>
      </c>
      <c r="K40" s="2"/>
      <c r="L40" s="2">
        <f t="shared" si="8"/>
        <v>0</v>
      </c>
      <c r="M40" s="2"/>
      <c r="N40" s="19">
        <f t="shared" si="9"/>
        <v>0</v>
      </c>
      <c r="O40" s="11"/>
      <c r="P40" s="2">
        <v>0</v>
      </c>
      <c r="Q40" s="2"/>
      <c r="R40" s="19">
        <f t="shared" si="10"/>
        <v>0</v>
      </c>
      <c r="S40" s="2"/>
      <c r="T40" s="2"/>
      <c r="U40" s="2"/>
      <c r="V40" s="19">
        <f t="shared" si="11"/>
        <v>0</v>
      </c>
      <c r="W40" s="2"/>
      <c r="X40" s="2">
        <f t="shared" si="12"/>
        <v>0</v>
      </c>
      <c r="Y40" s="2"/>
      <c r="Z40" s="19">
        <f t="shared" si="13"/>
        <v>0</v>
      </c>
    </row>
    <row r="41" spans="1:26" s="24" customFormat="1" hidden="1" outlineLevel="1" x14ac:dyDescent="0.3">
      <c r="A41" s="44"/>
      <c r="B41" s="11" t="str">
        <f>CONCATENATE("          ", "5200", " - ", "PURCHASES OFFSET")</f>
        <v xml:space="preserve">          5200 - PURCHASES OFFSET</v>
      </c>
      <c r="C41" s="11"/>
      <c r="D41" s="2">
        <v>-571503.94999999995</v>
      </c>
      <c r="E41" s="2"/>
      <c r="F41" s="19">
        <f t="shared" si="6"/>
        <v>-0.6271087483216452</v>
      </c>
      <c r="G41" s="2"/>
      <c r="H41" s="2"/>
      <c r="I41" s="2"/>
      <c r="J41" s="19">
        <f t="shared" si="7"/>
        <v>0</v>
      </c>
      <c r="K41" s="2"/>
      <c r="L41" s="2">
        <f t="shared" si="8"/>
        <v>-571503.94999999995</v>
      </c>
      <c r="M41" s="2"/>
      <c r="N41" s="19">
        <f t="shared" si="9"/>
        <v>0</v>
      </c>
      <c r="O41" s="11"/>
      <c r="P41" s="2">
        <v>-3849781.86</v>
      </c>
      <c r="Q41" s="2"/>
      <c r="R41" s="19">
        <f t="shared" si="10"/>
        <v>-0.69501791666348922</v>
      </c>
      <c r="S41" s="2"/>
      <c r="T41" s="2"/>
      <c r="U41" s="2"/>
      <c r="V41" s="19">
        <f t="shared" si="11"/>
        <v>0</v>
      </c>
      <c r="W41" s="2"/>
      <c r="X41" s="2">
        <f t="shared" si="12"/>
        <v>-3849781.86</v>
      </c>
      <c r="Y41" s="2"/>
      <c r="Z41" s="19">
        <f t="shared" si="13"/>
        <v>0</v>
      </c>
    </row>
    <row r="42" spans="1:26" s="24" customFormat="1" hidden="1" outlineLevel="1" x14ac:dyDescent="0.3">
      <c r="A42" s="44"/>
      <c r="B42" s="11" t="str">
        <f>CONCATENATE("          ", "5300", " - ", "COG$ OFFSET")</f>
        <v xml:space="preserve">          5300 - COG$ OFFSET</v>
      </c>
      <c r="C42" s="11"/>
      <c r="D42" s="2">
        <v>553059.96</v>
      </c>
      <c r="E42" s="2"/>
      <c r="F42" s="19">
        <f t="shared" si="6"/>
        <v>0.6068702399387077</v>
      </c>
      <c r="G42" s="2"/>
      <c r="H42" s="2"/>
      <c r="I42" s="2"/>
      <c r="J42" s="19">
        <f t="shared" si="7"/>
        <v>0</v>
      </c>
      <c r="K42" s="2"/>
      <c r="L42" s="2">
        <f t="shared" si="8"/>
        <v>553059.96</v>
      </c>
      <c r="M42" s="2"/>
      <c r="N42" s="19">
        <f t="shared" si="9"/>
        <v>0</v>
      </c>
      <c r="O42" s="11"/>
      <c r="P42" s="2">
        <v>3423132.83</v>
      </c>
      <c r="Q42" s="2"/>
      <c r="R42" s="19">
        <f t="shared" si="10"/>
        <v>0.61799310571040889</v>
      </c>
      <c r="S42" s="2"/>
      <c r="T42" s="2"/>
      <c r="U42" s="2"/>
      <c r="V42" s="19">
        <f t="shared" si="11"/>
        <v>0</v>
      </c>
      <c r="W42" s="2"/>
      <c r="X42" s="2">
        <f t="shared" si="12"/>
        <v>3423132.83</v>
      </c>
      <c r="Y42" s="2"/>
      <c r="Z42" s="19">
        <f t="shared" si="13"/>
        <v>0</v>
      </c>
    </row>
    <row r="43" spans="1:26" s="24" customFormat="1" hidden="1" outlineLevel="1" x14ac:dyDescent="0.3">
      <c r="A43" s="44"/>
      <c r="B43" s="11" t="str">
        <f>CONCATENATE("          ", "5500", " - ", "FREIGHT-IN")</f>
        <v xml:space="preserve">          5500 - FREIGHT-IN</v>
      </c>
      <c r="C43" s="11"/>
      <c r="D43" s="2">
        <v>21927.71</v>
      </c>
      <c r="E43" s="2"/>
      <c r="F43" s="19">
        <f t="shared" si="6"/>
        <v>2.4061178880146014E-2</v>
      </c>
      <c r="G43" s="2"/>
      <c r="H43" s="2"/>
      <c r="I43" s="2"/>
      <c r="J43" s="19">
        <f t="shared" si="7"/>
        <v>0</v>
      </c>
      <c r="K43" s="2"/>
      <c r="L43" s="2">
        <f t="shared" si="8"/>
        <v>21927.71</v>
      </c>
      <c r="M43" s="2"/>
      <c r="N43" s="19">
        <f t="shared" si="9"/>
        <v>0</v>
      </c>
      <c r="O43" s="11"/>
      <c r="P43" s="2">
        <v>92254.2</v>
      </c>
      <c r="Q43" s="2"/>
      <c r="R43" s="19">
        <f t="shared" si="10"/>
        <v>1.6655053252148909E-2</v>
      </c>
      <c r="S43" s="2"/>
      <c r="T43" s="2"/>
      <c r="U43" s="2"/>
      <c r="V43" s="19">
        <f t="shared" si="11"/>
        <v>0</v>
      </c>
      <c r="W43" s="2"/>
      <c r="X43" s="2">
        <f t="shared" si="12"/>
        <v>92254.2</v>
      </c>
      <c r="Y43" s="2"/>
      <c r="Z43" s="19">
        <f t="shared" si="13"/>
        <v>0</v>
      </c>
    </row>
    <row r="44" spans="1:26" s="24" customFormat="1" hidden="1" outlineLevel="1" x14ac:dyDescent="0.3">
      <c r="A44" s="44"/>
      <c r="B44" s="11" t="str">
        <f>CONCATENATE("          ", "5501", " - ", "FREIGHT-IN-NEW TEXT")</f>
        <v xml:space="preserve">          5501 - FREIGHT-IN-NEW TEXT</v>
      </c>
      <c r="C44" s="11"/>
      <c r="D44" s="2"/>
      <c r="E44" s="2"/>
      <c r="F44" s="19">
        <f t="shared" si="6"/>
        <v>0</v>
      </c>
      <c r="G44" s="2"/>
      <c r="H44" s="2"/>
      <c r="I44" s="2"/>
      <c r="J44" s="19">
        <f t="shared" si="7"/>
        <v>0</v>
      </c>
      <c r="K44" s="2"/>
      <c r="L44" s="2">
        <f t="shared" si="8"/>
        <v>0</v>
      </c>
      <c r="M44" s="2"/>
      <c r="N44" s="19">
        <f t="shared" si="9"/>
        <v>0</v>
      </c>
      <c r="O44" s="11"/>
      <c r="P44" s="2">
        <v>0</v>
      </c>
      <c r="Q44" s="2"/>
      <c r="R44" s="19">
        <f t="shared" si="10"/>
        <v>0</v>
      </c>
      <c r="S44" s="2"/>
      <c r="T44" s="2"/>
      <c r="U44" s="2"/>
      <c r="V44" s="19">
        <f t="shared" si="11"/>
        <v>0</v>
      </c>
      <c r="W44" s="2"/>
      <c r="X44" s="2">
        <f t="shared" si="12"/>
        <v>0</v>
      </c>
      <c r="Y44" s="2"/>
      <c r="Z44" s="19">
        <f t="shared" si="13"/>
        <v>0</v>
      </c>
    </row>
    <row r="45" spans="1:26" s="24" customFormat="1" hidden="1" outlineLevel="1" x14ac:dyDescent="0.3">
      <c r="A45" s="44"/>
      <c r="B45" s="11" t="str">
        <f>CONCATENATE("          ", "5502", " - ", "FREIGHT-IN-USED TEXT")</f>
        <v xml:space="preserve">          5502 - FREIGHT-IN-USED TEXT</v>
      </c>
      <c r="C45" s="11"/>
      <c r="D45" s="2"/>
      <c r="E45" s="2"/>
      <c r="F45" s="19">
        <f t="shared" si="6"/>
        <v>0</v>
      </c>
      <c r="G45" s="2"/>
      <c r="H45" s="2"/>
      <c r="I45" s="2"/>
      <c r="J45" s="19">
        <f t="shared" si="7"/>
        <v>0</v>
      </c>
      <c r="K45" s="2"/>
      <c r="L45" s="2">
        <f t="shared" si="8"/>
        <v>0</v>
      </c>
      <c r="M45" s="2"/>
      <c r="N45" s="19">
        <f t="shared" si="9"/>
        <v>0</v>
      </c>
      <c r="O45" s="11"/>
      <c r="P45" s="2">
        <v>0</v>
      </c>
      <c r="Q45" s="2"/>
      <c r="R45" s="19">
        <f t="shared" si="10"/>
        <v>0</v>
      </c>
      <c r="S45" s="2"/>
      <c r="T45" s="2"/>
      <c r="U45" s="2"/>
      <c r="V45" s="19">
        <f t="shared" si="11"/>
        <v>0</v>
      </c>
      <c r="W45" s="2"/>
      <c r="X45" s="2">
        <f t="shared" si="12"/>
        <v>0</v>
      </c>
      <c r="Y45" s="2"/>
      <c r="Z45" s="19">
        <f t="shared" si="13"/>
        <v>0</v>
      </c>
    </row>
    <row r="46" spans="1:26" s="24" customFormat="1" hidden="1" outlineLevel="1" x14ac:dyDescent="0.3">
      <c r="A46" s="44"/>
      <c r="B46" s="11" t="str">
        <f>CONCATENATE("          ", "5518", " - ", "FREIGHT-IN-STUDY GUIDES")</f>
        <v xml:space="preserve">          5518 - FREIGHT-IN-STUDY GUIDES</v>
      </c>
      <c r="C46" s="11"/>
      <c r="D46" s="2"/>
      <c r="E46" s="2"/>
      <c r="F46" s="19">
        <f t="shared" si="6"/>
        <v>0</v>
      </c>
      <c r="G46" s="2"/>
      <c r="H46" s="2"/>
      <c r="I46" s="2"/>
      <c r="J46" s="19">
        <f t="shared" si="7"/>
        <v>0</v>
      </c>
      <c r="K46" s="2"/>
      <c r="L46" s="2">
        <f t="shared" si="8"/>
        <v>0</v>
      </c>
      <c r="M46" s="2"/>
      <c r="N46" s="19">
        <f t="shared" si="9"/>
        <v>0</v>
      </c>
      <c r="O46" s="11"/>
      <c r="P46" s="2">
        <v>0</v>
      </c>
      <c r="Q46" s="2"/>
      <c r="R46" s="19">
        <f t="shared" si="10"/>
        <v>0</v>
      </c>
      <c r="S46" s="2"/>
      <c r="T46" s="2"/>
      <c r="U46" s="2"/>
      <c r="V46" s="19">
        <f t="shared" si="11"/>
        <v>0</v>
      </c>
      <c r="W46" s="2"/>
      <c r="X46" s="2">
        <f t="shared" si="12"/>
        <v>0</v>
      </c>
      <c r="Y46" s="2"/>
      <c r="Z46" s="19">
        <f t="shared" si="13"/>
        <v>0</v>
      </c>
    </row>
    <row r="47" spans="1:26" s="24" customFormat="1" hidden="1" outlineLevel="1" x14ac:dyDescent="0.3">
      <c r="A47" s="44"/>
      <c r="B47" s="11" t="str">
        <f>CONCATENATE("          ", "5527", " - ", "FREIGHT-IN-SCHOOL SUPPLIES")</f>
        <v xml:space="preserve">          5527 - FREIGHT-IN-SCHOOL SUPPLIES</v>
      </c>
      <c r="C47" s="11"/>
      <c r="D47" s="2"/>
      <c r="E47" s="2"/>
      <c r="F47" s="19">
        <f t="shared" si="6"/>
        <v>0</v>
      </c>
      <c r="G47" s="2"/>
      <c r="H47" s="2"/>
      <c r="I47" s="2"/>
      <c r="J47" s="19">
        <f t="shared" si="7"/>
        <v>0</v>
      </c>
      <c r="K47" s="2"/>
      <c r="L47" s="2">
        <f t="shared" si="8"/>
        <v>0</v>
      </c>
      <c r="M47" s="2"/>
      <c r="N47" s="19">
        <f t="shared" si="9"/>
        <v>0</v>
      </c>
      <c r="O47" s="11"/>
      <c r="P47" s="2">
        <v>0</v>
      </c>
      <c r="Q47" s="2"/>
      <c r="R47" s="19">
        <f t="shared" si="10"/>
        <v>0</v>
      </c>
      <c r="S47" s="2"/>
      <c r="T47" s="2"/>
      <c r="U47" s="2"/>
      <c r="V47" s="19">
        <f t="shared" si="11"/>
        <v>0</v>
      </c>
      <c r="W47" s="2"/>
      <c r="X47" s="2">
        <f t="shared" si="12"/>
        <v>0</v>
      </c>
      <c r="Y47" s="2"/>
      <c r="Z47" s="19">
        <f t="shared" si="13"/>
        <v>0</v>
      </c>
    </row>
    <row r="48" spans="1:26" s="24" customFormat="1" hidden="1" outlineLevel="1" x14ac:dyDescent="0.3">
      <c r="A48" s="44"/>
      <c r="B48" s="11" t="str">
        <f>CONCATENATE("          ", "5528", " - ", "FREIGHT-IN-ART/TECH")</f>
        <v xml:space="preserve">          5528 - FREIGHT-IN-ART/TECH</v>
      </c>
      <c r="C48" s="11"/>
      <c r="D48" s="2"/>
      <c r="E48" s="2"/>
      <c r="F48" s="19">
        <f t="shared" si="6"/>
        <v>0</v>
      </c>
      <c r="G48" s="2"/>
      <c r="H48" s="2"/>
      <c r="I48" s="2"/>
      <c r="J48" s="19">
        <f t="shared" si="7"/>
        <v>0</v>
      </c>
      <c r="K48" s="2"/>
      <c r="L48" s="2">
        <f t="shared" si="8"/>
        <v>0</v>
      </c>
      <c r="M48" s="2"/>
      <c r="N48" s="19">
        <f t="shared" si="9"/>
        <v>0</v>
      </c>
      <c r="O48" s="11"/>
      <c r="P48" s="2">
        <v>0</v>
      </c>
      <c r="Q48" s="2"/>
      <c r="R48" s="19">
        <f t="shared" si="10"/>
        <v>0</v>
      </c>
      <c r="S48" s="2"/>
      <c r="T48" s="2"/>
      <c r="U48" s="2"/>
      <c r="V48" s="19">
        <f t="shared" si="11"/>
        <v>0</v>
      </c>
      <c r="W48" s="2"/>
      <c r="X48" s="2">
        <f t="shared" si="12"/>
        <v>0</v>
      </c>
      <c r="Y48" s="2"/>
      <c r="Z48" s="19">
        <f t="shared" si="13"/>
        <v>0</v>
      </c>
    </row>
    <row r="49" spans="1:26" s="24" customFormat="1" hidden="1" outlineLevel="1" x14ac:dyDescent="0.3">
      <c r="A49" s="44"/>
      <c r="B49" s="11" t="str">
        <f>CONCATENATE("          ", "5540", " - ", "FREIGHT-IN-LOGO CLOTHING")</f>
        <v xml:space="preserve">          5540 - FREIGHT-IN-LOGO CLOTHING</v>
      </c>
      <c r="C49" s="11"/>
      <c r="D49" s="2"/>
      <c r="E49" s="2"/>
      <c r="F49" s="19">
        <f t="shared" si="6"/>
        <v>0</v>
      </c>
      <c r="G49" s="2"/>
      <c r="H49" s="2"/>
      <c r="I49" s="2"/>
      <c r="J49" s="19">
        <f t="shared" si="7"/>
        <v>0</v>
      </c>
      <c r="K49" s="2"/>
      <c r="L49" s="2">
        <f t="shared" si="8"/>
        <v>0</v>
      </c>
      <c r="M49" s="2"/>
      <c r="N49" s="19">
        <f t="shared" si="9"/>
        <v>0</v>
      </c>
      <c r="O49" s="11"/>
      <c r="P49" s="2">
        <v>0</v>
      </c>
      <c r="Q49" s="2"/>
      <c r="R49" s="19">
        <f t="shared" si="10"/>
        <v>0</v>
      </c>
      <c r="S49" s="2"/>
      <c r="T49" s="2"/>
      <c r="U49" s="2"/>
      <c r="V49" s="19">
        <f t="shared" si="11"/>
        <v>0</v>
      </c>
      <c r="W49" s="2"/>
      <c r="X49" s="2">
        <f t="shared" si="12"/>
        <v>0</v>
      </c>
      <c r="Y49" s="2"/>
      <c r="Z49" s="19">
        <f t="shared" si="13"/>
        <v>0</v>
      </c>
    </row>
    <row r="50" spans="1:26" s="24" customFormat="1" hidden="1" outlineLevel="1" x14ac:dyDescent="0.3">
      <c r="A50" s="44"/>
      <c r="B50" s="11" t="str">
        <f>CONCATENATE("          ", "5541", " - ", "FREIGHT-IN-LOGO GIFTS")</f>
        <v xml:space="preserve">          5541 - FREIGHT-IN-LOGO GIFTS</v>
      </c>
      <c r="C50" s="11"/>
      <c r="D50" s="2"/>
      <c r="E50" s="2"/>
      <c r="F50" s="19">
        <f t="shared" si="6"/>
        <v>0</v>
      </c>
      <c r="G50" s="2"/>
      <c r="H50" s="2"/>
      <c r="I50" s="2"/>
      <c r="J50" s="19">
        <f t="shared" si="7"/>
        <v>0</v>
      </c>
      <c r="K50" s="2"/>
      <c r="L50" s="2">
        <f t="shared" si="8"/>
        <v>0</v>
      </c>
      <c r="M50" s="2"/>
      <c r="N50" s="19">
        <f t="shared" si="9"/>
        <v>0</v>
      </c>
      <c r="O50" s="11"/>
      <c r="P50" s="2">
        <v>0</v>
      </c>
      <c r="Q50" s="2"/>
      <c r="R50" s="19">
        <f t="shared" si="10"/>
        <v>0</v>
      </c>
      <c r="S50" s="2"/>
      <c r="T50" s="2"/>
      <c r="U50" s="2"/>
      <c r="V50" s="19">
        <f t="shared" si="11"/>
        <v>0</v>
      </c>
      <c r="W50" s="2"/>
      <c r="X50" s="2">
        <f t="shared" si="12"/>
        <v>0</v>
      </c>
      <c r="Y50" s="2"/>
      <c r="Z50" s="19">
        <f t="shared" si="13"/>
        <v>0</v>
      </c>
    </row>
    <row r="51" spans="1:26" s="24" customFormat="1" hidden="1" outlineLevel="1" x14ac:dyDescent="0.3">
      <c r="A51" s="44"/>
      <c r="B51" s="11" t="str">
        <f>CONCATENATE("          ", "5542", " - ", "FREIGHT-IN-EVERYDAY GIFTS")</f>
        <v xml:space="preserve">          5542 - FREIGHT-IN-EVERYDAY GIFTS</v>
      </c>
      <c r="C51" s="11"/>
      <c r="D51" s="2"/>
      <c r="E51" s="2"/>
      <c r="F51" s="19">
        <f t="shared" si="6"/>
        <v>0</v>
      </c>
      <c r="G51" s="2"/>
      <c r="H51" s="2"/>
      <c r="I51" s="2"/>
      <c r="J51" s="19">
        <f t="shared" si="7"/>
        <v>0</v>
      </c>
      <c r="K51" s="2"/>
      <c r="L51" s="2">
        <f t="shared" si="8"/>
        <v>0</v>
      </c>
      <c r="M51" s="2"/>
      <c r="N51" s="19">
        <f t="shared" si="9"/>
        <v>0</v>
      </c>
      <c r="O51" s="11"/>
      <c r="P51" s="2">
        <v>0</v>
      </c>
      <c r="Q51" s="2"/>
      <c r="R51" s="19">
        <f t="shared" si="10"/>
        <v>0</v>
      </c>
      <c r="S51" s="2"/>
      <c r="T51" s="2"/>
      <c r="U51" s="2"/>
      <c r="V51" s="19">
        <f t="shared" si="11"/>
        <v>0</v>
      </c>
      <c r="W51" s="2"/>
      <c r="X51" s="2">
        <f t="shared" si="12"/>
        <v>0</v>
      </c>
      <c r="Y51" s="2"/>
      <c r="Z51" s="19">
        <f t="shared" si="13"/>
        <v>0</v>
      </c>
    </row>
    <row r="52" spans="1:26" s="24" customFormat="1" hidden="1" outlineLevel="1" x14ac:dyDescent="0.3">
      <c r="A52" s="44"/>
      <c r="B52" s="11" t="str">
        <f>CONCATENATE("          ", "5544", " - ", "FREIGHT-IN-ACCESSORIES")</f>
        <v xml:space="preserve">          5544 - FREIGHT-IN-ACCESSORIES</v>
      </c>
      <c r="C52" s="11"/>
      <c r="D52" s="2"/>
      <c r="E52" s="2"/>
      <c r="F52" s="19">
        <f t="shared" si="6"/>
        <v>0</v>
      </c>
      <c r="G52" s="2"/>
      <c r="H52" s="2"/>
      <c r="I52" s="2"/>
      <c r="J52" s="19">
        <f t="shared" si="7"/>
        <v>0</v>
      </c>
      <c r="K52" s="2"/>
      <c r="L52" s="2">
        <f t="shared" si="8"/>
        <v>0</v>
      </c>
      <c r="M52" s="2"/>
      <c r="N52" s="19">
        <f t="shared" si="9"/>
        <v>0</v>
      </c>
      <c r="O52" s="11"/>
      <c r="P52" s="2">
        <v>0</v>
      </c>
      <c r="Q52" s="2"/>
      <c r="R52" s="19">
        <f t="shared" si="10"/>
        <v>0</v>
      </c>
      <c r="S52" s="2"/>
      <c r="T52" s="2"/>
      <c r="U52" s="2"/>
      <c r="V52" s="19">
        <f t="shared" si="11"/>
        <v>0</v>
      </c>
      <c r="W52" s="2"/>
      <c r="X52" s="2">
        <f t="shared" si="12"/>
        <v>0</v>
      </c>
      <c r="Y52" s="2"/>
      <c r="Z52" s="19">
        <f t="shared" si="13"/>
        <v>0</v>
      </c>
    </row>
    <row r="53" spans="1:26" s="24" customFormat="1" hidden="1" outlineLevel="1" x14ac:dyDescent="0.3">
      <c r="A53" s="44"/>
      <c r="B53" s="11" t="str">
        <f>CONCATENATE("          ", "5545", " - ", "FREIGHT-IN-SPECIAL ORDERS")</f>
        <v xml:space="preserve">          5545 - FREIGHT-IN-SPECIAL ORDERS</v>
      </c>
      <c r="C53" s="11"/>
      <c r="D53" s="2"/>
      <c r="E53" s="2"/>
      <c r="F53" s="19">
        <f t="shared" si="6"/>
        <v>0</v>
      </c>
      <c r="G53" s="2"/>
      <c r="H53" s="2"/>
      <c r="I53" s="2"/>
      <c r="J53" s="19">
        <f t="shared" si="7"/>
        <v>0</v>
      </c>
      <c r="K53" s="2"/>
      <c r="L53" s="2">
        <f t="shared" si="8"/>
        <v>0</v>
      </c>
      <c r="M53" s="2"/>
      <c r="N53" s="19">
        <f t="shared" si="9"/>
        <v>0</v>
      </c>
      <c r="O53" s="11"/>
      <c r="P53" s="2">
        <v>0</v>
      </c>
      <c r="Q53" s="2"/>
      <c r="R53" s="19">
        <f t="shared" si="10"/>
        <v>0</v>
      </c>
      <c r="S53" s="2"/>
      <c r="T53" s="2"/>
      <c r="U53" s="2"/>
      <c r="V53" s="19">
        <f t="shared" si="11"/>
        <v>0</v>
      </c>
      <c r="W53" s="2"/>
      <c r="X53" s="2">
        <f t="shared" si="12"/>
        <v>0</v>
      </c>
      <c r="Y53" s="2"/>
      <c r="Z53" s="19">
        <f t="shared" si="13"/>
        <v>0</v>
      </c>
    </row>
    <row r="54" spans="1:26" s="24" customFormat="1" hidden="1" outlineLevel="1" x14ac:dyDescent="0.3">
      <c r="A54" s="44"/>
      <c r="B54" s="11" t="str">
        <f>CONCATENATE("          ", "5583", " - ", "FREIGHT-IN-COMPUTER EQUIPMENT")</f>
        <v xml:space="preserve">          5583 - FREIGHT-IN-COMPUTER EQUIPMENT</v>
      </c>
      <c r="C54" s="11"/>
      <c r="D54" s="2"/>
      <c r="E54" s="2"/>
      <c r="F54" s="19">
        <f t="shared" si="6"/>
        <v>0</v>
      </c>
      <c r="G54" s="2"/>
      <c r="H54" s="2"/>
      <c r="I54" s="2"/>
      <c r="J54" s="19">
        <f t="shared" si="7"/>
        <v>0</v>
      </c>
      <c r="K54" s="2"/>
      <c r="L54" s="2">
        <f t="shared" si="8"/>
        <v>0</v>
      </c>
      <c r="M54" s="2"/>
      <c r="N54" s="19">
        <f t="shared" si="9"/>
        <v>0</v>
      </c>
      <c r="O54" s="11"/>
      <c r="P54" s="2">
        <v>0</v>
      </c>
      <c r="Q54" s="2"/>
      <c r="R54" s="19">
        <f t="shared" si="10"/>
        <v>0</v>
      </c>
      <c r="S54" s="2"/>
      <c r="T54" s="2"/>
      <c r="U54" s="2"/>
      <c r="V54" s="19">
        <f t="shared" si="11"/>
        <v>0</v>
      </c>
      <c r="W54" s="2"/>
      <c r="X54" s="2">
        <f t="shared" si="12"/>
        <v>0</v>
      </c>
      <c r="Y54" s="2"/>
      <c r="Z54" s="19">
        <f t="shared" si="13"/>
        <v>0</v>
      </c>
    </row>
    <row r="55" spans="1:26" x14ac:dyDescent="0.3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3">
      <c r="A56" s="10"/>
      <c r="B56" s="26" t="s">
        <v>108</v>
      </c>
      <c r="C56" s="26"/>
      <c r="D56" s="21">
        <f>D12-D21</f>
        <v>327961.58000000007</v>
      </c>
      <c r="E56" s="13"/>
      <c r="F56" s="22">
        <f>IF(D$12=0,0,D56/D$12)</f>
        <v>0.35987078642481679</v>
      </c>
      <c r="G56" s="13"/>
      <c r="H56" s="21">
        <f>H12-H21</f>
        <v>701302</v>
      </c>
      <c r="I56" s="13"/>
      <c r="J56" s="22">
        <f>IF(H$12=0,0,H56/H$12)</f>
        <v>0.32212801394153945</v>
      </c>
      <c r="K56" s="15"/>
      <c r="L56" s="21">
        <f>+D56-H56</f>
        <v>-373340.41999999993</v>
      </c>
      <c r="M56" s="15"/>
      <c r="N56" s="22">
        <f>IF(H56=0,0,L56/H56)</f>
        <v>-0.5323532800419789</v>
      </c>
      <c r="O56" s="25"/>
      <c r="P56" s="21">
        <f>P12-P21</f>
        <v>1921327.209999999</v>
      </c>
      <c r="Q56" s="13"/>
      <c r="R56" s="22">
        <f>IF(P$12=0,0,P56/P$12)</f>
        <v>0.34686558441082005</v>
      </c>
      <c r="S56" s="13"/>
      <c r="T56" s="21">
        <f>T12-T21</f>
        <v>2684088</v>
      </c>
      <c r="U56" s="13"/>
      <c r="V56" s="22">
        <f>IF(T$12=0,0,T56/T$12)</f>
        <v>0.32267246752793988</v>
      </c>
      <c r="W56" s="15"/>
      <c r="X56" s="21">
        <f>+P56-T56</f>
        <v>-762760.79000000097</v>
      </c>
      <c r="Y56" s="15"/>
      <c r="Z56" s="22">
        <f>IF(T56=0,0,X56/T56)</f>
        <v>-0.28417875643421564</v>
      </c>
    </row>
    <row r="57" spans="1:26" x14ac:dyDescent="0.3">
      <c r="A57" s="9"/>
      <c r="B57" s="10"/>
      <c r="C57" s="9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3">
      <c r="A58" s="10"/>
      <c r="B58" s="25" t="s">
        <v>295</v>
      </c>
      <c r="C58" s="10"/>
      <c r="D58" s="20">
        <f>SUM(OSRRefD22x_0)</f>
        <v>373069.2099999999</v>
      </c>
      <c r="E58" s="20"/>
      <c r="F58" s="33">
        <f t="shared" ref="F58:F69" si="14">IF(D$12=0,0,D58/D$12)</f>
        <v>0.4093671886615044</v>
      </c>
      <c r="G58" s="20"/>
      <c r="H58" s="20">
        <f>SUM(OSRRefH22x_0)</f>
        <v>456710.69792934391</v>
      </c>
      <c r="I58" s="20"/>
      <c r="J58" s="33">
        <f t="shared" ref="J58:J69" si="15">IF(H$12=0,0,H58/H$12)</f>
        <v>0.20978025168876446</v>
      </c>
      <c r="K58" s="4"/>
      <c r="L58" s="20">
        <f t="shared" ref="L58:L69" si="16">+D58-H58</f>
        <v>-83641.487929344003</v>
      </c>
      <c r="M58" s="4"/>
      <c r="N58" s="33">
        <f t="shared" ref="N58:N69" si="17">IF(H58=0,0,L58/H58)</f>
        <v>-0.18313888487517732</v>
      </c>
      <c r="O58" s="10"/>
      <c r="P58" s="20">
        <f>SUM(OSRRefP22x_0)</f>
        <v>2325154.1300000004</v>
      </c>
      <c r="Q58" s="20"/>
      <c r="R58" s="33">
        <f t="shared" ref="R58:R69" si="18">IF(P$12=0,0,P58/P$12)</f>
        <v>0.41977022026752142</v>
      </c>
      <c r="S58" s="20"/>
      <c r="T58" s="20">
        <f>SUM(OSRRefT22x_0)</f>
        <v>2574452.0914611248</v>
      </c>
      <c r="U58" s="20"/>
      <c r="V58" s="33">
        <f t="shared" ref="V58:V69" si="19">IF(T$12=0,0,T58/T$12)</f>
        <v>0.30949238955065062</v>
      </c>
      <c r="W58" s="4"/>
      <c r="X58" s="20">
        <f t="shared" ref="X58:X69" si="20">+P58-T58</f>
        <v>-249297.96146112448</v>
      </c>
      <c r="Y58" s="4"/>
      <c r="Z58" s="33">
        <f t="shared" ref="Z58:Z69" si="21">IF(T58=0,0,X58/T58)</f>
        <v>-9.6835346941583966E-2</v>
      </c>
    </row>
    <row r="59" spans="1:26" s="28" customFormat="1" outlineLevel="1" collapsed="1" x14ac:dyDescent="0.3">
      <c r="A59" s="29"/>
      <c r="B59" s="14" t="str">
        <f>CONCATENATE("     ","*Benefits                                         ")</f>
        <v xml:space="preserve">     *Benefits                                         </v>
      </c>
      <c r="C59" s="14"/>
      <c r="D59" s="1">
        <f>SUM(OSRRefD22_0x_0)</f>
        <v>61691.880000000005</v>
      </c>
      <c r="E59" s="1"/>
      <c r="F59" s="5">
        <f t="shared" si="14"/>
        <v>6.7694226170106342E-2</v>
      </c>
      <c r="G59" s="1"/>
      <c r="H59" s="1">
        <f>SUM(OSRRefH22_0x_0)</f>
        <v>58567.44286219967</v>
      </c>
      <c r="I59" s="1"/>
      <c r="J59" s="5">
        <f t="shared" si="15"/>
        <v>2.6901697201540804E-2</v>
      </c>
      <c r="K59" s="1"/>
      <c r="L59" s="1">
        <f t="shared" si="16"/>
        <v>3124.4371378003343</v>
      </c>
      <c r="M59" s="1"/>
      <c r="N59" s="5">
        <f t="shared" si="17"/>
        <v>5.334767893403955E-2</v>
      </c>
      <c r="O59" s="14"/>
      <c r="P59" s="1">
        <f>SUM(OSRRefP22_0x_0)</f>
        <v>374212.83999999997</v>
      </c>
      <c r="Q59" s="1"/>
      <c r="R59" s="5">
        <f t="shared" si="18"/>
        <v>6.7558276781305118E-2</v>
      </c>
      <c r="S59" s="1"/>
      <c r="T59" s="1">
        <f>SUM(OSRRefT22_0x_0)</f>
        <v>366460.29023636912</v>
      </c>
      <c r="U59" s="1"/>
      <c r="V59" s="5">
        <f t="shared" si="19"/>
        <v>4.4054683043765419E-2</v>
      </c>
      <c r="W59" s="1"/>
      <c r="X59" s="1">
        <f t="shared" si="20"/>
        <v>7752.5497636308428</v>
      </c>
      <c r="Y59" s="1"/>
      <c r="Z59" s="5">
        <f t="shared" si="21"/>
        <v>2.1155224645569102E-2</v>
      </c>
    </row>
    <row r="60" spans="1:26" s="24" customFormat="1" hidden="1" outlineLevel="2" x14ac:dyDescent="0.3">
      <c r="A60" s="27"/>
      <c r="B60" s="11" t="str">
        <f>CONCATENATE("          ", "6111", " - ", "F.I.C.A.")</f>
        <v xml:space="preserve">          6111 - F.I.C.A.</v>
      </c>
      <c r="C60" s="11"/>
      <c r="D60" s="7">
        <v>7600.1</v>
      </c>
      <c r="E60" s="2"/>
      <c r="F60" s="6">
        <f t="shared" si="14"/>
        <v>8.3395560050273255E-3</v>
      </c>
      <c r="G60" s="2"/>
      <c r="H60" s="7">
        <v>12834.3650433026</v>
      </c>
      <c r="I60" s="2"/>
      <c r="J60" s="6">
        <f t="shared" si="15"/>
        <v>5.89518997749869E-3</v>
      </c>
      <c r="K60" s="2"/>
      <c r="L60" s="7">
        <f t="shared" si="16"/>
        <v>-5234.2650433025992</v>
      </c>
      <c r="M60" s="2"/>
      <c r="N60" s="6">
        <f t="shared" si="17"/>
        <v>-0.40783202173558353</v>
      </c>
      <c r="O60" s="11"/>
      <c r="P60" s="7">
        <v>66720.73</v>
      </c>
      <c r="Q60" s="2"/>
      <c r="R60" s="6">
        <f t="shared" si="18"/>
        <v>1.2045384504686498E-2</v>
      </c>
      <c r="S60" s="2"/>
      <c r="T60" s="7">
        <v>76912.684375068406</v>
      </c>
      <c r="U60" s="2"/>
      <c r="V60" s="6">
        <f t="shared" si="19"/>
        <v>9.2461967161661419E-3</v>
      </c>
      <c r="W60" s="2"/>
      <c r="X60" s="7">
        <f t="shared" si="20"/>
        <v>-10191.95437506841</v>
      </c>
      <c r="Y60" s="2"/>
      <c r="Z60" s="6">
        <f t="shared" si="21"/>
        <v>-0.13251330983803469</v>
      </c>
    </row>
    <row r="61" spans="1:26" s="24" customFormat="1" hidden="1" outlineLevel="2" x14ac:dyDescent="0.3">
      <c r="A61" s="27"/>
      <c r="B61" s="11" t="str">
        <f>CONCATENATE("          ", "6112", " - ", "COMPENSATION INSURANCE")</f>
        <v xml:space="preserve">          6112 - COMPENSATION INSURANCE</v>
      </c>
      <c r="C61" s="11"/>
      <c r="D61" s="7">
        <v>2379.58</v>
      </c>
      <c r="E61" s="2"/>
      <c r="F61" s="6">
        <f t="shared" si="14"/>
        <v>2.6111025747612431E-3</v>
      </c>
      <c r="G61" s="2"/>
      <c r="H61" s="7">
        <v>4398.1360258499999</v>
      </c>
      <c r="I61" s="2"/>
      <c r="J61" s="6">
        <f t="shared" si="15"/>
        <v>2.0201893379054895E-3</v>
      </c>
      <c r="K61" s="2"/>
      <c r="L61" s="7">
        <f t="shared" si="16"/>
        <v>-2018.55602585</v>
      </c>
      <c r="M61" s="2"/>
      <c r="N61" s="6">
        <f t="shared" si="17"/>
        <v>-0.4589571613942719</v>
      </c>
      <c r="O61" s="11"/>
      <c r="P61" s="7">
        <v>18141.84</v>
      </c>
      <c r="Q61" s="2"/>
      <c r="R61" s="6">
        <f t="shared" si="18"/>
        <v>3.2752255321921945E-3</v>
      </c>
      <c r="S61" s="2"/>
      <c r="T61" s="7">
        <v>22161.980633070001</v>
      </c>
      <c r="U61" s="2"/>
      <c r="V61" s="6">
        <f t="shared" si="19"/>
        <v>2.6642423706596478E-3</v>
      </c>
      <c r="W61" s="2"/>
      <c r="X61" s="7">
        <f t="shared" si="20"/>
        <v>-4020.1406330700011</v>
      </c>
      <c r="Y61" s="2"/>
      <c r="Z61" s="6">
        <f t="shared" si="21"/>
        <v>-0.18139807536295591</v>
      </c>
    </row>
    <row r="62" spans="1:26" s="24" customFormat="1" hidden="1" outlineLevel="2" x14ac:dyDescent="0.3">
      <c r="A62" s="27"/>
      <c r="B62" s="11" t="str">
        <f>CONCATENATE("          ", "6113", " - ", "GROUP INSURANCE")</f>
        <v xml:space="preserve">          6113 - GROUP INSURANCE</v>
      </c>
      <c r="C62" s="11"/>
      <c r="D62" s="7">
        <v>16592.41</v>
      </c>
      <c r="E62" s="2"/>
      <c r="F62" s="6">
        <f t="shared" si="14"/>
        <v>1.8206777865209068E-2</v>
      </c>
      <c r="G62" s="2"/>
      <c r="H62" s="7">
        <v>17880.6538461538</v>
      </c>
      <c r="I62" s="2"/>
      <c r="J62" s="6">
        <f t="shared" si="15"/>
        <v>8.2130943750875832E-3</v>
      </c>
      <c r="K62" s="2"/>
      <c r="L62" s="7">
        <f t="shared" si="16"/>
        <v>-1288.2438461538004</v>
      </c>
      <c r="M62" s="2"/>
      <c r="N62" s="6">
        <f t="shared" si="17"/>
        <v>-7.2046797462661405E-2</v>
      </c>
      <c r="O62" s="11"/>
      <c r="P62" s="7">
        <v>127149.86</v>
      </c>
      <c r="Q62" s="2"/>
      <c r="R62" s="6">
        <f t="shared" si="18"/>
        <v>2.2954919009684962E-2</v>
      </c>
      <c r="S62" s="2"/>
      <c r="T62" s="7">
        <v>125222.153846154</v>
      </c>
      <c r="U62" s="2"/>
      <c r="V62" s="6">
        <f t="shared" si="19"/>
        <v>1.505380649617368E-2</v>
      </c>
      <c r="W62" s="2"/>
      <c r="X62" s="7">
        <f t="shared" si="20"/>
        <v>1927.7061538459966</v>
      </c>
      <c r="Y62" s="2"/>
      <c r="Z62" s="6">
        <f t="shared" si="21"/>
        <v>1.5394290024865301E-2</v>
      </c>
    </row>
    <row r="63" spans="1:26" s="24" customFormat="1" hidden="1" outlineLevel="2" x14ac:dyDescent="0.3">
      <c r="A63" s="27"/>
      <c r="B63" s="11" t="str">
        <f>CONCATENATE("          ", "6114", " - ", "STATE UNEMPLOYMENT INSURANCE")</f>
        <v xml:space="preserve">          6114 - STATE UNEMPLOYMENT INSURANCE</v>
      </c>
      <c r="C63" s="11"/>
      <c r="D63" s="7">
        <v>428.31</v>
      </c>
      <c r="E63" s="2"/>
      <c r="F63" s="6">
        <f t="shared" si="14"/>
        <v>4.6998266240092288E-4</v>
      </c>
      <c r="G63" s="2"/>
      <c r="H63" s="7">
        <v>592.05677271057596</v>
      </c>
      <c r="I63" s="2"/>
      <c r="J63" s="6">
        <f t="shared" si="15"/>
        <v>2.7194856471804624E-4</v>
      </c>
      <c r="K63" s="2"/>
      <c r="L63" s="7">
        <f t="shared" si="16"/>
        <v>-163.74677271057595</v>
      </c>
      <c r="M63" s="2"/>
      <c r="N63" s="6">
        <f t="shared" si="17"/>
        <v>-0.27657275494190275</v>
      </c>
      <c r="O63" s="11"/>
      <c r="P63" s="7">
        <v>3268.56</v>
      </c>
      <c r="Q63" s="2"/>
      <c r="R63" s="6">
        <f t="shared" si="18"/>
        <v>5.9008739827394127E-4</v>
      </c>
      <c r="S63" s="2"/>
      <c r="T63" s="7">
        <v>2983.34354675942</v>
      </c>
      <c r="U63" s="2"/>
      <c r="V63" s="6">
        <f t="shared" si="19"/>
        <v>3.586480114349522E-4</v>
      </c>
      <c r="W63" s="2"/>
      <c r="X63" s="7">
        <f t="shared" si="20"/>
        <v>285.21645324057999</v>
      </c>
      <c r="Y63" s="2"/>
      <c r="Z63" s="6">
        <f t="shared" si="21"/>
        <v>9.5602953119626133E-2</v>
      </c>
    </row>
    <row r="64" spans="1:26" s="24" customFormat="1" hidden="1" outlineLevel="2" x14ac:dyDescent="0.3">
      <c r="A64" s="27"/>
      <c r="B64" s="11" t="str">
        <f>CONCATENATE("          ", "6115", " - ", "P.E.R.S.")</f>
        <v xml:space="preserve">          6115 - P.E.R.S.</v>
      </c>
      <c r="C64" s="11"/>
      <c r="D64" s="7">
        <v>5830.95</v>
      </c>
      <c r="E64" s="2"/>
      <c r="F64" s="6">
        <f t="shared" si="14"/>
        <v>6.3982755605207931E-3</v>
      </c>
      <c r="G64" s="2"/>
      <c r="H64" s="7">
        <v>5522.20547148077</v>
      </c>
      <c r="I64" s="2"/>
      <c r="J64" s="6">
        <f t="shared" si="15"/>
        <v>2.5365064994898102E-3</v>
      </c>
      <c r="K64" s="2"/>
      <c r="L64" s="7">
        <f t="shared" si="16"/>
        <v>308.74452851922979</v>
      </c>
      <c r="M64" s="2"/>
      <c r="N64" s="6">
        <f t="shared" si="17"/>
        <v>5.5909641557839472E-2</v>
      </c>
      <c r="O64" s="11"/>
      <c r="P64" s="7">
        <v>49126.49</v>
      </c>
      <c r="Q64" s="2"/>
      <c r="R64" s="6">
        <f t="shared" si="18"/>
        <v>8.8690195897981969E-3</v>
      </c>
      <c r="S64" s="2"/>
      <c r="T64" s="7">
        <v>36055.267384719198</v>
      </c>
      <c r="U64" s="2"/>
      <c r="V64" s="6">
        <f t="shared" si="19"/>
        <v>4.334448831188469E-3</v>
      </c>
      <c r="W64" s="2"/>
      <c r="X64" s="7">
        <f t="shared" si="20"/>
        <v>13071.2226152808</v>
      </c>
      <c r="Y64" s="2"/>
      <c r="Z64" s="6">
        <f t="shared" si="21"/>
        <v>0.36253295463898277</v>
      </c>
    </row>
    <row r="65" spans="1:26" s="24" customFormat="1" hidden="1" outlineLevel="2" x14ac:dyDescent="0.3">
      <c r="A65" s="27"/>
      <c r="B65" s="11" t="str">
        <f>CONCATENATE("          ", "6116", " - ", "EDUCATIONAL BENEFITS")</f>
        <v xml:space="preserve">          6116 - EDUCATIONAL BENEFITS</v>
      </c>
      <c r="C65" s="11"/>
      <c r="D65" s="7"/>
      <c r="E65" s="2"/>
      <c r="F65" s="6">
        <f t="shared" si="14"/>
        <v>0</v>
      </c>
      <c r="G65" s="2"/>
      <c r="H65" s="7">
        <v>0</v>
      </c>
      <c r="I65" s="2"/>
      <c r="J65" s="6">
        <f t="shared" si="15"/>
        <v>0</v>
      </c>
      <c r="K65" s="2"/>
      <c r="L65" s="7">
        <f t="shared" si="16"/>
        <v>0</v>
      </c>
      <c r="M65" s="2"/>
      <c r="N65" s="6">
        <f t="shared" si="17"/>
        <v>0</v>
      </c>
      <c r="O65" s="11"/>
      <c r="P65" s="7"/>
      <c r="Q65" s="2"/>
      <c r="R65" s="6">
        <f t="shared" si="18"/>
        <v>0</v>
      </c>
      <c r="S65" s="2"/>
      <c r="T65" s="7">
        <v>0</v>
      </c>
      <c r="U65" s="2"/>
      <c r="V65" s="6">
        <f t="shared" si="19"/>
        <v>0</v>
      </c>
      <c r="W65" s="2"/>
      <c r="X65" s="7">
        <f t="shared" si="20"/>
        <v>0</v>
      </c>
      <c r="Y65" s="2"/>
      <c r="Z65" s="6">
        <f t="shared" si="21"/>
        <v>0</v>
      </c>
    </row>
    <row r="66" spans="1:26" s="24" customFormat="1" hidden="1" outlineLevel="2" x14ac:dyDescent="0.3">
      <c r="A66" s="27"/>
      <c r="B66" s="11" t="str">
        <f>CONCATENATE("          ", "6117", " - ", "RETIREMENT STAFF HOURLY")</f>
        <v xml:space="preserve">          6117 - RETIREMENT STAFF HOURLY</v>
      </c>
      <c r="C66" s="11"/>
      <c r="D66" s="7">
        <v>1148.6500000000001</v>
      </c>
      <c r="E66" s="2"/>
      <c r="F66" s="6">
        <f t="shared" si="14"/>
        <v>1.2604085479368218E-3</v>
      </c>
      <c r="G66" s="2"/>
      <c r="H66" s="7"/>
      <c r="I66" s="2"/>
      <c r="J66" s="6">
        <f t="shared" si="15"/>
        <v>0</v>
      </c>
      <c r="K66" s="2"/>
      <c r="L66" s="7">
        <f t="shared" si="16"/>
        <v>1148.6500000000001</v>
      </c>
      <c r="M66" s="2"/>
      <c r="N66" s="6">
        <f t="shared" si="17"/>
        <v>0</v>
      </c>
      <c r="O66" s="11"/>
      <c r="P66" s="7">
        <v>4425.72</v>
      </c>
      <c r="Q66" s="2"/>
      <c r="R66" s="6">
        <f t="shared" si="18"/>
        <v>7.9899454202735998E-4</v>
      </c>
      <c r="S66" s="2"/>
      <c r="T66" s="7"/>
      <c r="U66" s="2"/>
      <c r="V66" s="6">
        <f t="shared" si="19"/>
        <v>0</v>
      </c>
      <c r="W66" s="2"/>
      <c r="X66" s="7">
        <f t="shared" si="20"/>
        <v>4425.72</v>
      </c>
      <c r="Y66" s="2"/>
      <c r="Z66" s="6">
        <f t="shared" si="21"/>
        <v>0</v>
      </c>
    </row>
    <row r="67" spans="1:26" s="24" customFormat="1" hidden="1" outlineLevel="2" x14ac:dyDescent="0.3">
      <c r="A67" s="27"/>
      <c r="B67" s="11" t="str">
        <f>CONCATENATE("          ", "6118", " - ", "VACATION")</f>
        <v xml:space="preserve">          6118 - VACATION</v>
      </c>
      <c r="C67" s="11"/>
      <c r="D67" s="7">
        <v>10030.41</v>
      </c>
      <c r="E67" s="2"/>
      <c r="F67" s="6">
        <f t="shared" si="14"/>
        <v>1.1006324383677338E-2</v>
      </c>
      <c r="G67" s="2"/>
      <c r="H67" s="7">
        <v>4965.59355333654</v>
      </c>
      <c r="I67" s="2"/>
      <c r="J67" s="6">
        <f t="shared" si="15"/>
        <v>2.2808387675740428E-3</v>
      </c>
      <c r="K67" s="2"/>
      <c r="L67" s="7">
        <f t="shared" si="16"/>
        <v>5064.8164466634598</v>
      </c>
      <c r="M67" s="2"/>
      <c r="N67" s="6">
        <f t="shared" si="17"/>
        <v>1.0199820811472273</v>
      </c>
      <c r="O67" s="11"/>
      <c r="P67" s="7">
        <v>45339.4</v>
      </c>
      <c r="Q67" s="2"/>
      <c r="R67" s="6">
        <f t="shared" si="18"/>
        <v>8.1853197081594147E-3</v>
      </c>
      <c r="S67" s="2"/>
      <c r="T67" s="7">
        <v>32900.160799917299</v>
      </c>
      <c r="U67" s="2"/>
      <c r="V67" s="6">
        <f t="shared" si="19"/>
        <v>3.9551520171377825E-3</v>
      </c>
      <c r="W67" s="2"/>
      <c r="X67" s="7">
        <f t="shared" si="20"/>
        <v>12439.239200082702</v>
      </c>
      <c r="Y67" s="2"/>
      <c r="Z67" s="6">
        <f t="shared" si="21"/>
        <v>0.37809052897133472</v>
      </c>
    </row>
    <row r="68" spans="1:26" s="24" customFormat="1" hidden="1" outlineLevel="2" x14ac:dyDescent="0.3">
      <c r="A68" s="27"/>
      <c r="B68" s="11" t="str">
        <f>CONCATENATE("          ", "6119", " - ", "SICK LEAVE")</f>
        <v xml:space="preserve">          6119 - SICK LEAVE</v>
      </c>
      <c r="C68" s="11"/>
      <c r="D68" s="7">
        <v>14559.46</v>
      </c>
      <c r="E68" s="2"/>
      <c r="F68" s="6">
        <f t="shared" si="14"/>
        <v>1.5976030851298686E-2</v>
      </c>
      <c r="G68" s="2"/>
      <c r="H68" s="7">
        <v>9749.4321493653897</v>
      </c>
      <c r="I68" s="2"/>
      <c r="J68" s="6">
        <f t="shared" si="15"/>
        <v>4.4781922985145731E-3</v>
      </c>
      <c r="K68" s="2"/>
      <c r="L68" s="7">
        <f t="shared" si="16"/>
        <v>4810.0278506346094</v>
      </c>
      <c r="M68" s="2"/>
      <c r="N68" s="6">
        <f t="shared" si="17"/>
        <v>0.49336492391997455</v>
      </c>
      <c r="O68" s="11"/>
      <c r="P68" s="7">
        <v>40386.51</v>
      </c>
      <c r="Q68" s="2"/>
      <c r="R68" s="6">
        <f t="shared" si="18"/>
        <v>7.2911528658689195E-3</v>
      </c>
      <c r="S68" s="2"/>
      <c r="T68" s="7">
        <v>50974.699650680799</v>
      </c>
      <c r="U68" s="2"/>
      <c r="V68" s="6">
        <f t="shared" si="19"/>
        <v>6.1280152207307615E-3</v>
      </c>
      <c r="W68" s="2"/>
      <c r="X68" s="7">
        <f t="shared" si="20"/>
        <v>-10588.189650680797</v>
      </c>
      <c r="Y68" s="2"/>
      <c r="Z68" s="6">
        <f t="shared" si="21"/>
        <v>-0.20771460593666069</v>
      </c>
    </row>
    <row r="69" spans="1:26" s="24" customFormat="1" hidden="1" outlineLevel="2" x14ac:dyDescent="0.3">
      <c r="A69" s="27"/>
      <c r="B69" s="11" t="str">
        <f>CONCATENATE("          ", "6156", " - ", "EMPLOYEE MEALS")</f>
        <v xml:space="preserve">          6156 - EMPLOYEE MEALS</v>
      </c>
      <c r="C69" s="11"/>
      <c r="D69" s="7">
        <v>3122.01</v>
      </c>
      <c r="E69" s="2"/>
      <c r="F69" s="6">
        <f t="shared" si="14"/>
        <v>3.425767719274136E-3</v>
      </c>
      <c r="G69" s="2"/>
      <c r="H69" s="7">
        <v>2625</v>
      </c>
      <c r="I69" s="2"/>
      <c r="J69" s="6">
        <f t="shared" si="15"/>
        <v>1.205737380752573E-3</v>
      </c>
      <c r="K69" s="2"/>
      <c r="L69" s="7">
        <f t="shared" si="16"/>
        <v>497.01000000000022</v>
      </c>
      <c r="M69" s="2"/>
      <c r="N69" s="6">
        <f t="shared" si="17"/>
        <v>0.18933714285714295</v>
      </c>
      <c r="O69" s="11"/>
      <c r="P69" s="7">
        <v>19653.73</v>
      </c>
      <c r="Q69" s="2"/>
      <c r="R69" s="6">
        <f t="shared" si="18"/>
        <v>3.5481736306136368E-3</v>
      </c>
      <c r="S69" s="2"/>
      <c r="T69" s="7">
        <v>19250</v>
      </c>
      <c r="U69" s="2"/>
      <c r="V69" s="6">
        <f t="shared" si="19"/>
        <v>2.314173380273986E-3</v>
      </c>
      <c r="W69" s="2"/>
      <c r="X69" s="7">
        <f t="shared" si="20"/>
        <v>403.72999999999956</v>
      </c>
      <c r="Y69" s="2"/>
      <c r="Z69" s="6">
        <f t="shared" si="21"/>
        <v>2.0972987012986992E-2</v>
      </c>
    </row>
    <row r="70" spans="1:26" s="28" customFormat="1" outlineLevel="1" collapsed="1" x14ac:dyDescent="0.3">
      <c r="A70" s="29"/>
      <c r="B70" s="14" t="str">
        <f>CONCATENATE("     ","*Payroll                                          ")</f>
        <v xml:space="preserve">     *Payroll                                          </v>
      </c>
      <c r="C70" s="14"/>
      <c r="D70" s="1">
        <f>SUM(OSRRefD22_1x_0)</f>
        <v>204928.52000000002</v>
      </c>
      <c r="E70" s="1"/>
      <c r="F70" s="5">
        <f t="shared" ref="F70:F80" si="22">IF(D$12=0,0,D70/D$12)</f>
        <v>0.22486715563839457</v>
      </c>
      <c r="G70" s="1"/>
      <c r="H70" s="1">
        <f>SUM(OSRRefH22_1x_0)</f>
        <v>273702.25506714417</v>
      </c>
      <c r="I70" s="1"/>
      <c r="J70" s="5">
        <f t="shared" ref="J70:J80" si="23">IF(H$12=0,0,H70/H$12)</f>
        <v>0.12571925338313564</v>
      </c>
      <c r="K70" s="1"/>
      <c r="L70" s="1">
        <f t="shared" ref="L70:L80" si="24">+D70-H70</f>
        <v>-68773.735067144153</v>
      </c>
      <c r="M70" s="1"/>
      <c r="N70" s="5">
        <f t="shared" ref="N70:N80" si="25">IF(H70=0,0,L70/H70)</f>
        <v>-0.25127208049591221</v>
      </c>
      <c r="O70" s="14"/>
      <c r="P70" s="1">
        <f>SUM(OSRRefP22_1x_0)</f>
        <v>1220098.8099999998</v>
      </c>
      <c r="Q70" s="1"/>
      <c r="R70" s="5">
        <f t="shared" ref="R70:R80" si="26">IF(P$12=0,0,P70/P$12)</f>
        <v>0.22026976173912419</v>
      </c>
      <c r="S70" s="1"/>
      <c r="T70" s="1">
        <f>SUM(OSRRefT22_1x_0)</f>
        <v>1363984.8012247556</v>
      </c>
      <c r="U70" s="1"/>
      <c r="V70" s="5">
        <f t="shared" ref="V70:V80" si="27">IF(T$12=0,0,T70/T$12)</f>
        <v>0.16397388665416279</v>
      </c>
      <c r="W70" s="1"/>
      <c r="X70" s="1">
        <f t="shared" ref="X70:X80" si="28">+P70-T70</f>
        <v>-143885.99122475577</v>
      </c>
      <c r="Y70" s="1"/>
      <c r="Z70" s="5">
        <f t="shared" ref="Z70:Z80" si="29">IF(T70=0,0,X70/T70)</f>
        <v>-0.10548943880867073</v>
      </c>
    </row>
    <row r="71" spans="1:26" s="24" customFormat="1" hidden="1" outlineLevel="2" x14ac:dyDescent="0.3">
      <c r="A71" s="27"/>
      <c r="B71" s="11" t="str">
        <f>CONCATENATE("          ", "6001", " - ", "ADMINISTRATIVE SALARIES")</f>
        <v xml:space="preserve">          6001 - ADMINISTRATIVE SALARIES</v>
      </c>
      <c r="C71" s="11"/>
      <c r="D71" s="7">
        <v>5357.43</v>
      </c>
      <c r="E71" s="2"/>
      <c r="F71" s="6">
        <f t="shared" si="22"/>
        <v>5.878684165736444E-3</v>
      </c>
      <c r="G71" s="2"/>
      <c r="H71" s="7">
        <v>5174.7596153846198</v>
      </c>
      <c r="I71" s="2"/>
      <c r="J71" s="6">
        <f t="shared" si="23"/>
        <v>2.3769147065440168E-3</v>
      </c>
      <c r="K71" s="2"/>
      <c r="L71" s="7">
        <f t="shared" si="24"/>
        <v>182.6703846153805</v>
      </c>
      <c r="M71" s="2"/>
      <c r="N71" s="6">
        <f t="shared" si="25"/>
        <v>3.5300264783759104E-2</v>
      </c>
      <c r="O71" s="11"/>
      <c r="P71" s="7">
        <v>33692.199999999997</v>
      </c>
      <c r="Q71" s="2"/>
      <c r="R71" s="6">
        <f t="shared" si="26"/>
        <v>6.0825998727651581E-3</v>
      </c>
      <c r="S71" s="2"/>
      <c r="T71" s="7">
        <v>32083.509615384599</v>
      </c>
      <c r="U71" s="2"/>
      <c r="V71" s="6">
        <f t="shared" si="27"/>
        <v>3.8569768258538968E-3</v>
      </c>
      <c r="W71" s="2"/>
      <c r="X71" s="7">
        <f t="shared" si="28"/>
        <v>1608.6903846153982</v>
      </c>
      <c r="Y71" s="2"/>
      <c r="Z71" s="6">
        <f t="shared" si="29"/>
        <v>5.0140723502518671E-2</v>
      </c>
    </row>
    <row r="72" spans="1:26" s="24" customFormat="1" hidden="1" outlineLevel="2" x14ac:dyDescent="0.3">
      <c r="A72" s="27"/>
      <c r="B72" s="11" t="str">
        <f>CONCATENATE("          ", "6002", " - ", "STAFF SALARIES")</f>
        <v xml:space="preserve">          6002 - STAFF SALARIES</v>
      </c>
      <c r="C72" s="11"/>
      <c r="D72" s="7">
        <v>65089.16</v>
      </c>
      <c r="E72" s="2"/>
      <c r="F72" s="6">
        <f t="shared" si="22"/>
        <v>7.1422046438886916E-2</v>
      </c>
      <c r="G72" s="2"/>
      <c r="H72" s="7">
        <v>52875.7939667596</v>
      </c>
      <c r="I72" s="2"/>
      <c r="J72" s="6">
        <f t="shared" si="23"/>
        <v>2.428736050388321E-2</v>
      </c>
      <c r="K72" s="2"/>
      <c r="L72" s="7">
        <f t="shared" si="24"/>
        <v>12213.366033240403</v>
      </c>
      <c r="M72" s="2"/>
      <c r="N72" s="6">
        <f t="shared" si="25"/>
        <v>0.23098217760887607</v>
      </c>
      <c r="O72" s="11"/>
      <c r="P72" s="7">
        <v>418281.17</v>
      </c>
      <c r="Q72" s="2"/>
      <c r="R72" s="6">
        <f t="shared" si="26"/>
        <v>7.5514124676395761E-2</v>
      </c>
      <c r="S72" s="2"/>
      <c r="T72" s="7">
        <v>345794.50913237099</v>
      </c>
      <c r="U72" s="2"/>
      <c r="V72" s="6">
        <f t="shared" si="27"/>
        <v>4.1570308991119104E-2</v>
      </c>
      <c r="W72" s="2"/>
      <c r="X72" s="7">
        <f t="shared" si="28"/>
        <v>72486.660867628991</v>
      </c>
      <c r="Y72" s="2"/>
      <c r="Z72" s="6">
        <f t="shared" si="29"/>
        <v>0.20962351614403721</v>
      </c>
    </row>
    <row r="73" spans="1:26" s="24" customFormat="1" hidden="1" outlineLevel="2" x14ac:dyDescent="0.3">
      <c r="A73" s="27"/>
      <c r="B73" s="11" t="str">
        <f>CONCATENATE("          ", "6003", " - ", "STAFF HOURLY-9 MONTH")</f>
        <v xml:space="preserve">          6003 - STAFF HOURLY-9 MONTH</v>
      </c>
      <c r="C73" s="11"/>
      <c r="D73" s="7"/>
      <c r="E73" s="2"/>
      <c r="F73" s="6">
        <f t="shared" si="22"/>
        <v>0</v>
      </c>
      <c r="G73" s="2"/>
      <c r="H73" s="7">
        <v>0</v>
      </c>
      <c r="I73" s="2"/>
      <c r="J73" s="6">
        <f t="shared" si="23"/>
        <v>0</v>
      </c>
      <c r="K73" s="2"/>
      <c r="L73" s="7">
        <f t="shared" si="24"/>
        <v>0</v>
      </c>
      <c r="M73" s="2"/>
      <c r="N73" s="6">
        <f t="shared" si="25"/>
        <v>0</v>
      </c>
      <c r="O73" s="11"/>
      <c r="P73" s="7"/>
      <c r="Q73" s="2"/>
      <c r="R73" s="6">
        <f t="shared" si="26"/>
        <v>0</v>
      </c>
      <c r="S73" s="2"/>
      <c r="T73" s="7">
        <v>0</v>
      </c>
      <c r="U73" s="2"/>
      <c r="V73" s="6">
        <f t="shared" si="27"/>
        <v>0</v>
      </c>
      <c r="W73" s="2"/>
      <c r="X73" s="7">
        <f t="shared" si="28"/>
        <v>0</v>
      </c>
      <c r="Y73" s="2"/>
      <c r="Z73" s="6">
        <f t="shared" si="29"/>
        <v>0</v>
      </c>
    </row>
    <row r="74" spans="1:26" s="24" customFormat="1" hidden="1" outlineLevel="2" x14ac:dyDescent="0.3">
      <c r="A74" s="27"/>
      <c r="B74" s="11" t="str">
        <f>CONCATENATE("          ", "6004", " - ", "STAFF HOURLY")</f>
        <v xml:space="preserve">          6004 - STAFF HOURLY</v>
      </c>
      <c r="C74" s="11"/>
      <c r="D74" s="7">
        <v>24469.11</v>
      </c>
      <c r="E74" s="2"/>
      <c r="F74" s="6">
        <f t="shared" si="22"/>
        <v>2.6849845822841039E-2</v>
      </c>
      <c r="G74" s="2"/>
      <c r="H74" s="7">
        <v>49619.341959999998</v>
      </c>
      <c r="I74" s="2"/>
      <c r="J74" s="6">
        <f t="shared" si="23"/>
        <v>2.2791579203625387E-2</v>
      </c>
      <c r="K74" s="2"/>
      <c r="L74" s="7">
        <f t="shared" si="24"/>
        <v>-25150.231959999997</v>
      </c>
      <c r="M74" s="2"/>
      <c r="N74" s="6">
        <f t="shared" si="25"/>
        <v>-0.50686347231840634</v>
      </c>
      <c r="O74" s="11"/>
      <c r="P74" s="7">
        <v>174685.7</v>
      </c>
      <c r="Q74" s="2"/>
      <c r="R74" s="6">
        <f t="shared" si="26"/>
        <v>3.1536771614613844E-2</v>
      </c>
      <c r="S74" s="2"/>
      <c r="T74" s="7">
        <v>292039.21795199998</v>
      </c>
      <c r="U74" s="2"/>
      <c r="V74" s="6">
        <f t="shared" si="27"/>
        <v>3.5108019957431229E-2</v>
      </c>
      <c r="W74" s="2"/>
      <c r="X74" s="7">
        <f t="shared" si="28"/>
        <v>-117353.51795199997</v>
      </c>
      <c r="Y74" s="2"/>
      <c r="Z74" s="6">
        <f t="shared" si="29"/>
        <v>-0.40184163885580726</v>
      </c>
    </row>
    <row r="75" spans="1:26" s="24" customFormat="1" hidden="1" outlineLevel="2" x14ac:dyDescent="0.3">
      <c r="A75" s="27"/>
      <c r="B75" s="11" t="str">
        <f>CONCATENATE("          ", "6005", " - ", "TEMPORARY WAGES-HOURLY")</f>
        <v xml:space="preserve">          6005 - TEMPORARY WAGES-HOURLY</v>
      </c>
      <c r="C75" s="11"/>
      <c r="D75" s="7">
        <v>8438.68</v>
      </c>
      <c r="E75" s="2"/>
      <c r="F75" s="6">
        <f t="shared" si="22"/>
        <v>9.2597261178805537E-3</v>
      </c>
      <c r="G75" s="2"/>
      <c r="H75" s="7">
        <v>3009.34</v>
      </c>
      <c r="I75" s="2"/>
      <c r="J75" s="6">
        <f t="shared" si="23"/>
        <v>1.3822757064357899E-3</v>
      </c>
      <c r="K75" s="2"/>
      <c r="L75" s="7">
        <f t="shared" si="24"/>
        <v>5429.34</v>
      </c>
      <c r="M75" s="2"/>
      <c r="N75" s="6">
        <f t="shared" si="25"/>
        <v>1.8041630390716901</v>
      </c>
      <c r="O75" s="11"/>
      <c r="P75" s="7">
        <v>68165.259999999995</v>
      </c>
      <c r="Q75" s="2"/>
      <c r="R75" s="6">
        <f t="shared" si="26"/>
        <v>1.2306171808400873E-2</v>
      </c>
      <c r="S75" s="2"/>
      <c r="T75" s="7">
        <v>25378.34</v>
      </c>
      <c r="U75" s="2"/>
      <c r="V75" s="6">
        <f t="shared" si="27"/>
        <v>3.0509027981061045E-3</v>
      </c>
      <c r="W75" s="2"/>
      <c r="X75" s="7">
        <f t="shared" si="28"/>
        <v>42786.92</v>
      </c>
      <c r="Y75" s="2"/>
      <c r="Z75" s="6">
        <f t="shared" si="29"/>
        <v>1.6859621236061932</v>
      </c>
    </row>
    <row r="76" spans="1:26" s="24" customFormat="1" hidden="1" outlineLevel="2" x14ac:dyDescent="0.3">
      <c r="A76" s="27"/>
      <c r="B76" s="11" t="str">
        <f>CONCATENATE("          ", "6006", " - ", "TEMPORARY PART TIME")</f>
        <v xml:space="preserve">          6006 - TEMPORARY PART TIME</v>
      </c>
      <c r="C76" s="11"/>
      <c r="D76" s="7">
        <v>2092.35</v>
      </c>
      <c r="E76" s="2"/>
      <c r="F76" s="6">
        <f t="shared" si="22"/>
        <v>2.2959263703265648E-3</v>
      </c>
      <c r="G76" s="2"/>
      <c r="H76" s="7">
        <v>0</v>
      </c>
      <c r="I76" s="2"/>
      <c r="J76" s="6">
        <f t="shared" si="23"/>
        <v>0</v>
      </c>
      <c r="K76" s="2"/>
      <c r="L76" s="7">
        <f t="shared" si="24"/>
        <v>2092.35</v>
      </c>
      <c r="M76" s="2"/>
      <c r="N76" s="6">
        <f t="shared" si="25"/>
        <v>0</v>
      </c>
      <c r="O76" s="11"/>
      <c r="P76" s="7">
        <v>11969.97</v>
      </c>
      <c r="Q76" s="2"/>
      <c r="R76" s="6">
        <f t="shared" si="26"/>
        <v>2.1609909118134986E-3</v>
      </c>
      <c r="S76" s="2"/>
      <c r="T76" s="7">
        <v>0</v>
      </c>
      <c r="U76" s="2"/>
      <c r="V76" s="6">
        <f t="shared" si="27"/>
        <v>0</v>
      </c>
      <c r="W76" s="2"/>
      <c r="X76" s="7">
        <f t="shared" si="28"/>
        <v>11969.97</v>
      </c>
      <c r="Y76" s="2"/>
      <c r="Z76" s="6">
        <f t="shared" si="29"/>
        <v>0</v>
      </c>
    </row>
    <row r="77" spans="1:26" s="24" customFormat="1" hidden="1" outlineLevel="2" x14ac:dyDescent="0.3">
      <c r="A77" s="27"/>
      <c r="B77" s="11" t="str">
        <f>CONCATENATE("          ", "6007", " - ", "STUDENT HOURLY")</f>
        <v xml:space="preserve">          6007 - STUDENT HOURLY</v>
      </c>
      <c r="C77" s="11"/>
      <c r="D77" s="7">
        <v>93822.85</v>
      </c>
      <c r="E77" s="2"/>
      <c r="F77" s="6">
        <f t="shared" si="22"/>
        <v>0.10295139697191853</v>
      </c>
      <c r="G77" s="2"/>
      <c r="H77" s="7">
        <v>50998.61</v>
      </c>
      <c r="I77" s="2"/>
      <c r="J77" s="6">
        <f t="shared" si="23"/>
        <v>2.342511635939885E-2</v>
      </c>
      <c r="K77" s="2"/>
      <c r="L77" s="7">
        <f t="shared" si="24"/>
        <v>42824.240000000005</v>
      </c>
      <c r="M77" s="2"/>
      <c r="N77" s="6">
        <f t="shared" si="25"/>
        <v>0.83971386671126924</v>
      </c>
      <c r="O77" s="11"/>
      <c r="P77" s="7">
        <v>444207.6</v>
      </c>
      <c r="Q77" s="2"/>
      <c r="R77" s="6">
        <f t="shared" si="26"/>
        <v>8.0194736207232414E-2</v>
      </c>
      <c r="S77" s="2"/>
      <c r="T77" s="7">
        <v>276159.09000000003</v>
      </c>
      <c r="U77" s="2"/>
      <c r="V77" s="6">
        <f t="shared" si="27"/>
        <v>3.3198961807724053E-2</v>
      </c>
      <c r="W77" s="2"/>
      <c r="X77" s="7">
        <f t="shared" si="28"/>
        <v>168048.50999999995</v>
      </c>
      <c r="Y77" s="2"/>
      <c r="Z77" s="6">
        <f t="shared" si="29"/>
        <v>0.60852065380140097</v>
      </c>
    </row>
    <row r="78" spans="1:26" s="24" customFormat="1" hidden="1" outlineLevel="2" x14ac:dyDescent="0.3">
      <c r="A78" s="27"/>
      <c r="B78" s="11" t="str">
        <f>CONCATENATE("          ", "6008", " - ", "STUDENT HOURLY-FICA EXEMPT")</f>
        <v xml:space="preserve">          6008 - STUDENT HOURLY-FICA EXEMPT</v>
      </c>
      <c r="C78" s="11"/>
      <c r="D78" s="7">
        <v>5658.94</v>
      </c>
      <c r="E78" s="2"/>
      <c r="F78" s="6">
        <f t="shared" si="22"/>
        <v>6.2095297508045063E-3</v>
      </c>
      <c r="G78" s="2"/>
      <c r="H78" s="7">
        <v>112024.409525</v>
      </c>
      <c r="I78" s="2"/>
      <c r="J78" s="6">
        <f t="shared" si="23"/>
        <v>5.1456006903248412E-2</v>
      </c>
      <c r="K78" s="2"/>
      <c r="L78" s="7">
        <f t="shared" si="24"/>
        <v>-106365.46952499999</v>
      </c>
      <c r="M78" s="2"/>
      <c r="N78" s="6">
        <f t="shared" si="25"/>
        <v>-0.94948475940203803</v>
      </c>
      <c r="O78" s="11"/>
      <c r="P78" s="7">
        <v>69096.91</v>
      </c>
      <c r="Q78" s="2"/>
      <c r="R78" s="6">
        <f t="shared" si="26"/>
        <v>1.2474366647902649E-2</v>
      </c>
      <c r="S78" s="2"/>
      <c r="T78" s="7">
        <v>392530.134525</v>
      </c>
      <c r="U78" s="2"/>
      <c r="V78" s="6">
        <f t="shared" si="27"/>
        <v>4.7188716273928399E-2</v>
      </c>
      <c r="W78" s="2"/>
      <c r="X78" s="7">
        <f t="shared" si="28"/>
        <v>-323433.22452499997</v>
      </c>
      <c r="Y78" s="2"/>
      <c r="Z78" s="6">
        <f t="shared" si="29"/>
        <v>-0.82397043201889686</v>
      </c>
    </row>
    <row r="79" spans="1:26" s="24" customFormat="1" hidden="1" outlineLevel="2" x14ac:dyDescent="0.3">
      <c r="A79" s="27"/>
      <c r="B79" s="11" t="str">
        <f>CONCATENATE("          ", "6009", " - ", "TEMPORARY-SEASONAL")</f>
        <v xml:space="preserve">          6009 - TEMPORARY-SEASONAL</v>
      </c>
      <c r="C79" s="11"/>
      <c r="D79" s="7"/>
      <c r="E79" s="2"/>
      <c r="F79" s="6">
        <f t="shared" si="22"/>
        <v>0</v>
      </c>
      <c r="G79" s="2"/>
      <c r="H79" s="7">
        <v>0</v>
      </c>
      <c r="I79" s="2"/>
      <c r="J79" s="6">
        <f t="shared" si="23"/>
        <v>0</v>
      </c>
      <c r="K79" s="2"/>
      <c r="L79" s="7">
        <f t="shared" si="24"/>
        <v>0</v>
      </c>
      <c r="M79" s="2"/>
      <c r="N79" s="6">
        <f t="shared" si="25"/>
        <v>0</v>
      </c>
      <c r="O79" s="11"/>
      <c r="P79" s="7"/>
      <c r="Q79" s="2"/>
      <c r="R79" s="6">
        <f t="shared" si="26"/>
        <v>0</v>
      </c>
      <c r="S79" s="2"/>
      <c r="T79" s="7">
        <v>0</v>
      </c>
      <c r="U79" s="2"/>
      <c r="V79" s="6">
        <f t="shared" si="27"/>
        <v>0</v>
      </c>
      <c r="W79" s="2"/>
      <c r="X79" s="7">
        <f t="shared" si="28"/>
        <v>0</v>
      </c>
      <c r="Y79" s="2"/>
      <c r="Z79" s="6">
        <f t="shared" si="29"/>
        <v>0</v>
      </c>
    </row>
    <row r="80" spans="1:26" s="24" customFormat="1" hidden="1" outlineLevel="2" x14ac:dyDescent="0.3">
      <c r="A80" s="27"/>
      <c r="B80" s="11" t="str">
        <f>CONCATENATE("          ", "6010", " - ", "GRATUITY")</f>
        <v xml:space="preserve">          6010 - GRATUITY</v>
      </c>
      <c r="C80" s="11"/>
      <c r="D80" s="7"/>
      <c r="E80" s="2"/>
      <c r="F80" s="6">
        <f t="shared" si="22"/>
        <v>0</v>
      </c>
      <c r="G80" s="2"/>
      <c r="H80" s="7">
        <v>0</v>
      </c>
      <c r="I80" s="2"/>
      <c r="J80" s="6">
        <f t="shared" si="23"/>
        <v>0</v>
      </c>
      <c r="K80" s="2"/>
      <c r="L80" s="7">
        <f t="shared" si="24"/>
        <v>0</v>
      </c>
      <c r="M80" s="2"/>
      <c r="N80" s="6">
        <f t="shared" si="25"/>
        <v>0</v>
      </c>
      <c r="O80" s="11"/>
      <c r="P80" s="7"/>
      <c r="Q80" s="2"/>
      <c r="R80" s="6">
        <f t="shared" si="26"/>
        <v>0</v>
      </c>
      <c r="S80" s="2"/>
      <c r="T80" s="7">
        <v>0</v>
      </c>
      <c r="U80" s="2"/>
      <c r="V80" s="6">
        <f t="shared" si="27"/>
        <v>0</v>
      </c>
      <c r="W80" s="2"/>
      <c r="X80" s="7">
        <f t="shared" si="28"/>
        <v>0</v>
      </c>
      <c r="Y80" s="2"/>
      <c r="Z80" s="6">
        <f t="shared" si="29"/>
        <v>0</v>
      </c>
    </row>
    <row r="81" spans="1:26" s="28" customFormat="1" outlineLevel="1" collapsed="1" x14ac:dyDescent="0.3">
      <c r="A81" s="29"/>
      <c r="B81" s="14" t="str">
        <f>CONCATENATE("     ","Advertising/Promo                                 ")</f>
        <v xml:space="preserve">     Advertising/Promo                                 </v>
      </c>
      <c r="C81" s="14"/>
      <c r="D81" s="1">
        <f>SUM(OSRRefD22_2x_0)</f>
        <v>750.91</v>
      </c>
      <c r="E81" s="1"/>
      <c r="F81" s="5">
        <f t="shared" ref="F81:F89" si="30">IF(D$12=0,0,D81/D$12)</f>
        <v>8.2397021088341852E-4</v>
      </c>
      <c r="G81" s="1"/>
      <c r="H81" s="1">
        <f>SUM(OSRRefH22_2x_0)</f>
        <v>800</v>
      </c>
      <c r="I81" s="1"/>
      <c r="J81" s="5">
        <f t="shared" ref="J81:J89" si="31">IF(H$12=0,0,H81/H$12)</f>
        <v>3.6746282080078415E-4</v>
      </c>
      <c r="K81" s="1"/>
      <c r="L81" s="1">
        <f t="shared" ref="L81:L89" si="32">+D81-H81</f>
        <v>-49.090000000000032</v>
      </c>
      <c r="M81" s="1"/>
      <c r="N81" s="5">
        <f t="shared" ref="N81:N89" si="33">IF(H81=0,0,L81/H81)</f>
        <v>-6.1362500000000042E-2</v>
      </c>
      <c r="O81" s="14"/>
      <c r="P81" s="1">
        <f>SUM(OSRRefP22_2x_0)</f>
        <v>6424.03</v>
      </c>
      <c r="Q81" s="1"/>
      <c r="R81" s="5">
        <f t="shared" ref="R81:R89" si="34">IF(P$12=0,0,P81/P$12)</f>
        <v>1.1597581654103786E-3</v>
      </c>
      <c r="S81" s="1"/>
      <c r="T81" s="1">
        <f>SUM(OSRRefT22_2x_0)</f>
        <v>6900</v>
      </c>
      <c r="U81" s="1"/>
      <c r="V81" s="5">
        <f t="shared" ref="V81:V89" si="35">IF(T$12=0,0,T81/T$12)</f>
        <v>8.2949591292937682E-4</v>
      </c>
      <c r="W81" s="1"/>
      <c r="X81" s="1">
        <f t="shared" ref="X81:X89" si="36">+P81-T81</f>
        <v>-475.97000000000025</v>
      </c>
      <c r="Y81" s="1"/>
      <c r="Z81" s="5">
        <f t="shared" ref="Z81:Z89" si="37">IF(T81=0,0,X81/T81)</f>
        <v>-6.8981159420289886E-2</v>
      </c>
    </row>
    <row r="82" spans="1:26" s="24" customFormat="1" hidden="1" outlineLevel="2" x14ac:dyDescent="0.3">
      <c r="A82" s="27"/>
      <c r="B82" s="11" t="str">
        <f>CONCATENATE("          ", "6362", " - ", "ADVERTISING EXPENSE")</f>
        <v xml:space="preserve">          6362 - ADVERTISING EXPENSE</v>
      </c>
      <c r="C82" s="11"/>
      <c r="D82" s="7">
        <v>750.91</v>
      </c>
      <c r="E82" s="2"/>
      <c r="F82" s="6">
        <f t="shared" si="30"/>
        <v>8.2397021088341852E-4</v>
      </c>
      <c r="G82" s="2"/>
      <c r="H82" s="7">
        <v>800</v>
      </c>
      <c r="I82" s="2"/>
      <c r="J82" s="6">
        <f t="shared" si="31"/>
        <v>3.6746282080078415E-4</v>
      </c>
      <c r="K82" s="2"/>
      <c r="L82" s="7">
        <f t="shared" si="32"/>
        <v>-49.090000000000032</v>
      </c>
      <c r="M82" s="2"/>
      <c r="N82" s="6">
        <f t="shared" si="33"/>
        <v>-6.1362500000000042E-2</v>
      </c>
      <c r="O82" s="11"/>
      <c r="P82" s="7">
        <v>6424.03</v>
      </c>
      <c r="Q82" s="2"/>
      <c r="R82" s="6">
        <f t="shared" si="34"/>
        <v>1.1597581654103786E-3</v>
      </c>
      <c r="S82" s="2"/>
      <c r="T82" s="7">
        <v>6900</v>
      </c>
      <c r="U82" s="2"/>
      <c r="V82" s="6">
        <f t="shared" si="35"/>
        <v>8.2949591292937682E-4</v>
      </c>
      <c r="W82" s="2"/>
      <c r="X82" s="7">
        <f t="shared" si="36"/>
        <v>-475.97000000000025</v>
      </c>
      <c r="Y82" s="2"/>
      <c r="Z82" s="6">
        <f t="shared" si="37"/>
        <v>-6.8981159420289886E-2</v>
      </c>
    </row>
    <row r="83" spans="1:26" s="28" customFormat="1" outlineLevel="1" collapsed="1" x14ac:dyDescent="0.3">
      <c r="A83" s="29"/>
      <c r="B83" s="14" t="str">
        <f>CONCATENATE("     ","Bad Debts/Over/Short                              ")</f>
        <v xml:space="preserve">     Bad Debts/Over/Short                              </v>
      </c>
      <c r="C83" s="14"/>
      <c r="D83" s="1">
        <f>SUM(OSRRefD22_3x_0)</f>
        <v>-2.2799999999999998</v>
      </c>
      <c r="E83" s="1"/>
      <c r="F83" s="5">
        <f t="shared" si="30"/>
        <v>-2.5018338826413206E-6</v>
      </c>
      <c r="G83" s="1"/>
      <c r="H83" s="1">
        <f>SUM(OSRRefH22_3x_0)</f>
        <v>235</v>
      </c>
      <c r="I83" s="1"/>
      <c r="J83" s="5">
        <f t="shared" si="31"/>
        <v>1.0794220361023035E-4</v>
      </c>
      <c r="K83" s="1"/>
      <c r="L83" s="1">
        <f t="shared" si="32"/>
        <v>-237.28</v>
      </c>
      <c r="M83" s="1"/>
      <c r="N83" s="5">
        <f t="shared" si="33"/>
        <v>-1.0097021276595746</v>
      </c>
      <c r="O83" s="14"/>
      <c r="P83" s="1">
        <f>SUM(OSRRefP22_3x_0)</f>
        <v>150.78</v>
      </c>
      <c r="Q83" s="1"/>
      <c r="R83" s="5">
        <f t="shared" si="34"/>
        <v>2.7220971287583789E-5</v>
      </c>
      <c r="S83" s="1"/>
      <c r="T83" s="1">
        <f>SUM(OSRRefT22_3x_0)</f>
        <v>1645</v>
      </c>
      <c r="U83" s="1"/>
      <c r="V83" s="5">
        <f t="shared" si="35"/>
        <v>1.9775663431432244E-4</v>
      </c>
      <c r="W83" s="1"/>
      <c r="X83" s="1">
        <f t="shared" si="36"/>
        <v>-1494.22</v>
      </c>
      <c r="Y83" s="1"/>
      <c r="Z83" s="5">
        <f t="shared" si="37"/>
        <v>-0.90834042553191496</v>
      </c>
    </row>
    <row r="84" spans="1:26" s="24" customFormat="1" hidden="1" outlineLevel="2" x14ac:dyDescent="0.3">
      <c r="A84" s="27"/>
      <c r="B84" s="11" t="str">
        <f>CONCATENATE("          ", "6272", " - ", "CASH (OVER/SHORT)")</f>
        <v xml:space="preserve">          6272 - CASH (OVER/SHORT)</v>
      </c>
      <c r="C84" s="11"/>
      <c r="D84" s="7">
        <v>-2.2799999999999998</v>
      </c>
      <c r="E84" s="2"/>
      <c r="F84" s="6">
        <f t="shared" si="30"/>
        <v>-2.5018338826413206E-6</v>
      </c>
      <c r="G84" s="2"/>
      <c r="H84" s="7">
        <v>235</v>
      </c>
      <c r="I84" s="2"/>
      <c r="J84" s="6">
        <f t="shared" si="31"/>
        <v>1.0794220361023035E-4</v>
      </c>
      <c r="K84" s="2"/>
      <c r="L84" s="7">
        <f t="shared" si="32"/>
        <v>-237.28</v>
      </c>
      <c r="M84" s="2"/>
      <c r="N84" s="6">
        <f t="shared" si="33"/>
        <v>-1.0097021276595746</v>
      </c>
      <c r="O84" s="11"/>
      <c r="P84" s="7">
        <v>150.78</v>
      </c>
      <c r="Q84" s="2"/>
      <c r="R84" s="6">
        <f t="shared" si="34"/>
        <v>2.7220971287583789E-5</v>
      </c>
      <c r="S84" s="2"/>
      <c r="T84" s="7">
        <v>1645</v>
      </c>
      <c r="U84" s="2"/>
      <c r="V84" s="6">
        <f t="shared" si="35"/>
        <v>1.9775663431432244E-4</v>
      </c>
      <c r="W84" s="2"/>
      <c r="X84" s="7">
        <f t="shared" si="36"/>
        <v>-1494.22</v>
      </c>
      <c r="Y84" s="2"/>
      <c r="Z84" s="6">
        <f t="shared" si="37"/>
        <v>-0.90834042553191496</v>
      </c>
    </row>
    <row r="85" spans="1:26" s="28" customFormat="1" outlineLevel="1" collapsed="1" x14ac:dyDescent="0.3">
      <c r="A85" s="29"/>
      <c r="B85" s="14" t="str">
        <f>CONCATENATE("     ","Bank/card Fees                                    ")</f>
        <v xml:space="preserve">     Bank/card Fees                                    </v>
      </c>
      <c r="C85" s="14"/>
      <c r="D85" s="1">
        <f>SUM(OSRRefD22_4x_0)</f>
        <v>12256.54</v>
      </c>
      <c r="E85" s="1"/>
      <c r="F85" s="5">
        <f t="shared" si="30"/>
        <v>1.3449046954363445E-2</v>
      </c>
      <c r="G85" s="1"/>
      <c r="H85" s="1">
        <f>SUM(OSRRefH22_4x_0)</f>
        <v>35405</v>
      </c>
      <c r="I85" s="1"/>
      <c r="J85" s="5">
        <f t="shared" si="31"/>
        <v>1.6262526463064704E-2</v>
      </c>
      <c r="K85" s="1"/>
      <c r="L85" s="1">
        <f t="shared" si="32"/>
        <v>-23148.46</v>
      </c>
      <c r="M85" s="1"/>
      <c r="N85" s="5">
        <f t="shared" si="33"/>
        <v>-0.65381895212540597</v>
      </c>
      <c r="O85" s="14"/>
      <c r="P85" s="1">
        <f>SUM(OSRRefP22_4x_0)</f>
        <v>79623.13</v>
      </c>
      <c r="Q85" s="1"/>
      <c r="R85" s="5">
        <f t="shared" si="34"/>
        <v>1.437471107280509E-2</v>
      </c>
      <c r="S85" s="1"/>
      <c r="T85" s="1">
        <f>SUM(OSRRefT22_4x_0)</f>
        <v>135982</v>
      </c>
      <c r="U85" s="1"/>
      <c r="V85" s="5">
        <f t="shared" si="35"/>
        <v>1.6347320758255436E-2</v>
      </c>
      <c r="W85" s="1"/>
      <c r="X85" s="1">
        <f t="shared" si="36"/>
        <v>-56358.869999999995</v>
      </c>
      <c r="Y85" s="1"/>
      <c r="Z85" s="5">
        <f t="shared" si="37"/>
        <v>-0.41445831065876365</v>
      </c>
    </row>
    <row r="86" spans="1:26" s="24" customFormat="1" hidden="1" outlineLevel="2" x14ac:dyDescent="0.3">
      <c r="A86" s="27"/>
      <c r="B86" s="11" t="str">
        <f>CONCATENATE("          ", "6381", " - ", "BANK/CREDIT CARD FEES")</f>
        <v xml:space="preserve">          6381 - BANK/CREDIT CARD FEES</v>
      </c>
      <c r="C86" s="11"/>
      <c r="D86" s="7">
        <v>12256.54</v>
      </c>
      <c r="E86" s="2"/>
      <c r="F86" s="6">
        <f t="shared" si="30"/>
        <v>1.3449046954363445E-2</v>
      </c>
      <c r="G86" s="2"/>
      <c r="H86" s="7">
        <v>35405</v>
      </c>
      <c r="I86" s="2"/>
      <c r="J86" s="6">
        <f t="shared" si="31"/>
        <v>1.6262526463064704E-2</v>
      </c>
      <c r="K86" s="2"/>
      <c r="L86" s="7">
        <f t="shared" si="32"/>
        <v>-23148.46</v>
      </c>
      <c r="M86" s="2"/>
      <c r="N86" s="6">
        <f t="shared" si="33"/>
        <v>-0.65381895212540597</v>
      </c>
      <c r="O86" s="11"/>
      <c r="P86" s="7">
        <v>79623.13</v>
      </c>
      <c r="Q86" s="2"/>
      <c r="R86" s="6">
        <f t="shared" si="34"/>
        <v>1.437471107280509E-2</v>
      </c>
      <c r="S86" s="2"/>
      <c r="T86" s="7">
        <v>135982</v>
      </c>
      <c r="U86" s="2"/>
      <c r="V86" s="6">
        <f t="shared" si="35"/>
        <v>1.6347320758255436E-2</v>
      </c>
      <c r="W86" s="2"/>
      <c r="X86" s="7">
        <f t="shared" si="36"/>
        <v>-56358.869999999995</v>
      </c>
      <c r="Y86" s="2"/>
      <c r="Z86" s="6">
        <f t="shared" si="37"/>
        <v>-0.41445831065876365</v>
      </c>
    </row>
    <row r="87" spans="1:26" s="28" customFormat="1" outlineLevel="1" collapsed="1" x14ac:dyDescent="0.3">
      <c r="A87" s="29"/>
      <c r="B87" s="14" t="str">
        <f>CONCATENATE("     ","Depreciation                                      ")</f>
        <v xml:space="preserve">     Depreciation                                      </v>
      </c>
      <c r="C87" s="14"/>
      <c r="D87" s="1">
        <f>SUM(OSRRefD22_5x_0)</f>
        <v>28630.370000000003</v>
      </c>
      <c r="E87" s="1"/>
      <c r="F87" s="5">
        <f t="shared" si="30"/>
        <v>3.1415977955507719E-2</v>
      </c>
      <c r="G87" s="1"/>
      <c r="H87" s="1">
        <f>SUM(OSRRefH22_5x_0)</f>
        <v>28229</v>
      </c>
      <c r="I87" s="1"/>
      <c r="J87" s="5">
        <f t="shared" si="31"/>
        <v>1.2966384960481671E-2</v>
      </c>
      <c r="K87" s="1"/>
      <c r="L87" s="1">
        <f t="shared" si="32"/>
        <v>401.37000000000262</v>
      </c>
      <c r="M87" s="1"/>
      <c r="N87" s="5">
        <f t="shared" si="33"/>
        <v>1.421835700874996E-2</v>
      </c>
      <c r="O87" s="14"/>
      <c r="P87" s="1">
        <f>SUM(OSRRefP22_5x_0)</f>
        <v>214319.6</v>
      </c>
      <c r="Q87" s="1"/>
      <c r="R87" s="5">
        <f t="shared" si="34"/>
        <v>3.8692052513373411E-2</v>
      </c>
      <c r="S87" s="1"/>
      <c r="T87" s="1">
        <f>SUM(OSRRefT22_5x_0)</f>
        <v>211510</v>
      </c>
      <c r="U87" s="1"/>
      <c r="V87" s="5">
        <f t="shared" si="35"/>
        <v>2.5427055151259783E-2</v>
      </c>
      <c r="W87" s="1"/>
      <c r="X87" s="1">
        <f t="shared" si="36"/>
        <v>2809.6000000000058</v>
      </c>
      <c r="Y87" s="1"/>
      <c r="Z87" s="5">
        <f t="shared" si="37"/>
        <v>1.3283532693489697E-2</v>
      </c>
    </row>
    <row r="88" spans="1:26" s="24" customFormat="1" hidden="1" outlineLevel="2" x14ac:dyDescent="0.3">
      <c r="A88" s="27"/>
      <c r="B88" s="11" t="str">
        <f>CONCATENATE("          ", "6321", " - ", "BUILDING DEPRECIATION")</f>
        <v xml:space="preserve">          6321 - BUILDING DEPRECIATION</v>
      </c>
      <c r="C88" s="11"/>
      <c r="D88" s="7">
        <v>14131.6</v>
      </c>
      <c r="E88" s="2"/>
      <c r="F88" s="6">
        <f t="shared" si="30"/>
        <v>1.5506541971900916E-2</v>
      </c>
      <c r="G88" s="2"/>
      <c r="H88" s="7"/>
      <c r="I88" s="2"/>
      <c r="J88" s="6">
        <f t="shared" si="31"/>
        <v>0</v>
      </c>
      <c r="K88" s="2"/>
      <c r="L88" s="7">
        <f t="shared" si="32"/>
        <v>14131.6</v>
      </c>
      <c r="M88" s="2"/>
      <c r="N88" s="6">
        <f t="shared" si="33"/>
        <v>0</v>
      </c>
      <c r="O88" s="11"/>
      <c r="P88" s="7">
        <v>112510.71</v>
      </c>
      <c r="Q88" s="2"/>
      <c r="R88" s="6">
        <f t="shared" si="34"/>
        <v>2.0312049386229384E-2</v>
      </c>
      <c r="S88" s="2"/>
      <c r="T88" s="7"/>
      <c r="U88" s="2"/>
      <c r="V88" s="6">
        <f t="shared" si="35"/>
        <v>0</v>
      </c>
      <c r="W88" s="2"/>
      <c r="X88" s="7">
        <f t="shared" si="36"/>
        <v>112510.71</v>
      </c>
      <c r="Y88" s="2"/>
      <c r="Z88" s="6">
        <f t="shared" si="37"/>
        <v>0</v>
      </c>
    </row>
    <row r="89" spans="1:26" s="24" customFormat="1" hidden="1" outlineLevel="2" x14ac:dyDescent="0.3">
      <c r="A89" s="27"/>
      <c r="B89" s="11" t="str">
        <f>CONCATENATE("          ", "6322", " - ", "EQUIPMENT DEPRECIATION EXPENSE")</f>
        <v xml:space="preserve">          6322 - EQUIPMENT DEPRECIATION EXPENSE</v>
      </c>
      <c r="C89" s="11"/>
      <c r="D89" s="7">
        <v>14498.77</v>
      </c>
      <c r="E89" s="2"/>
      <c r="F89" s="6">
        <f t="shared" si="30"/>
        <v>1.59094359836068E-2</v>
      </c>
      <c r="G89" s="2"/>
      <c r="H89" s="7">
        <v>28229</v>
      </c>
      <c r="I89" s="2"/>
      <c r="J89" s="6">
        <f t="shared" si="31"/>
        <v>1.2966384960481671E-2</v>
      </c>
      <c r="K89" s="2"/>
      <c r="L89" s="7">
        <f t="shared" si="32"/>
        <v>-13730.23</v>
      </c>
      <c r="M89" s="2"/>
      <c r="N89" s="6">
        <f t="shared" si="33"/>
        <v>-0.48638740302525768</v>
      </c>
      <c r="O89" s="11"/>
      <c r="P89" s="7">
        <v>101808.89</v>
      </c>
      <c r="Q89" s="2"/>
      <c r="R89" s="6">
        <f t="shared" si="34"/>
        <v>1.8380003127144027E-2</v>
      </c>
      <c r="S89" s="2"/>
      <c r="T89" s="7">
        <v>211510</v>
      </c>
      <c r="U89" s="2"/>
      <c r="V89" s="6">
        <f t="shared" si="35"/>
        <v>2.5427055151259783E-2</v>
      </c>
      <c r="W89" s="2"/>
      <c r="X89" s="7">
        <f t="shared" si="36"/>
        <v>-109701.11</v>
      </c>
      <c r="Y89" s="2"/>
      <c r="Z89" s="6">
        <f t="shared" si="37"/>
        <v>-0.51865684837596326</v>
      </c>
    </row>
    <row r="90" spans="1:26" s="28" customFormat="1" outlineLevel="1" collapsed="1" x14ac:dyDescent="0.3">
      <c r="A90" s="29"/>
      <c r="B90" s="14" t="str">
        <f>CONCATENATE("     ","Discounts and Markdowns                           ")</f>
        <v xml:space="preserve">     Discounts and Markdowns                           </v>
      </c>
      <c r="C90" s="14"/>
      <c r="D90" s="1">
        <f>SUM(OSRRefD22_6x_0)</f>
        <v>-1290.25</v>
      </c>
      <c r="E90" s="1"/>
      <c r="F90" s="5">
        <f t="shared" ref="F90:F92" si="38">IF(D$12=0,0,D90/D$12)</f>
        <v>-1.4157855995955983E-3</v>
      </c>
      <c r="G90" s="1"/>
      <c r="H90" s="1">
        <f>SUM(OSRRefH22_6x_0)</f>
        <v>0</v>
      </c>
      <c r="I90" s="1"/>
      <c r="J90" s="5">
        <f t="shared" ref="J90:J92" si="39">IF(H$12=0,0,H90/H$12)</f>
        <v>0</v>
      </c>
      <c r="K90" s="1"/>
      <c r="L90" s="1">
        <f t="shared" ref="L90:L92" si="40">+D90-H90</f>
        <v>-1290.25</v>
      </c>
      <c r="M90" s="1"/>
      <c r="N90" s="5">
        <f t="shared" ref="N90:N92" si="41">IF(H90=0,0,L90/H90)</f>
        <v>0</v>
      </c>
      <c r="O90" s="14"/>
      <c r="P90" s="1">
        <f>SUM(OSRRefP22_6x_0)</f>
        <v>2064.5499999999997</v>
      </c>
      <c r="Q90" s="1"/>
      <c r="R90" s="5">
        <f t="shared" ref="R90:R92" si="42">IF(P$12=0,0,P90/P$12)</f>
        <v>3.7272221960327038E-4</v>
      </c>
      <c r="S90" s="1"/>
      <c r="T90" s="1">
        <f>SUM(OSRRefT22_6x_0)</f>
        <v>0</v>
      </c>
      <c r="U90" s="1"/>
      <c r="V90" s="5">
        <f t="shared" ref="V90:V92" si="43">IF(T$12=0,0,T90/T$12)</f>
        <v>0</v>
      </c>
      <c r="W90" s="1"/>
      <c r="X90" s="1">
        <f t="shared" ref="X90:X92" si="44">+P90-T90</f>
        <v>2064.5499999999997</v>
      </c>
      <c r="Y90" s="1"/>
      <c r="Z90" s="5">
        <f t="shared" ref="Z90:Z92" si="45">IF(T90=0,0,X90/T90)</f>
        <v>0</v>
      </c>
    </row>
    <row r="91" spans="1:26" s="24" customFormat="1" hidden="1" outlineLevel="2" x14ac:dyDescent="0.3">
      <c r="A91" s="27"/>
      <c r="B91" s="11" t="str">
        <f>CONCATENATE("          ", "6382", " - ", "DISCOUNTS/MARK DOWNS")</f>
        <v xml:space="preserve">          6382 - DISCOUNTS/MARK DOWNS</v>
      </c>
      <c r="C91" s="11"/>
      <c r="D91" s="7">
        <v>-1238.6500000000001</v>
      </c>
      <c r="E91" s="2"/>
      <c r="F91" s="6">
        <f t="shared" si="38"/>
        <v>-1.3591651485674002E-3</v>
      </c>
      <c r="G91" s="2"/>
      <c r="H91" s="7"/>
      <c r="I91" s="2"/>
      <c r="J91" s="6">
        <f t="shared" si="39"/>
        <v>0</v>
      </c>
      <c r="K91" s="2"/>
      <c r="L91" s="7">
        <f t="shared" si="40"/>
        <v>-1238.6500000000001</v>
      </c>
      <c r="M91" s="2"/>
      <c r="N91" s="6">
        <f t="shared" si="41"/>
        <v>0</v>
      </c>
      <c r="O91" s="11"/>
      <c r="P91" s="7">
        <v>2171.35</v>
      </c>
      <c r="Q91" s="2"/>
      <c r="R91" s="6">
        <f t="shared" si="42"/>
        <v>3.9200328959606748E-4</v>
      </c>
      <c r="S91" s="2"/>
      <c r="T91" s="7">
        <v>0</v>
      </c>
      <c r="U91" s="2"/>
      <c r="V91" s="6">
        <f t="shared" si="43"/>
        <v>0</v>
      </c>
      <c r="W91" s="2"/>
      <c r="X91" s="7">
        <f t="shared" si="44"/>
        <v>2171.35</v>
      </c>
      <c r="Y91" s="2"/>
      <c r="Z91" s="6">
        <f t="shared" si="45"/>
        <v>0</v>
      </c>
    </row>
    <row r="92" spans="1:26" s="24" customFormat="1" hidden="1" outlineLevel="2" x14ac:dyDescent="0.3">
      <c r="A92" s="27"/>
      <c r="B92" s="11" t="str">
        <f>CONCATENATE("          ", "9175", " - ", "EARNED DISCOUNTS")</f>
        <v xml:space="preserve">          9175 - EARNED DISCOUNTS</v>
      </c>
      <c r="C92" s="11"/>
      <c r="D92" s="7">
        <v>-51.6</v>
      </c>
      <c r="E92" s="2"/>
      <c r="F92" s="6">
        <f t="shared" si="38"/>
        <v>-5.6620451028198313E-5</v>
      </c>
      <c r="G92" s="2"/>
      <c r="H92" s="7"/>
      <c r="I92" s="2"/>
      <c r="J92" s="6">
        <f t="shared" si="39"/>
        <v>0</v>
      </c>
      <c r="K92" s="2"/>
      <c r="L92" s="7">
        <f t="shared" si="40"/>
        <v>-51.6</v>
      </c>
      <c r="M92" s="2"/>
      <c r="N92" s="6">
        <f t="shared" si="41"/>
        <v>0</v>
      </c>
      <c r="O92" s="11"/>
      <c r="P92" s="7">
        <v>-106.8</v>
      </c>
      <c r="Q92" s="2"/>
      <c r="R92" s="6">
        <f t="shared" si="42"/>
        <v>-1.9281069992797112E-5</v>
      </c>
      <c r="S92" s="2"/>
      <c r="T92" s="7"/>
      <c r="U92" s="2"/>
      <c r="V92" s="6">
        <f t="shared" si="43"/>
        <v>0</v>
      </c>
      <c r="W92" s="2"/>
      <c r="X92" s="7">
        <f t="shared" si="44"/>
        <v>-106.8</v>
      </c>
      <c r="Y92" s="2"/>
      <c r="Z92" s="6">
        <f t="shared" si="45"/>
        <v>0</v>
      </c>
    </row>
    <row r="93" spans="1:26" s="28" customFormat="1" outlineLevel="1" collapsed="1" x14ac:dyDescent="0.3">
      <c r="A93" s="29"/>
      <c r="B93" s="14" t="str">
        <f>CONCATENATE("     ","Donations                                         ")</f>
        <v xml:space="preserve">     Donations                                         </v>
      </c>
      <c r="C93" s="14"/>
      <c r="D93" s="1">
        <f>SUM(OSRRefD22_7x_0)</f>
        <v>0</v>
      </c>
      <c r="E93" s="1"/>
      <c r="F93" s="5">
        <f t="shared" ref="F93:F101" si="46">IF(D$12=0,0,D93/D$12)</f>
        <v>0</v>
      </c>
      <c r="G93" s="1"/>
      <c r="H93" s="1">
        <f>SUM(OSRRefH22_7x_0)</f>
        <v>1250</v>
      </c>
      <c r="I93" s="1"/>
      <c r="J93" s="5">
        <f t="shared" ref="J93:J101" si="47">IF(H$12=0,0,H93/H$12)</f>
        <v>5.7416065750122522E-4</v>
      </c>
      <c r="K93" s="1"/>
      <c r="L93" s="1">
        <f t="shared" ref="L93:L101" si="48">+D93-H93</f>
        <v>-1250</v>
      </c>
      <c r="M93" s="1"/>
      <c r="N93" s="5">
        <f t="shared" ref="N93:N101" si="49">IF(H93=0,0,L93/H93)</f>
        <v>-1</v>
      </c>
      <c r="O93" s="14"/>
      <c r="P93" s="1">
        <f>SUM(OSRRefP22_7x_0)</f>
        <v>2820.22</v>
      </c>
      <c r="Q93" s="1"/>
      <c r="R93" s="5">
        <f t="shared" ref="R93:R101" si="50">IF(P$12=0,0,P93/P$12)</f>
        <v>5.0914662186410365E-4</v>
      </c>
      <c r="S93" s="1"/>
      <c r="T93" s="1">
        <f>SUM(OSRRefT22_7x_0)</f>
        <v>8750</v>
      </c>
      <c r="U93" s="1"/>
      <c r="V93" s="5">
        <f t="shared" ref="V93:V101" si="51">IF(T$12=0,0,T93/T$12)</f>
        <v>1.05189699103363E-3</v>
      </c>
      <c r="W93" s="1"/>
      <c r="X93" s="1">
        <f t="shared" ref="X93:X101" si="52">+P93-T93</f>
        <v>-5929.7800000000007</v>
      </c>
      <c r="Y93" s="1"/>
      <c r="Z93" s="5">
        <f t="shared" ref="Z93:Z101" si="53">IF(T93=0,0,X93/T93)</f>
        <v>-0.67768914285714288</v>
      </c>
    </row>
    <row r="94" spans="1:26" s="24" customFormat="1" hidden="1" outlineLevel="2" x14ac:dyDescent="0.3">
      <c r="A94" s="27"/>
      <c r="B94" s="11" t="str">
        <f>CONCATENATE("          ", "6399", " - ", "DONATION-ON CAMPUS")</f>
        <v xml:space="preserve">          6399 - DONATION-ON CAMPUS</v>
      </c>
      <c r="C94" s="11"/>
      <c r="D94" s="7"/>
      <c r="E94" s="2"/>
      <c r="F94" s="6">
        <f t="shared" si="46"/>
        <v>0</v>
      </c>
      <c r="G94" s="2"/>
      <c r="H94" s="7">
        <v>1250</v>
      </c>
      <c r="I94" s="2"/>
      <c r="J94" s="6">
        <f t="shared" si="47"/>
        <v>5.7416065750122522E-4</v>
      </c>
      <c r="K94" s="2"/>
      <c r="L94" s="7">
        <f t="shared" si="48"/>
        <v>-1250</v>
      </c>
      <c r="M94" s="2"/>
      <c r="N94" s="6">
        <f t="shared" si="49"/>
        <v>-1</v>
      </c>
      <c r="O94" s="11"/>
      <c r="P94" s="7">
        <v>2820.22</v>
      </c>
      <c r="Q94" s="2"/>
      <c r="R94" s="6">
        <f t="shared" si="50"/>
        <v>5.0914662186410365E-4</v>
      </c>
      <c r="S94" s="2"/>
      <c r="T94" s="7">
        <v>8750</v>
      </c>
      <c r="U94" s="2"/>
      <c r="V94" s="6">
        <f t="shared" si="51"/>
        <v>1.05189699103363E-3</v>
      </c>
      <c r="W94" s="2"/>
      <c r="X94" s="7">
        <f t="shared" si="52"/>
        <v>-5929.7800000000007</v>
      </c>
      <c r="Y94" s="2"/>
      <c r="Z94" s="6">
        <f t="shared" si="53"/>
        <v>-0.67768914285714288</v>
      </c>
    </row>
    <row r="95" spans="1:26" s="28" customFormat="1" outlineLevel="1" collapsed="1" x14ac:dyDescent="0.3">
      <c r="A95" s="29"/>
      <c r="B95" s="14" t="str">
        <f>CONCATENATE("     ","Employees' Appreciation                           ")</f>
        <v xml:space="preserve">     Employees' Appreciation                           </v>
      </c>
      <c r="C95" s="14"/>
      <c r="D95" s="1">
        <f>SUM(OSRRefD22_8x_0)</f>
        <v>1421.38</v>
      </c>
      <c r="E95" s="1"/>
      <c r="F95" s="5">
        <f t="shared" si="46"/>
        <v>1.5596739667143513E-3</v>
      </c>
      <c r="G95" s="1"/>
      <c r="H95" s="1">
        <f>SUM(OSRRefH22_8x_0)</f>
        <v>245</v>
      </c>
      <c r="I95" s="1"/>
      <c r="J95" s="5">
        <f t="shared" si="47"/>
        <v>1.1253548887024015E-4</v>
      </c>
      <c r="K95" s="1"/>
      <c r="L95" s="1">
        <f t="shared" si="48"/>
        <v>1176.3800000000001</v>
      </c>
      <c r="M95" s="1"/>
      <c r="N95" s="5">
        <f t="shared" si="49"/>
        <v>4.801551020408164</v>
      </c>
      <c r="O95" s="14"/>
      <c r="P95" s="1">
        <f>SUM(OSRRefP22_8x_0)</f>
        <v>4245.1899999999996</v>
      </c>
      <c r="Q95" s="1"/>
      <c r="R95" s="5">
        <f t="shared" si="50"/>
        <v>7.6640267343373002E-4</v>
      </c>
      <c r="S95" s="1"/>
      <c r="T95" s="1">
        <f>SUM(OSRRefT22_8x_0)</f>
        <v>1715</v>
      </c>
      <c r="U95" s="1"/>
      <c r="V95" s="5">
        <f t="shared" si="51"/>
        <v>2.061718102425915E-4</v>
      </c>
      <c r="W95" s="1"/>
      <c r="X95" s="1">
        <f t="shared" si="52"/>
        <v>2530.1899999999996</v>
      </c>
      <c r="Y95" s="1"/>
      <c r="Z95" s="5">
        <f t="shared" si="53"/>
        <v>1.4753294460641397</v>
      </c>
    </row>
    <row r="96" spans="1:26" s="24" customFormat="1" hidden="1" outlineLevel="2" x14ac:dyDescent="0.3">
      <c r="A96" s="27"/>
      <c r="B96" s="11" t="str">
        <f>CONCATENATE("          ", "6277", " - ", "EMPLOYEE APPRECIATION")</f>
        <v xml:space="preserve">          6277 - EMPLOYEE APPRECIATION</v>
      </c>
      <c r="C96" s="11"/>
      <c r="D96" s="7">
        <v>1421.38</v>
      </c>
      <c r="E96" s="2"/>
      <c r="F96" s="6">
        <f t="shared" si="46"/>
        <v>1.5596739667143513E-3</v>
      </c>
      <c r="G96" s="2"/>
      <c r="H96" s="7">
        <v>245</v>
      </c>
      <c r="I96" s="2"/>
      <c r="J96" s="6">
        <f t="shared" si="47"/>
        <v>1.1253548887024015E-4</v>
      </c>
      <c r="K96" s="2"/>
      <c r="L96" s="7">
        <f t="shared" si="48"/>
        <v>1176.3800000000001</v>
      </c>
      <c r="M96" s="2"/>
      <c r="N96" s="6">
        <f t="shared" si="49"/>
        <v>4.801551020408164</v>
      </c>
      <c r="O96" s="11"/>
      <c r="P96" s="7">
        <v>4245.1899999999996</v>
      </c>
      <c r="Q96" s="2"/>
      <c r="R96" s="6">
        <f t="shared" si="50"/>
        <v>7.6640267343373002E-4</v>
      </c>
      <c r="S96" s="2"/>
      <c r="T96" s="7">
        <v>1715</v>
      </c>
      <c r="U96" s="2"/>
      <c r="V96" s="6">
        <f t="shared" si="51"/>
        <v>2.061718102425915E-4</v>
      </c>
      <c r="W96" s="2"/>
      <c r="X96" s="7">
        <f t="shared" si="52"/>
        <v>2530.1899999999996</v>
      </c>
      <c r="Y96" s="2"/>
      <c r="Z96" s="6">
        <f t="shared" si="53"/>
        <v>1.4753294460641397</v>
      </c>
    </row>
    <row r="97" spans="1:26" s="28" customFormat="1" outlineLevel="1" collapsed="1" x14ac:dyDescent="0.3">
      <c r="A97" s="29"/>
      <c r="B97" s="14" t="str">
        <f>CONCATENATE("     ","Equipment Rental                                  ")</f>
        <v xml:space="preserve">     Equipment Rental                                  </v>
      </c>
      <c r="C97" s="14"/>
      <c r="D97" s="1">
        <f>SUM(OSRRefD22_9x_0)</f>
        <v>1479.42</v>
      </c>
      <c r="E97" s="1"/>
      <c r="F97" s="5">
        <f t="shared" si="46"/>
        <v>1.6233610011654486E-3</v>
      </c>
      <c r="G97" s="1"/>
      <c r="H97" s="1">
        <f>SUM(OSRRefH22_9x_0)</f>
        <v>1700</v>
      </c>
      <c r="I97" s="1"/>
      <c r="J97" s="5">
        <f t="shared" si="47"/>
        <v>7.808584942016664E-4</v>
      </c>
      <c r="K97" s="1"/>
      <c r="L97" s="1">
        <f t="shared" si="48"/>
        <v>-220.57999999999993</v>
      </c>
      <c r="M97" s="1"/>
      <c r="N97" s="5">
        <f t="shared" si="49"/>
        <v>-0.12975294117647054</v>
      </c>
      <c r="O97" s="14"/>
      <c r="P97" s="1">
        <f>SUM(OSRRefP22_9x_0)</f>
        <v>11309.94</v>
      </c>
      <c r="Q97" s="1"/>
      <c r="R97" s="5">
        <f t="shared" si="50"/>
        <v>2.0418328160518332E-3</v>
      </c>
      <c r="S97" s="1"/>
      <c r="T97" s="1">
        <f>SUM(OSRRefT22_9x_0)</f>
        <v>11700</v>
      </c>
      <c r="U97" s="1"/>
      <c r="V97" s="5">
        <f t="shared" si="51"/>
        <v>1.4065365480106825E-3</v>
      </c>
      <c r="W97" s="1"/>
      <c r="X97" s="1">
        <f t="shared" si="52"/>
        <v>-390.05999999999949</v>
      </c>
      <c r="Y97" s="1"/>
      <c r="Z97" s="5">
        <f t="shared" si="53"/>
        <v>-3.3338461538461497E-2</v>
      </c>
    </row>
    <row r="98" spans="1:26" s="24" customFormat="1" hidden="1" outlineLevel="2" x14ac:dyDescent="0.3">
      <c r="A98" s="27"/>
      <c r="B98" s="11" t="str">
        <f>CONCATENATE("          ", "6351", " - ", "EQUIPMENT RENTAL")</f>
        <v xml:space="preserve">          6351 - EQUIPMENT RENTAL</v>
      </c>
      <c r="C98" s="11"/>
      <c r="D98" s="7">
        <v>1479.42</v>
      </c>
      <c r="E98" s="2"/>
      <c r="F98" s="6">
        <f t="shared" si="46"/>
        <v>1.6233610011654486E-3</v>
      </c>
      <c r="G98" s="2"/>
      <c r="H98" s="7">
        <v>1700</v>
      </c>
      <c r="I98" s="2"/>
      <c r="J98" s="6">
        <f t="shared" si="47"/>
        <v>7.808584942016664E-4</v>
      </c>
      <c r="K98" s="2"/>
      <c r="L98" s="7">
        <f t="shared" si="48"/>
        <v>-220.57999999999993</v>
      </c>
      <c r="M98" s="2"/>
      <c r="N98" s="6">
        <f t="shared" si="49"/>
        <v>-0.12975294117647054</v>
      </c>
      <c r="O98" s="11"/>
      <c r="P98" s="7">
        <v>11309.94</v>
      </c>
      <c r="Q98" s="2"/>
      <c r="R98" s="6">
        <f t="shared" si="50"/>
        <v>2.0418328160518332E-3</v>
      </c>
      <c r="S98" s="2"/>
      <c r="T98" s="7">
        <v>11700</v>
      </c>
      <c r="U98" s="2"/>
      <c r="V98" s="6">
        <f t="shared" si="51"/>
        <v>1.4065365480106825E-3</v>
      </c>
      <c r="W98" s="2"/>
      <c r="X98" s="7">
        <f t="shared" si="52"/>
        <v>-390.05999999999949</v>
      </c>
      <c r="Y98" s="2"/>
      <c r="Z98" s="6">
        <f t="shared" si="53"/>
        <v>-3.3338461538461497E-2</v>
      </c>
    </row>
    <row r="99" spans="1:26" s="28" customFormat="1" outlineLevel="1" collapsed="1" x14ac:dyDescent="0.3">
      <c r="A99" s="29"/>
      <c r="B99" s="14" t="str">
        <f>CONCATENATE("     ","Freight out/Postage                               ")</f>
        <v xml:space="preserve">     Freight out/Postage                               </v>
      </c>
      <c r="C99" s="14"/>
      <c r="D99" s="1">
        <f>SUM(OSRRefD22_10x_0)</f>
        <v>-7280.8900000000012</v>
      </c>
      <c r="E99" s="1"/>
      <c r="F99" s="5">
        <f t="shared" si="46"/>
        <v>-7.9892882885019157E-3</v>
      </c>
      <c r="G99" s="1"/>
      <c r="H99" s="1">
        <f>SUM(OSRRefH22_10x_0)</f>
        <v>-25535</v>
      </c>
      <c r="I99" s="1"/>
      <c r="J99" s="5">
        <f t="shared" si="47"/>
        <v>-1.172895391143503E-2</v>
      </c>
      <c r="K99" s="1"/>
      <c r="L99" s="1">
        <f t="shared" si="48"/>
        <v>18254.11</v>
      </c>
      <c r="M99" s="1"/>
      <c r="N99" s="5">
        <f t="shared" si="49"/>
        <v>-0.71486626199334247</v>
      </c>
      <c r="O99" s="14"/>
      <c r="P99" s="1">
        <f>SUM(OSRRefP22_10x_0)</f>
        <v>-39325.969999999987</v>
      </c>
      <c r="Q99" s="1"/>
      <c r="R99" s="5">
        <f t="shared" si="50"/>
        <v>-7.0996889522906299E-3</v>
      </c>
      <c r="S99" s="1"/>
      <c r="T99" s="1">
        <f>SUM(OSRRefT22_10x_0)</f>
        <v>-16845</v>
      </c>
      <c r="U99" s="1"/>
      <c r="V99" s="5">
        <f t="shared" si="51"/>
        <v>-2.025051978738457E-3</v>
      </c>
      <c r="W99" s="1"/>
      <c r="X99" s="1">
        <f t="shared" si="52"/>
        <v>-22480.969999999987</v>
      </c>
      <c r="Y99" s="1"/>
      <c r="Z99" s="5">
        <f t="shared" si="53"/>
        <v>1.3345782131196193</v>
      </c>
    </row>
    <row r="100" spans="1:26" s="24" customFormat="1" hidden="1" outlineLevel="2" x14ac:dyDescent="0.3">
      <c r="A100" s="27"/>
      <c r="B100" s="11" t="str">
        <f>CONCATENATE("          ", "6305", " - ", "FREIGHT OUT")</f>
        <v xml:space="preserve">          6305 - FREIGHT OUT</v>
      </c>
      <c r="C100" s="11"/>
      <c r="D100" s="7">
        <v>16037.19</v>
      </c>
      <c r="E100" s="2"/>
      <c r="F100" s="6">
        <f t="shared" si="46"/>
        <v>1.7597537422963407E-2</v>
      </c>
      <c r="G100" s="2"/>
      <c r="H100" s="7">
        <v>15865</v>
      </c>
      <c r="I100" s="2"/>
      <c r="J100" s="6">
        <f t="shared" si="47"/>
        <v>7.2872470650055506E-3</v>
      </c>
      <c r="K100" s="2"/>
      <c r="L100" s="7">
        <f t="shared" si="48"/>
        <v>172.19000000000051</v>
      </c>
      <c r="M100" s="2"/>
      <c r="N100" s="6">
        <f t="shared" si="49"/>
        <v>1.0853450992751371E-2</v>
      </c>
      <c r="O100" s="11"/>
      <c r="P100" s="7">
        <v>94258.58</v>
      </c>
      <c r="Q100" s="2"/>
      <c r="R100" s="6">
        <f t="shared" si="50"/>
        <v>1.7016912719116723E-2</v>
      </c>
      <c r="S100" s="2"/>
      <c r="T100" s="7">
        <v>115455</v>
      </c>
      <c r="U100" s="2"/>
      <c r="V100" s="6">
        <f t="shared" si="51"/>
        <v>1.387963052569003E-2</v>
      </c>
      <c r="W100" s="2"/>
      <c r="X100" s="7">
        <f t="shared" si="52"/>
        <v>-21196.42</v>
      </c>
      <c r="Y100" s="2"/>
      <c r="Z100" s="6">
        <f t="shared" si="53"/>
        <v>-0.18359031657355679</v>
      </c>
    </row>
    <row r="101" spans="1:26" s="24" customFormat="1" hidden="1" outlineLevel="2" x14ac:dyDescent="0.3">
      <c r="A101" s="27"/>
      <c r="B101" s="11" t="str">
        <f>CONCATENATE("          ", "6307", " - ", "POSTAGE")</f>
        <v xml:space="preserve">          6307 - POSTAGE</v>
      </c>
      <c r="C101" s="11"/>
      <c r="D101" s="7">
        <v>-23318.080000000002</v>
      </c>
      <c r="E101" s="2"/>
      <c r="F101" s="6">
        <f t="shared" si="46"/>
        <v>-2.5586825711465321E-2</v>
      </c>
      <c r="G101" s="2"/>
      <c r="H101" s="7">
        <v>-41400</v>
      </c>
      <c r="I101" s="2"/>
      <c r="J101" s="6">
        <f t="shared" si="47"/>
        <v>-1.9016200976440582E-2</v>
      </c>
      <c r="K101" s="2"/>
      <c r="L101" s="7">
        <f t="shared" si="48"/>
        <v>18081.919999999998</v>
      </c>
      <c r="M101" s="2"/>
      <c r="N101" s="6">
        <f t="shared" si="49"/>
        <v>-0.43676135265700478</v>
      </c>
      <c r="O101" s="11"/>
      <c r="P101" s="7">
        <v>-133584.54999999999</v>
      </c>
      <c r="Q101" s="2"/>
      <c r="R101" s="6">
        <f t="shared" si="50"/>
        <v>-2.4116601671407355E-2</v>
      </c>
      <c r="S101" s="2"/>
      <c r="T101" s="7">
        <v>-132300</v>
      </c>
      <c r="U101" s="2"/>
      <c r="V101" s="6">
        <f t="shared" si="51"/>
        <v>-1.5904682504428485E-2</v>
      </c>
      <c r="W101" s="2"/>
      <c r="X101" s="7">
        <f t="shared" si="52"/>
        <v>-1284.5499999999884</v>
      </c>
      <c r="Y101" s="2"/>
      <c r="Z101" s="6">
        <f t="shared" si="53"/>
        <v>9.709372637943978E-3</v>
      </c>
    </row>
    <row r="102" spans="1:26" s="28" customFormat="1" outlineLevel="1" collapsed="1" x14ac:dyDescent="0.3">
      <c r="A102" s="29"/>
      <c r="B102" s="14" t="str">
        <f>CONCATENATE("     ","General                                           ")</f>
        <v xml:space="preserve">     General                                           </v>
      </c>
      <c r="C102" s="14"/>
      <c r="D102" s="1">
        <f>SUM(OSRRefD22_11x_0)</f>
        <v>0</v>
      </c>
      <c r="E102" s="1"/>
      <c r="F102" s="5">
        <f t="shared" ref="F102:F104" si="54">IF(D$12=0,0,D102/D$12)</f>
        <v>0</v>
      </c>
      <c r="G102" s="1"/>
      <c r="H102" s="1">
        <f>SUM(OSRRefH22_11x_0)</f>
        <v>230</v>
      </c>
      <c r="I102" s="1"/>
      <c r="J102" s="5">
        <f t="shared" ref="J102:J104" si="55">IF(H$12=0,0,H102/H$12)</f>
        <v>1.0564556098022544E-4</v>
      </c>
      <c r="K102" s="1"/>
      <c r="L102" s="1">
        <f t="shared" ref="L102:L104" si="56">+D102-H102</f>
        <v>-230</v>
      </c>
      <c r="M102" s="1"/>
      <c r="N102" s="5">
        <f t="shared" ref="N102:N104" si="57">IF(H102=0,0,L102/H102)</f>
        <v>-1</v>
      </c>
      <c r="O102" s="14"/>
      <c r="P102" s="1">
        <f>SUM(OSRRefP22_11x_0)</f>
        <v>4331.1899999999996</v>
      </c>
      <c r="Q102" s="1"/>
      <c r="R102" s="5">
        <f t="shared" ref="R102:R104" si="58">IF(P$12=0,0,P102/P$12)</f>
        <v>7.8192862867137568E-4</v>
      </c>
      <c r="S102" s="1"/>
      <c r="T102" s="1">
        <f>SUM(OSRRefT22_11x_0)</f>
        <v>4235</v>
      </c>
      <c r="U102" s="1"/>
      <c r="V102" s="5">
        <f t="shared" ref="V102:V104" si="59">IF(T$12=0,0,T102/T$12)</f>
        <v>5.0911814366027695E-4</v>
      </c>
      <c r="W102" s="1"/>
      <c r="X102" s="1">
        <f t="shared" ref="X102:X104" si="60">+P102-T102</f>
        <v>96.1899999999996</v>
      </c>
      <c r="Y102" s="1"/>
      <c r="Z102" s="5">
        <f t="shared" ref="Z102:Z104" si="61">IF(T102=0,0,X102/T102)</f>
        <v>2.2713105076741347E-2</v>
      </c>
    </row>
    <row r="103" spans="1:26" s="24" customFormat="1" hidden="1" outlineLevel="2" x14ac:dyDescent="0.3">
      <c r="A103" s="27"/>
      <c r="B103" s="11" t="str">
        <f>CONCATENATE("          ", "6276", " - ", "PROPERTY TAX")</f>
        <v xml:space="preserve">          6276 - PROPERTY TAX</v>
      </c>
      <c r="C103" s="11"/>
      <c r="D103" s="7"/>
      <c r="E103" s="2"/>
      <c r="F103" s="6">
        <f t="shared" si="54"/>
        <v>0</v>
      </c>
      <c r="G103" s="2"/>
      <c r="H103" s="7"/>
      <c r="I103" s="2"/>
      <c r="J103" s="6">
        <f t="shared" si="55"/>
        <v>0</v>
      </c>
      <c r="K103" s="2"/>
      <c r="L103" s="7">
        <f t="shared" si="56"/>
        <v>0</v>
      </c>
      <c r="M103" s="2"/>
      <c r="N103" s="6">
        <f t="shared" si="57"/>
        <v>0</v>
      </c>
      <c r="O103" s="11"/>
      <c r="P103" s="7"/>
      <c r="Q103" s="2"/>
      <c r="R103" s="6">
        <f t="shared" si="58"/>
        <v>0</v>
      </c>
      <c r="S103" s="2"/>
      <c r="T103" s="7">
        <v>1250</v>
      </c>
      <c r="U103" s="2"/>
      <c r="V103" s="6">
        <f t="shared" si="59"/>
        <v>1.5027099871909E-4</v>
      </c>
      <c r="W103" s="2"/>
      <c r="X103" s="7">
        <f t="shared" si="60"/>
        <v>-1250</v>
      </c>
      <c r="Y103" s="2"/>
      <c r="Z103" s="6">
        <f t="shared" si="61"/>
        <v>-1</v>
      </c>
    </row>
    <row r="104" spans="1:26" s="24" customFormat="1" hidden="1" outlineLevel="2" x14ac:dyDescent="0.3">
      <c r="A104" s="27"/>
      <c r="B104" s="11" t="str">
        <f>CONCATENATE("          ", "6279", " - ", "GENERAL EXPENSE")</f>
        <v xml:space="preserve">          6279 - GENERAL EXPENSE</v>
      </c>
      <c r="C104" s="11"/>
      <c r="D104" s="7"/>
      <c r="E104" s="2"/>
      <c r="F104" s="6">
        <f t="shared" si="54"/>
        <v>0</v>
      </c>
      <c r="G104" s="2"/>
      <c r="H104" s="7">
        <v>230</v>
      </c>
      <c r="I104" s="2"/>
      <c r="J104" s="6">
        <f t="shared" si="55"/>
        <v>1.0564556098022544E-4</v>
      </c>
      <c r="K104" s="2"/>
      <c r="L104" s="7">
        <f t="shared" si="56"/>
        <v>-230</v>
      </c>
      <c r="M104" s="2"/>
      <c r="N104" s="6">
        <f t="shared" si="57"/>
        <v>-1</v>
      </c>
      <c r="O104" s="11"/>
      <c r="P104" s="7">
        <v>4331.1899999999996</v>
      </c>
      <c r="Q104" s="2"/>
      <c r="R104" s="6">
        <f t="shared" si="58"/>
        <v>7.8192862867137568E-4</v>
      </c>
      <c r="S104" s="2"/>
      <c r="T104" s="7">
        <v>2985</v>
      </c>
      <c r="U104" s="2"/>
      <c r="V104" s="6">
        <f t="shared" si="59"/>
        <v>3.5884714494118696E-4</v>
      </c>
      <c r="W104" s="2"/>
      <c r="X104" s="7">
        <f t="shared" si="60"/>
        <v>1346.1899999999996</v>
      </c>
      <c r="Y104" s="2"/>
      <c r="Z104" s="6">
        <f t="shared" si="61"/>
        <v>0.45098492462311546</v>
      </c>
    </row>
    <row r="105" spans="1:26" s="28" customFormat="1" outlineLevel="1" collapsed="1" x14ac:dyDescent="0.3">
      <c r="A105" s="29"/>
      <c r="B105" s="14" t="str">
        <f>CONCATENATE("     ","Insurance                                         ")</f>
        <v xml:space="preserve">     Insurance                                         </v>
      </c>
      <c r="C105" s="14"/>
      <c r="D105" s="1">
        <f>SUM(OSRRefD22_12x_0)</f>
        <v>5494.57</v>
      </c>
      <c r="E105" s="1"/>
      <c r="F105" s="5">
        <f t="shared" ref="F105:F117" si="62">IF(D$12=0,0,D105/D$12)</f>
        <v>6.0291672791861935E-3</v>
      </c>
      <c r="G105" s="1"/>
      <c r="H105" s="1">
        <f>SUM(OSRRefH22_12x_0)</f>
        <v>5375</v>
      </c>
      <c r="I105" s="1"/>
      <c r="J105" s="5">
        <f t="shared" ref="J105:J117" si="63">IF(H$12=0,0,H105/H$12)</f>
        <v>2.4688908272552687E-3</v>
      </c>
      <c r="K105" s="1"/>
      <c r="L105" s="1">
        <f t="shared" ref="L105:L117" si="64">+D105-H105</f>
        <v>119.56999999999971</v>
      </c>
      <c r="M105" s="1"/>
      <c r="N105" s="5">
        <f t="shared" ref="N105:N117" si="65">IF(H105=0,0,L105/H105)</f>
        <v>2.2245581395348782E-2</v>
      </c>
      <c r="O105" s="14"/>
      <c r="P105" s="1">
        <f>SUM(OSRRefP22_12x_0)</f>
        <v>38461.99</v>
      </c>
      <c r="Q105" s="1"/>
      <c r="R105" s="5">
        <f t="shared" ref="R105:R117" si="66">IF(P$12=0,0,P105/P$12)</f>
        <v>6.9437108731485262E-3</v>
      </c>
      <c r="S105" s="1"/>
      <c r="T105" s="1">
        <f>SUM(OSRRefT22_12x_0)</f>
        <v>37625</v>
      </c>
      <c r="U105" s="1"/>
      <c r="V105" s="5">
        <f t="shared" ref="V105:V117" si="67">IF(T$12=0,0,T105/T$12)</f>
        <v>4.5231570614446088E-3</v>
      </c>
      <c r="W105" s="1"/>
      <c r="X105" s="1">
        <f t="shared" ref="X105:X117" si="68">+P105-T105</f>
        <v>836.98999999999796</v>
      </c>
      <c r="Y105" s="1"/>
      <c r="Z105" s="5">
        <f t="shared" ref="Z105:Z117" si="69">IF(T105=0,0,X105/T105)</f>
        <v>2.2245581395348782E-2</v>
      </c>
    </row>
    <row r="106" spans="1:26" s="24" customFormat="1" hidden="1" outlineLevel="2" x14ac:dyDescent="0.3">
      <c r="A106" s="27"/>
      <c r="B106" s="11" t="str">
        <f>CONCATENATE("          ", "6314", " - ", "LIABILITY INSURANCE")</f>
        <v xml:space="preserve">          6314 - LIABILITY INSURANCE</v>
      </c>
      <c r="C106" s="11"/>
      <c r="D106" s="7">
        <v>5494.57</v>
      </c>
      <c r="E106" s="2"/>
      <c r="F106" s="6">
        <f t="shared" si="62"/>
        <v>6.0291672791861935E-3</v>
      </c>
      <c r="G106" s="2"/>
      <c r="H106" s="7">
        <v>5375</v>
      </c>
      <c r="I106" s="2"/>
      <c r="J106" s="6">
        <f t="shared" si="63"/>
        <v>2.4688908272552687E-3</v>
      </c>
      <c r="K106" s="2"/>
      <c r="L106" s="7">
        <f t="shared" si="64"/>
        <v>119.56999999999971</v>
      </c>
      <c r="M106" s="2"/>
      <c r="N106" s="6">
        <f t="shared" si="65"/>
        <v>2.2245581395348782E-2</v>
      </c>
      <c r="O106" s="11"/>
      <c r="P106" s="7">
        <v>38461.99</v>
      </c>
      <c r="Q106" s="2"/>
      <c r="R106" s="6">
        <f t="shared" si="66"/>
        <v>6.9437108731485262E-3</v>
      </c>
      <c r="S106" s="2"/>
      <c r="T106" s="7">
        <v>37625</v>
      </c>
      <c r="U106" s="2"/>
      <c r="V106" s="6">
        <f t="shared" si="67"/>
        <v>4.5231570614446088E-3</v>
      </c>
      <c r="W106" s="2"/>
      <c r="X106" s="7">
        <f t="shared" si="68"/>
        <v>836.98999999999796</v>
      </c>
      <c r="Y106" s="2"/>
      <c r="Z106" s="6">
        <f t="shared" si="69"/>
        <v>2.2245581395348782E-2</v>
      </c>
    </row>
    <row r="107" spans="1:26" s="28" customFormat="1" outlineLevel="1" collapsed="1" x14ac:dyDescent="0.3">
      <c r="A107" s="29"/>
      <c r="B107" s="14" t="str">
        <f>CONCATENATE("     ","Inventory Adjustment                              ")</f>
        <v xml:space="preserve">     Inventory Adjustment                              </v>
      </c>
      <c r="C107" s="14"/>
      <c r="D107" s="1">
        <f>SUM(OSRRefD22_13x_0)</f>
        <v>6070</v>
      </c>
      <c r="E107" s="1"/>
      <c r="F107" s="5">
        <f t="shared" si="62"/>
        <v>6.6605840647512354E-3</v>
      </c>
      <c r="G107" s="1"/>
      <c r="H107" s="1">
        <f>SUM(OSRRefH22_13x_0)</f>
        <v>6070</v>
      </c>
      <c r="I107" s="1"/>
      <c r="J107" s="5">
        <f t="shared" si="63"/>
        <v>2.7881241528259497E-3</v>
      </c>
      <c r="K107" s="1"/>
      <c r="L107" s="1">
        <f t="shared" si="64"/>
        <v>0</v>
      </c>
      <c r="M107" s="1"/>
      <c r="N107" s="5">
        <f t="shared" si="65"/>
        <v>0</v>
      </c>
      <c r="O107" s="14"/>
      <c r="P107" s="1">
        <f>SUM(OSRRefP22_13x_0)</f>
        <v>46310</v>
      </c>
      <c r="Q107" s="1"/>
      <c r="R107" s="5">
        <f t="shared" si="66"/>
        <v>8.3605463611089361E-3</v>
      </c>
      <c r="S107" s="1"/>
      <c r="T107" s="1">
        <f>SUM(OSRRefT22_13x_0)</f>
        <v>47020</v>
      </c>
      <c r="U107" s="1"/>
      <c r="V107" s="5">
        <f t="shared" si="67"/>
        <v>5.6525938878172893E-3</v>
      </c>
      <c r="W107" s="1"/>
      <c r="X107" s="1">
        <f t="shared" si="68"/>
        <v>-710</v>
      </c>
      <c r="Y107" s="1"/>
      <c r="Z107" s="5">
        <f t="shared" si="69"/>
        <v>-1.509995746490855E-2</v>
      </c>
    </row>
    <row r="108" spans="1:26" s="24" customFormat="1" hidden="1" outlineLevel="2" x14ac:dyDescent="0.3">
      <c r="A108" s="27"/>
      <c r="B108" s="11" t="str">
        <f>CONCATENATE("          ", "6408", " - ", "INVENTORY ADJUSTMENT")</f>
        <v xml:space="preserve">          6408 - INVENTORY ADJUSTMENT</v>
      </c>
      <c r="C108" s="11"/>
      <c r="D108" s="7">
        <v>6070</v>
      </c>
      <c r="E108" s="2"/>
      <c r="F108" s="6">
        <f t="shared" si="62"/>
        <v>6.6605840647512354E-3</v>
      </c>
      <c r="G108" s="2"/>
      <c r="H108" s="7">
        <v>6070</v>
      </c>
      <c r="I108" s="2"/>
      <c r="J108" s="6">
        <f t="shared" si="63"/>
        <v>2.7881241528259497E-3</v>
      </c>
      <c r="K108" s="2"/>
      <c r="L108" s="7">
        <f t="shared" si="64"/>
        <v>0</v>
      </c>
      <c r="M108" s="2"/>
      <c r="N108" s="6">
        <f t="shared" si="65"/>
        <v>0</v>
      </c>
      <c r="O108" s="11"/>
      <c r="P108" s="7">
        <v>46310</v>
      </c>
      <c r="Q108" s="2"/>
      <c r="R108" s="6">
        <f t="shared" si="66"/>
        <v>8.3605463611089361E-3</v>
      </c>
      <c r="S108" s="2"/>
      <c r="T108" s="7">
        <v>47020</v>
      </c>
      <c r="U108" s="2"/>
      <c r="V108" s="6">
        <f t="shared" si="67"/>
        <v>5.6525938878172893E-3</v>
      </c>
      <c r="W108" s="2"/>
      <c r="X108" s="7">
        <f t="shared" si="68"/>
        <v>-710</v>
      </c>
      <c r="Y108" s="2"/>
      <c r="Z108" s="6">
        <f t="shared" si="69"/>
        <v>-1.509995746490855E-2</v>
      </c>
    </row>
    <row r="109" spans="1:26" s="28" customFormat="1" outlineLevel="1" collapsed="1" x14ac:dyDescent="0.3">
      <c r="A109" s="29"/>
      <c r="B109" s="14" t="str">
        <f>CONCATENATE("     ","Professional Services                             ")</f>
        <v xml:space="preserve">     Professional Services                             </v>
      </c>
      <c r="C109" s="14"/>
      <c r="D109" s="1">
        <f>SUM(OSRRefD22_14x_0)</f>
        <v>0</v>
      </c>
      <c r="E109" s="1"/>
      <c r="F109" s="5">
        <f t="shared" si="62"/>
        <v>0</v>
      </c>
      <c r="G109" s="1"/>
      <c r="H109" s="1">
        <f>SUM(OSRRefH22_14x_0)</f>
        <v>250</v>
      </c>
      <c r="I109" s="1"/>
      <c r="J109" s="5">
        <f t="shared" si="63"/>
        <v>1.1483213150024505E-4</v>
      </c>
      <c r="K109" s="1"/>
      <c r="L109" s="1">
        <f t="shared" si="64"/>
        <v>-250</v>
      </c>
      <c r="M109" s="1"/>
      <c r="N109" s="5">
        <f t="shared" si="65"/>
        <v>-1</v>
      </c>
      <c r="O109" s="14"/>
      <c r="P109" s="1">
        <f>SUM(OSRRefP22_14x_0)</f>
        <v>8186.53</v>
      </c>
      <c r="Q109" s="1"/>
      <c r="R109" s="5">
        <f t="shared" si="66"/>
        <v>1.4779499806004996E-3</v>
      </c>
      <c r="S109" s="1"/>
      <c r="T109" s="1">
        <f>SUM(OSRRefT22_14x_0)</f>
        <v>1500</v>
      </c>
      <c r="U109" s="1"/>
      <c r="V109" s="5">
        <f t="shared" si="67"/>
        <v>1.8032519846290801E-4</v>
      </c>
      <c r="W109" s="1"/>
      <c r="X109" s="1">
        <f t="shared" si="68"/>
        <v>6686.53</v>
      </c>
      <c r="Y109" s="1"/>
      <c r="Z109" s="5">
        <f t="shared" si="69"/>
        <v>4.4576866666666666</v>
      </c>
    </row>
    <row r="110" spans="1:26" s="24" customFormat="1" hidden="1" outlineLevel="2" x14ac:dyDescent="0.3">
      <c r="A110" s="27"/>
      <c r="B110" s="11" t="str">
        <f>CONCATENATE("          ", "6336", " - ", "PROFESSIONAL SERVICES")</f>
        <v xml:space="preserve">          6336 - PROFESSIONAL SERVICES</v>
      </c>
      <c r="C110" s="11"/>
      <c r="D110" s="7"/>
      <c r="E110" s="2"/>
      <c r="F110" s="6">
        <f t="shared" si="62"/>
        <v>0</v>
      </c>
      <c r="G110" s="2"/>
      <c r="H110" s="7">
        <v>250</v>
      </c>
      <c r="I110" s="2"/>
      <c r="J110" s="6">
        <f t="shared" si="63"/>
        <v>1.1483213150024505E-4</v>
      </c>
      <c r="K110" s="2"/>
      <c r="L110" s="7">
        <f t="shared" si="64"/>
        <v>-250</v>
      </c>
      <c r="M110" s="2"/>
      <c r="N110" s="6">
        <f t="shared" si="65"/>
        <v>-1</v>
      </c>
      <c r="O110" s="11"/>
      <c r="P110" s="7">
        <v>8186.53</v>
      </c>
      <c r="Q110" s="2"/>
      <c r="R110" s="6">
        <f t="shared" si="66"/>
        <v>1.4779499806004996E-3</v>
      </c>
      <c r="S110" s="2"/>
      <c r="T110" s="7">
        <v>1500</v>
      </c>
      <c r="U110" s="2"/>
      <c r="V110" s="6">
        <f t="shared" si="67"/>
        <v>1.8032519846290801E-4</v>
      </c>
      <c r="W110" s="2"/>
      <c r="X110" s="7">
        <f t="shared" si="68"/>
        <v>6686.53</v>
      </c>
      <c r="Y110" s="2"/>
      <c r="Z110" s="6">
        <f t="shared" si="69"/>
        <v>4.4576866666666666</v>
      </c>
    </row>
    <row r="111" spans="1:26" s="28" customFormat="1" outlineLevel="1" collapsed="1" x14ac:dyDescent="0.3">
      <c r="A111" s="29"/>
      <c r="B111" s="14" t="str">
        <f>CONCATENATE("     ","Rent                                              ")</f>
        <v xml:space="preserve">     Rent                                              </v>
      </c>
      <c r="C111" s="14"/>
      <c r="D111" s="1">
        <f>SUM(OSRRefD22_15x_0)</f>
        <v>6100</v>
      </c>
      <c r="E111" s="1"/>
      <c r="F111" s="5">
        <f t="shared" si="62"/>
        <v>6.6935029316280955E-3</v>
      </c>
      <c r="G111" s="1"/>
      <c r="H111" s="1">
        <f>SUM(OSRRefH22_15x_0)</f>
        <v>6100</v>
      </c>
      <c r="I111" s="1"/>
      <c r="J111" s="5">
        <f t="shared" si="63"/>
        <v>2.8019040086059792E-3</v>
      </c>
      <c r="K111" s="1"/>
      <c r="L111" s="1">
        <f t="shared" si="64"/>
        <v>0</v>
      </c>
      <c r="M111" s="1"/>
      <c r="N111" s="5">
        <f t="shared" si="65"/>
        <v>0</v>
      </c>
      <c r="O111" s="14"/>
      <c r="P111" s="1">
        <f>SUM(OSRRefP22_15x_0)</f>
        <v>42700</v>
      </c>
      <c r="Q111" s="1"/>
      <c r="R111" s="5">
        <f t="shared" si="66"/>
        <v>7.7088173098542765E-3</v>
      </c>
      <c r="S111" s="1"/>
      <c r="T111" s="1">
        <f>SUM(OSRRefT22_15x_0)</f>
        <v>42700</v>
      </c>
      <c r="U111" s="1"/>
      <c r="V111" s="5">
        <f t="shared" si="67"/>
        <v>5.1332573162441147E-3</v>
      </c>
      <c r="W111" s="1"/>
      <c r="X111" s="1">
        <f t="shared" si="68"/>
        <v>0</v>
      </c>
      <c r="Y111" s="1"/>
      <c r="Z111" s="5">
        <f t="shared" si="69"/>
        <v>0</v>
      </c>
    </row>
    <row r="112" spans="1:26" s="24" customFormat="1" hidden="1" outlineLevel="2" x14ac:dyDescent="0.3">
      <c r="A112" s="27"/>
      <c r="B112" s="11" t="str">
        <f>CONCATENATE("          ", "6273", " - ", "RENT")</f>
        <v xml:space="preserve">          6273 - RENT</v>
      </c>
      <c r="C112" s="11"/>
      <c r="D112" s="7">
        <v>6100</v>
      </c>
      <c r="E112" s="2"/>
      <c r="F112" s="6">
        <f t="shared" si="62"/>
        <v>6.6935029316280955E-3</v>
      </c>
      <c r="G112" s="2"/>
      <c r="H112" s="7">
        <v>6100</v>
      </c>
      <c r="I112" s="2"/>
      <c r="J112" s="6">
        <f t="shared" si="63"/>
        <v>2.8019040086059792E-3</v>
      </c>
      <c r="K112" s="2"/>
      <c r="L112" s="7">
        <f t="shared" si="64"/>
        <v>0</v>
      </c>
      <c r="M112" s="2"/>
      <c r="N112" s="6">
        <f t="shared" si="65"/>
        <v>0</v>
      </c>
      <c r="O112" s="11"/>
      <c r="P112" s="7">
        <v>42700</v>
      </c>
      <c r="Q112" s="2"/>
      <c r="R112" s="6">
        <f t="shared" si="66"/>
        <v>7.7088173098542765E-3</v>
      </c>
      <c r="S112" s="2"/>
      <c r="T112" s="7">
        <v>42700</v>
      </c>
      <c r="U112" s="2"/>
      <c r="V112" s="6">
        <f t="shared" si="67"/>
        <v>5.1332573162441147E-3</v>
      </c>
      <c r="W112" s="2"/>
      <c r="X112" s="7">
        <f t="shared" si="68"/>
        <v>0</v>
      </c>
      <c r="Y112" s="2"/>
      <c r="Z112" s="6">
        <f t="shared" si="69"/>
        <v>0</v>
      </c>
    </row>
    <row r="113" spans="1:26" s="28" customFormat="1" outlineLevel="1" collapsed="1" x14ac:dyDescent="0.3">
      <c r="A113" s="29"/>
      <c r="B113" s="14" t="str">
        <f>CONCATENATE("     ","Repair and Maintenance                            ")</f>
        <v xml:space="preserve">     Repair and Maintenance                            </v>
      </c>
      <c r="C113" s="14"/>
      <c r="D113" s="1">
        <f>SUM(OSRRefD22_16x_0)</f>
        <v>11622.75</v>
      </c>
      <c r="E113" s="1"/>
      <c r="F113" s="5">
        <f t="shared" si="62"/>
        <v>1.2753591999767286E-2</v>
      </c>
      <c r="G113" s="1"/>
      <c r="H113" s="1">
        <f>SUM(OSRRefH22_16x_0)</f>
        <v>11245</v>
      </c>
      <c r="I113" s="1"/>
      <c r="J113" s="5">
        <f t="shared" si="63"/>
        <v>5.1651492748810224E-3</v>
      </c>
      <c r="K113" s="1"/>
      <c r="L113" s="1">
        <f t="shared" si="64"/>
        <v>377.75</v>
      </c>
      <c r="M113" s="1"/>
      <c r="N113" s="5">
        <f t="shared" si="65"/>
        <v>3.3592707870164516E-2</v>
      </c>
      <c r="O113" s="14"/>
      <c r="P113" s="1">
        <f>SUM(OSRRefP22_16x_0)</f>
        <v>109430.37</v>
      </c>
      <c r="Q113" s="1"/>
      <c r="R113" s="5">
        <f t="shared" si="66"/>
        <v>1.9755942165802298E-2</v>
      </c>
      <c r="S113" s="1"/>
      <c r="T113" s="1">
        <f>SUM(OSRRefT22_16x_0)</f>
        <v>105835</v>
      </c>
      <c r="U113" s="1"/>
      <c r="V113" s="5">
        <f t="shared" si="67"/>
        <v>1.2723144919547912E-2</v>
      </c>
      <c r="W113" s="1"/>
      <c r="X113" s="1">
        <f t="shared" si="68"/>
        <v>3595.3699999999953</v>
      </c>
      <c r="Y113" s="1"/>
      <c r="Z113" s="5">
        <f t="shared" si="69"/>
        <v>3.3971465016298913E-2</v>
      </c>
    </row>
    <row r="114" spans="1:26" s="24" customFormat="1" hidden="1" outlineLevel="2" x14ac:dyDescent="0.3">
      <c r="A114" s="27"/>
      <c r="B114" s="11" t="str">
        <f>CONCATENATE("          ", "6371", " - ", "COMPUTER SOFTWARE MAINTENANCE")</f>
        <v xml:space="preserve">          6371 - COMPUTER SOFTWARE MAINTENANCE</v>
      </c>
      <c r="C114" s="11"/>
      <c r="D114" s="7"/>
      <c r="E114" s="2"/>
      <c r="F114" s="6">
        <f t="shared" si="62"/>
        <v>0</v>
      </c>
      <c r="G114" s="2"/>
      <c r="H114" s="7">
        <v>1000</v>
      </c>
      <c r="I114" s="2"/>
      <c r="J114" s="6">
        <f t="shared" si="63"/>
        <v>4.5932852600098019E-4</v>
      </c>
      <c r="K114" s="2"/>
      <c r="L114" s="7">
        <f t="shared" si="64"/>
        <v>-1000</v>
      </c>
      <c r="M114" s="2"/>
      <c r="N114" s="6">
        <f t="shared" si="65"/>
        <v>-1</v>
      </c>
      <c r="O114" s="11"/>
      <c r="P114" s="7">
        <v>62511</v>
      </c>
      <c r="Q114" s="2"/>
      <c r="R114" s="6">
        <f t="shared" si="66"/>
        <v>1.1285383579772849E-2</v>
      </c>
      <c r="S114" s="2"/>
      <c r="T114" s="7">
        <v>46100</v>
      </c>
      <c r="U114" s="2"/>
      <c r="V114" s="6">
        <f t="shared" si="67"/>
        <v>5.5419944327600393E-3</v>
      </c>
      <c r="W114" s="2"/>
      <c r="X114" s="7">
        <f t="shared" si="68"/>
        <v>16411</v>
      </c>
      <c r="Y114" s="2"/>
      <c r="Z114" s="6">
        <f t="shared" si="69"/>
        <v>0.35598698481561825</v>
      </c>
    </row>
    <row r="115" spans="1:26" s="24" customFormat="1" hidden="1" outlineLevel="2" x14ac:dyDescent="0.3">
      <c r="A115" s="27"/>
      <c r="B115" s="11" t="str">
        <f>CONCATENATE("          ", "6372", " - ", "COMPUTER HARDWARE MAINTENANCE")</f>
        <v xml:space="preserve">          6372 - COMPUTER HARDWARE MAINTENANCE</v>
      </c>
      <c r="C115" s="11"/>
      <c r="D115" s="7"/>
      <c r="E115" s="2"/>
      <c r="F115" s="6">
        <f t="shared" si="62"/>
        <v>0</v>
      </c>
      <c r="G115" s="2"/>
      <c r="H115" s="7">
        <v>3750</v>
      </c>
      <c r="I115" s="2"/>
      <c r="J115" s="6">
        <f t="shared" si="63"/>
        <v>1.7224819725036758E-3</v>
      </c>
      <c r="K115" s="2"/>
      <c r="L115" s="7">
        <f t="shared" si="64"/>
        <v>-3750</v>
      </c>
      <c r="M115" s="2"/>
      <c r="N115" s="6">
        <f t="shared" si="65"/>
        <v>-1</v>
      </c>
      <c r="O115" s="11"/>
      <c r="P115" s="7"/>
      <c r="Q115" s="2"/>
      <c r="R115" s="6">
        <f t="shared" si="66"/>
        <v>0</v>
      </c>
      <c r="S115" s="2"/>
      <c r="T115" s="7">
        <v>22870</v>
      </c>
      <c r="U115" s="2"/>
      <c r="V115" s="6">
        <f t="shared" si="67"/>
        <v>2.7493581925644708E-3</v>
      </c>
      <c r="W115" s="2"/>
      <c r="X115" s="7">
        <f t="shared" si="68"/>
        <v>-22870</v>
      </c>
      <c r="Y115" s="2"/>
      <c r="Z115" s="6">
        <f t="shared" si="69"/>
        <v>-1</v>
      </c>
    </row>
    <row r="116" spans="1:26" s="24" customFormat="1" hidden="1" outlineLevel="2" x14ac:dyDescent="0.3">
      <c r="A116" s="27"/>
      <c r="B116" s="11" t="str">
        <f>CONCATENATE("          ", "6373", " - ", "MAINTENANCE CONTRACTS")</f>
        <v xml:space="preserve">          6373 - MAINTENANCE CONTRACTS</v>
      </c>
      <c r="C116" s="11"/>
      <c r="D116" s="7">
        <v>1512.02</v>
      </c>
      <c r="E116" s="2"/>
      <c r="F116" s="6">
        <f t="shared" si="62"/>
        <v>1.6591328365049693E-3</v>
      </c>
      <c r="G116" s="2"/>
      <c r="H116" s="7">
        <v>5955</v>
      </c>
      <c r="I116" s="2"/>
      <c r="J116" s="6">
        <f t="shared" si="63"/>
        <v>2.735301372335837E-3</v>
      </c>
      <c r="K116" s="2"/>
      <c r="L116" s="7">
        <f t="shared" si="64"/>
        <v>-4442.9799999999996</v>
      </c>
      <c r="M116" s="2"/>
      <c r="N116" s="6">
        <f t="shared" si="65"/>
        <v>-0.74609235936188067</v>
      </c>
      <c r="O116" s="11"/>
      <c r="P116" s="7">
        <v>15995.19</v>
      </c>
      <c r="Q116" s="2"/>
      <c r="R116" s="6">
        <f t="shared" si="66"/>
        <v>2.8876814413678694E-3</v>
      </c>
      <c r="S116" s="2"/>
      <c r="T116" s="7">
        <v>36085</v>
      </c>
      <c r="U116" s="2"/>
      <c r="V116" s="6">
        <f t="shared" si="67"/>
        <v>4.3380231910226906E-3</v>
      </c>
      <c r="W116" s="2"/>
      <c r="X116" s="7">
        <f t="shared" si="68"/>
        <v>-20089.809999999998</v>
      </c>
      <c r="Y116" s="2"/>
      <c r="Z116" s="6">
        <f t="shared" si="69"/>
        <v>-0.55673576278231951</v>
      </c>
    </row>
    <row r="117" spans="1:26" s="24" customFormat="1" hidden="1" outlineLevel="2" x14ac:dyDescent="0.3">
      <c r="A117" s="27"/>
      <c r="B117" s="11" t="str">
        <f>CONCATENATE("          ", "6375", " - ", "OUTSIDE REPAIRS &amp; MAINTENANCE")</f>
        <v xml:space="preserve">          6375 - OUTSIDE REPAIRS &amp; MAINTENANCE</v>
      </c>
      <c r="C117" s="11"/>
      <c r="D117" s="7">
        <v>10110.73</v>
      </c>
      <c r="E117" s="2"/>
      <c r="F117" s="6">
        <f t="shared" si="62"/>
        <v>1.1094459163262316E-2</v>
      </c>
      <c r="G117" s="2"/>
      <c r="H117" s="7">
        <v>540</v>
      </c>
      <c r="I117" s="2"/>
      <c r="J117" s="6">
        <f t="shared" si="63"/>
        <v>2.4803740404052933E-4</v>
      </c>
      <c r="K117" s="2"/>
      <c r="L117" s="7">
        <f t="shared" si="64"/>
        <v>9570.73</v>
      </c>
      <c r="M117" s="2"/>
      <c r="N117" s="6">
        <f t="shared" si="65"/>
        <v>17.723574074074072</v>
      </c>
      <c r="O117" s="11"/>
      <c r="P117" s="7">
        <v>30924.18</v>
      </c>
      <c r="Q117" s="2"/>
      <c r="R117" s="6">
        <f t="shared" si="66"/>
        <v>5.5828771446615787E-3</v>
      </c>
      <c r="S117" s="2"/>
      <c r="T117" s="7">
        <v>780</v>
      </c>
      <c r="U117" s="2"/>
      <c r="V117" s="6">
        <f t="shared" si="67"/>
        <v>9.3769103200712166E-5</v>
      </c>
      <c r="W117" s="2"/>
      <c r="X117" s="7">
        <f t="shared" si="68"/>
        <v>30144.18</v>
      </c>
      <c r="Y117" s="2"/>
      <c r="Z117" s="6">
        <f t="shared" si="69"/>
        <v>38.646384615384619</v>
      </c>
    </row>
    <row r="118" spans="1:26" s="28" customFormat="1" outlineLevel="1" collapsed="1" x14ac:dyDescent="0.3">
      <c r="A118" s="29"/>
      <c r="B118" s="14" t="str">
        <f>CONCATENATE("     ","Royalty &amp; Commissions                             ")</f>
        <v xml:space="preserve">     Royalty &amp; Commissions                             </v>
      </c>
      <c r="C118" s="14"/>
      <c r="D118" s="1">
        <f>SUM(OSRRefD22_17x_0)</f>
        <v>23704.5</v>
      </c>
      <c r="E118" s="1"/>
      <c r="F118" s="5">
        <f t="shared" ref="F118:F122" si="70">IF(D$12=0,0,D118/D$12)</f>
        <v>2.601084266275052E-2</v>
      </c>
      <c r="G118" s="1"/>
      <c r="H118" s="1">
        <f>SUM(OSRRefH22_17x_0)</f>
        <v>19106</v>
      </c>
      <c r="I118" s="1"/>
      <c r="J118" s="5">
        <f t="shared" ref="J118:J122" si="71">IF(H$12=0,0,H118/H$12)</f>
        <v>8.7759308177747276E-3</v>
      </c>
      <c r="K118" s="1"/>
      <c r="L118" s="1">
        <f t="shared" ref="L118:L122" si="72">+D118-H118</f>
        <v>4598.5</v>
      </c>
      <c r="M118" s="1"/>
      <c r="N118" s="5">
        <f t="shared" ref="N118:N122" si="73">IF(H118=0,0,L118/H118)</f>
        <v>0.24068355490421858</v>
      </c>
      <c r="O118" s="14"/>
      <c r="P118" s="1">
        <f>SUM(OSRRefP22_17x_0)</f>
        <v>45451.430000000008</v>
      </c>
      <c r="Q118" s="1"/>
      <c r="R118" s="5">
        <f t="shared" ref="R118:R122" si="74">IF(P$12=0,0,P118/P$12)</f>
        <v>8.205544972871898E-3</v>
      </c>
      <c r="S118" s="1"/>
      <c r="T118" s="1">
        <f>SUM(OSRRefT22_17x_0)</f>
        <v>64198</v>
      </c>
      <c r="U118" s="1"/>
      <c r="V118" s="5">
        <f t="shared" ref="V118:V122" si="75">IF(T$12=0,0,T118/T$12)</f>
        <v>7.7176780606145121E-3</v>
      </c>
      <c r="W118" s="1"/>
      <c r="X118" s="1">
        <f t="shared" ref="X118:X122" si="76">+P118-T118</f>
        <v>-18746.569999999992</v>
      </c>
      <c r="Y118" s="1"/>
      <c r="Z118" s="5">
        <f t="shared" ref="Z118:Z122" si="77">IF(T118=0,0,X118/T118)</f>
        <v>-0.29201174491417164</v>
      </c>
    </row>
    <row r="119" spans="1:26" s="24" customFormat="1" hidden="1" outlineLevel="2" x14ac:dyDescent="0.3">
      <c r="A119" s="27"/>
      <c r="B119" s="11" t="str">
        <f>CONCATENATE("          ", "6252", " - ", "ROYALTY DUE CSTV")</f>
        <v xml:space="preserve">          6252 - ROYALTY DUE CSTV</v>
      </c>
      <c r="C119" s="11"/>
      <c r="D119" s="7"/>
      <c r="E119" s="2"/>
      <c r="F119" s="6">
        <f t="shared" si="70"/>
        <v>0</v>
      </c>
      <c r="G119" s="2"/>
      <c r="H119" s="7">
        <v>821</v>
      </c>
      <c r="I119" s="2"/>
      <c r="J119" s="6">
        <f t="shared" si="71"/>
        <v>3.7710871984680475E-4</v>
      </c>
      <c r="K119" s="2"/>
      <c r="L119" s="7">
        <f t="shared" si="72"/>
        <v>-821</v>
      </c>
      <c r="M119" s="2"/>
      <c r="N119" s="6">
        <f t="shared" si="73"/>
        <v>-1</v>
      </c>
      <c r="O119" s="11"/>
      <c r="P119" s="7"/>
      <c r="Q119" s="2"/>
      <c r="R119" s="6">
        <f t="shared" si="74"/>
        <v>0</v>
      </c>
      <c r="S119" s="2"/>
      <c r="T119" s="7">
        <v>11051</v>
      </c>
      <c r="U119" s="2"/>
      <c r="V119" s="6">
        <f t="shared" si="75"/>
        <v>1.328515845475731E-3</v>
      </c>
      <c r="W119" s="2"/>
      <c r="X119" s="7">
        <f t="shared" si="76"/>
        <v>-11051</v>
      </c>
      <c r="Y119" s="2"/>
      <c r="Z119" s="6">
        <f t="shared" si="77"/>
        <v>-1</v>
      </c>
    </row>
    <row r="120" spans="1:26" s="24" customFormat="1" hidden="1" outlineLevel="2" x14ac:dyDescent="0.3">
      <c r="A120" s="27"/>
      <c r="B120" s="11" t="str">
        <f>CONCATENATE("          ", "6253", " - ", "ROYALTY DUE ATHLETICS-LRG")</f>
        <v xml:space="preserve">          6253 - ROYALTY DUE ATHLETICS-LRG</v>
      </c>
      <c r="C120" s="11"/>
      <c r="D120" s="7">
        <v>16060.87</v>
      </c>
      <c r="E120" s="2"/>
      <c r="F120" s="6">
        <f t="shared" si="70"/>
        <v>1.7623521381884874E-2</v>
      </c>
      <c r="G120" s="2"/>
      <c r="H120" s="7">
        <v>7785</v>
      </c>
      <c r="I120" s="2"/>
      <c r="J120" s="6">
        <f t="shared" si="71"/>
        <v>3.5758725749176308E-3</v>
      </c>
      <c r="K120" s="2"/>
      <c r="L120" s="7">
        <f t="shared" si="72"/>
        <v>8275.8700000000008</v>
      </c>
      <c r="M120" s="2"/>
      <c r="N120" s="6">
        <f t="shared" si="73"/>
        <v>1.0630533076429032</v>
      </c>
      <c r="O120" s="11"/>
      <c r="P120" s="7">
        <v>39221.160000000003</v>
      </c>
      <c r="Q120" s="2"/>
      <c r="R120" s="6">
        <f t="shared" si="74"/>
        <v>7.0807671456806602E-3</v>
      </c>
      <c r="S120" s="2"/>
      <c r="T120" s="7">
        <v>23947</v>
      </c>
      <c r="U120" s="2"/>
      <c r="V120" s="6">
        <f t="shared" si="75"/>
        <v>2.8788316850608389E-3</v>
      </c>
      <c r="W120" s="2"/>
      <c r="X120" s="7">
        <f t="shared" si="76"/>
        <v>15274.160000000003</v>
      </c>
      <c r="Y120" s="2"/>
      <c r="Z120" s="6">
        <f t="shared" si="77"/>
        <v>0.63783187873220037</v>
      </c>
    </row>
    <row r="121" spans="1:26" s="24" customFormat="1" hidden="1" outlineLevel="2" x14ac:dyDescent="0.3">
      <c r="A121" s="27"/>
      <c r="B121" s="11" t="str">
        <f>CONCATENATE("          ", "6254", " - ", "ROYALTY &amp; COMMISSIONS")</f>
        <v xml:space="preserve">          6254 - ROYALTY &amp; COMMISSIONS</v>
      </c>
      <c r="C121" s="11"/>
      <c r="D121" s="7">
        <v>7389.19</v>
      </c>
      <c r="E121" s="2"/>
      <c r="F121" s="6">
        <f t="shared" si="70"/>
        <v>8.1081253979273776E-3</v>
      </c>
      <c r="G121" s="2"/>
      <c r="H121" s="7">
        <v>500</v>
      </c>
      <c r="I121" s="2"/>
      <c r="J121" s="6">
        <f t="shared" si="71"/>
        <v>2.2966426300049009E-4</v>
      </c>
      <c r="K121" s="2"/>
      <c r="L121" s="7">
        <f t="shared" si="72"/>
        <v>6889.19</v>
      </c>
      <c r="M121" s="2"/>
      <c r="N121" s="6">
        <f t="shared" si="73"/>
        <v>13.778379999999999</v>
      </c>
      <c r="O121" s="11"/>
      <c r="P121" s="7">
        <v>361.69</v>
      </c>
      <c r="Q121" s="2"/>
      <c r="R121" s="6">
        <f t="shared" si="74"/>
        <v>6.5297473836093512E-5</v>
      </c>
      <c r="S121" s="2"/>
      <c r="T121" s="7">
        <v>500</v>
      </c>
      <c r="U121" s="2"/>
      <c r="V121" s="6">
        <f t="shared" si="75"/>
        <v>6.0108399487636E-5</v>
      </c>
      <c r="W121" s="2"/>
      <c r="X121" s="7">
        <f t="shared" si="76"/>
        <v>-138.31</v>
      </c>
      <c r="Y121" s="2"/>
      <c r="Z121" s="6">
        <f t="shared" si="77"/>
        <v>-0.27661999999999998</v>
      </c>
    </row>
    <row r="122" spans="1:26" s="24" customFormat="1" hidden="1" outlineLevel="2" x14ac:dyDescent="0.3">
      <c r="A122" s="27"/>
      <c r="B122" s="11" t="str">
        <f>CONCATENATE("          ", "6259", " - ", "ROYALTY &amp; COMMISSIONS")</f>
        <v xml:space="preserve">          6259 - ROYALTY &amp; COMMISSIONS</v>
      </c>
      <c r="C122" s="11"/>
      <c r="D122" s="7">
        <v>254.44</v>
      </c>
      <c r="E122" s="2"/>
      <c r="F122" s="6">
        <f t="shared" si="70"/>
        <v>2.7919588293827088E-4</v>
      </c>
      <c r="G122" s="2"/>
      <c r="H122" s="7">
        <v>10000</v>
      </c>
      <c r="I122" s="2"/>
      <c r="J122" s="6">
        <f t="shared" si="71"/>
        <v>4.5932852600098018E-3</v>
      </c>
      <c r="K122" s="2"/>
      <c r="L122" s="7">
        <f t="shared" si="72"/>
        <v>-9745.56</v>
      </c>
      <c r="M122" s="2"/>
      <c r="N122" s="6">
        <f t="shared" si="73"/>
        <v>-0.97455599999999998</v>
      </c>
      <c r="O122" s="11"/>
      <c r="P122" s="7">
        <v>5868.58</v>
      </c>
      <c r="Q122" s="2"/>
      <c r="R122" s="6">
        <f t="shared" si="74"/>
        <v>1.0594803533551431E-3</v>
      </c>
      <c r="S122" s="2"/>
      <c r="T122" s="7">
        <v>28700</v>
      </c>
      <c r="U122" s="2"/>
      <c r="V122" s="6">
        <f t="shared" si="75"/>
        <v>3.4502221305903065E-3</v>
      </c>
      <c r="W122" s="2"/>
      <c r="X122" s="7">
        <f t="shared" si="76"/>
        <v>-22831.42</v>
      </c>
      <c r="Y122" s="2"/>
      <c r="Z122" s="6">
        <f t="shared" si="77"/>
        <v>-0.79551986062717761</v>
      </c>
    </row>
    <row r="123" spans="1:26" s="28" customFormat="1" outlineLevel="1" collapsed="1" x14ac:dyDescent="0.3">
      <c r="A123" s="29"/>
      <c r="B123" s="14" t="str">
        <f>CONCATENATE("     ","Services                                          ")</f>
        <v xml:space="preserve">     Services                                          </v>
      </c>
      <c r="C123" s="14"/>
      <c r="D123" s="1">
        <f>SUM(OSRRefD22_18x_0)</f>
        <v>4457.3099999999995</v>
      </c>
      <c r="E123" s="1"/>
      <c r="F123" s="5">
        <f t="shared" ref="F123:F126" si="78">IF(D$12=0,0,D123/D$12)</f>
        <v>4.8909864839631507E-3</v>
      </c>
      <c r="G123" s="1"/>
      <c r="H123" s="1">
        <f>SUM(OSRRefH22_18x_0)</f>
        <v>4360</v>
      </c>
      <c r="I123" s="1"/>
      <c r="J123" s="5">
        <f t="shared" ref="J123:J126" si="79">IF(H$12=0,0,H123/H$12)</f>
        <v>2.0026723733642736E-3</v>
      </c>
      <c r="K123" s="1"/>
      <c r="L123" s="1">
        <f t="shared" ref="L123:L126" si="80">+D123-H123</f>
        <v>97.309999999999491</v>
      </c>
      <c r="M123" s="1"/>
      <c r="N123" s="5">
        <f t="shared" ref="N123:N126" si="81">IF(H123=0,0,L123/H123)</f>
        <v>2.2318807339449423E-2</v>
      </c>
      <c r="O123" s="14"/>
      <c r="P123" s="1">
        <f>SUM(OSRRefP22_18x_0)</f>
        <v>40244.299999999996</v>
      </c>
      <c r="Q123" s="1"/>
      <c r="R123" s="5">
        <f t="shared" ref="R123:R126" si="82">IF(P$12=0,0,P123/P$12)</f>
        <v>7.2654790740742017E-3</v>
      </c>
      <c r="S123" s="1"/>
      <c r="T123" s="1">
        <f>SUM(OSRRefT22_18x_0)</f>
        <v>30640</v>
      </c>
      <c r="U123" s="1"/>
      <c r="V123" s="5">
        <f t="shared" ref="V123:V126" si="83">IF(T$12=0,0,T123/T$12)</f>
        <v>3.6834427206023342E-3</v>
      </c>
      <c r="W123" s="1"/>
      <c r="X123" s="1">
        <f t="shared" ref="X123:X126" si="84">+P123-T123</f>
        <v>9604.2999999999956</v>
      </c>
      <c r="Y123" s="1"/>
      <c r="Z123" s="5">
        <f t="shared" ref="Z123:Z126" si="85">IF(T123=0,0,X123/T123)</f>
        <v>0.31345626631853774</v>
      </c>
    </row>
    <row r="124" spans="1:26" s="24" customFormat="1" hidden="1" outlineLevel="2" x14ac:dyDescent="0.3">
      <c r="A124" s="27"/>
      <c r="B124" s="11" t="str">
        <f>CONCATENATE("          ", "6282", " - ", "JANITORIAL/EXTERMINATOR EXPENS")</f>
        <v xml:space="preserve">          6282 - JANITORIAL/EXTERMINATOR EXPENS</v>
      </c>
      <c r="C124" s="11"/>
      <c r="D124" s="7">
        <v>69</v>
      </c>
      <c r="E124" s="2"/>
      <c r="F124" s="6">
        <f t="shared" si="78"/>
        <v>7.5713393816776808E-5</v>
      </c>
      <c r="G124" s="2"/>
      <c r="H124" s="7">
        <v>4300</v>
      </c>
      <c r="I124" s="2"/>
      <c r="J124" s="6">
        <f t="shared" si="79"/>
        <v>1.975112661804215E-3</v>
      </c>
      <c r="K124" s="2"/>
      <c r="L124" s="7">
        <f t="shared" si="80"/>
        <v>-4231</v>
      </c>
      <c r="M124" s="2"/>
      <c r="N124" s="6">
        <f t="shared" si="81"/>
        <v>-0.98395348837209307</v>
      </c>
      <c r="O124" s="11"/>
      <c r="P124" s="7">
        <v>2193.6799999999998</v>
      </c>
      <c r="Q124" s="2"/>
      <c r="R124" s="6">
        <f t="shared" si="82"/>
        <v>3.9603462192695852E-4</v>
      </c>
      <c r="S124" s="2"/>
      <c r="T124" s="7">
        <v>30100</v>
      </c>
      <c r="U124" s="2"/>
      <c r="V124" s="6">
        <f t="shared" si="83"/>
        <v>3.6185256491556876E-3</v>
      </c>
      <c r="W124" s="2"/>
      <c r="X124" s="7">
        <f t="shared" si="84"/>
        <v>-27906.32</v>
      </c>
      <c r="Y124" s="2"/>
      <c r="Z124" s="6">
        <f t="shared" si="85"/>
        <v>-0.92712026578073092</v>
      </c>
    </row>
    <row r="125" spans="1:26" s="24" customFormat="1" hidden="1" outlineLevel="2" x14ac:dyDescent="0.3">
      <c r="A125" s="27"/>
      <c r="B125" s="11" t="str">
        <f>CONCATENATE("          ", "6284", " - ", "TRASH REMOVAL EXPENSE")</f>
        <v xml:space="preserve">          6284 - TRASH REMOVAL EXPENSE</v>
      </c>
      <c r="C125" s="11"/>
      <c r="D125" s="7">
        <v>149.69999999999999</v>
      </c>
      <c r="E125" s="2"/>
      <c r="F125" s="6">
        <f t="shared" si="78"/>
        <v>1.6426514571552881E-4</v>
      </c>
      <c r="G125" s="2"/>
      <c r="H125" s="7">
        <v>60</v>
      </c>
      <c r="I125" s="2"/>
      <c r="J125" s="6">
        <f t="shared" si="79"/>
        <v>2.7559711560058811E-5</v>
      </c>
      <c r="K125" s="2"/>
      <c r="L125" s="7">
        <f t="shared" si="80"/>
        <v>89.699999999999989</v>
      </c>
      <c r="M125" s="2"/>
      <c r="N125" s="6">
        <f t="shared" si="81"/>
        <v>1.4949999999999999</v>
      </c>
      <c r="O125" s="11"/>
      <c r="P125" s="7">
        <v>1040.77</v>
      </c>
      <c r="Q125" s="2"/>
      <c r="R125" s="6">
        <f t="shared" si="82"/>
        <v>1.8789474921726077E-4</v>
      </c>
      <c r="S125" s="2"/>
      <c r="T125" s="7">
        <v>540</v>
      </c>
      <c r="U125" s="2"/>
      <c r="V125" s="6">
        <f t="shared" si="83"/>
        <v>6.4917071446646886E-5</v>
      </c>
      <c r="W125" s="2"/>
      <c r="X125" s="7">
        <f t="shared" si="84"/>
        <v>500.77</v>
      </c>
      <c r="Y125" s="2"/>
      <c r="Z125" s="6">
        <f t="shared" si="85"/>
        <v>0.92735185185185187</v>
      </c>
    </row>
    <row r="126" spans="1:26" s="24" customFormat="1" hidden="1" outlineLevel="2" x14ac:dyDescent="0.3">
      <c r="A126" s="27"/>
      <c r="B126" s="11" t="str">
        <f>CONCATENATE("          ", "6285", " - ", "JANITORIAL SERVICES")</f>
        <v xml:space="preserve">          6285 - JANITORIAL SERVICES</v>
      </c>
      <c r="C126" s="11"/>
      <c r="D126" s="7">
        <v>4238.6099999999997</v>
      </c>
      <c r="E126" s="2"/>
      <c r="F126" s="6">
        <f t="shared" si="78"/>
        <v>4.6510079444308456E-3</v>
      </c>
      <c r="G126" s="2"/>
      <c r="H126" s="7"/>
      <c r="I126" s="2"/>
      <c r="J126" s="6">
        <f t="shared" si="79"/>
        <v>0</v>
      </c>
      <c r="K126" s="2"/>
      <c r="L126" s="7">
        <f t="shared" si="80"/>
        <v>4238.6099999999997</v>
      </c>
      <c r="M126" s="2"/>
      <c r="N126" s="6">
        <f t="shared" si="81"/>
        <v>0</v>
      </c>
      <c r="O126" s="11"/>
      <c r="P126" s="7">
        <v>37009.85</v>
      </c>
      <c r="Q126" s="2"/>
      <c r="R126" s="6">
        <f t="shared" si="82"/>
        <v>6.6815497029299835E-3</v>
      </c>
      <c r="S126" s="2"/>
      <c r="T126" s="7"/>
      <c r="U126" s="2"/>
      <c r="V126" s="6">
        <f t="shared" si="83"/>
        <v>0</v>
      </c>
      <c r="W126" s="2"/>
      <c r="X126" s="7">
        <f t="shared" si="84"/>
        <v>37009.85</v>
      </c>
      <c r="Y126" s="2"/>
      <c r="Z126" s="6">
        <f t="shared" si="85"/>
        <v>0</v>
      </c>
    </row>
    <row r="127" spans="1:26" s="28" customFormat="1" outlineLevel="1" collapsed="1" x14ac:dyDescent="0.3">
      <c r="A127" s="29"/>
      <c r="B127" s="14" t="str">
        <f>CONCATENATE("     ","Subscriptions &amp; Dues                              ")</f>
        <v xml:space="preserve">     Subscriptions &amp; Dues                              </v>
      </c>
      <c r="C127" s="14"/>
      <c r="D127" s="1">
        <f>SUM(OSRRefD22_19x_0)</f>
        <v>301.99</v>
      </c>
      <c r="E127" s="1"/>
      <c r="F127" s="5">
        <f t="shared" ref="F127:F129" si="86">IF(D$12=0,0,D127/D$12)</f>
        <v>3.3137228693809321E-4</v>
      </c>
      <c r="G127" s="1"/>
      <c r="H127" s="1">
        <f>SUM(OSRRefH22_19x_0)</f>
        <v>2381</v>
      </c>
      <c r="I127" s="1"/>
      <c r="J127" s="5">
        <f t="shared" ref="J127:J129" si="87">IF(H$12=0,0,H127/H$12)</f>
        <v>1.0936612204083338E-3</v>
      </c>
      <c r="K127" s="1"/>
      <c r="L127" s="1">
        <f t="shared" ref="L127:L129" si="88">+D127-H127</f>
        <v>-2079.0100000000002</v>
      </c>
      <c r="M127" s="1"/>
      <c r="N127" s="5">
        <f t="shared" ref="N127:N129" si="89">IF(H127=0,0,L127/H127)</f>
        <v>-0.87316673666526678</v>
      </c>
      <c r="O127" s="14"/>
      <c r="P127" s="1">
        <f>SUM(OSRRefP22_19x_0)</f>
        <v>1693.73</v>
      </c>
      <c r="Q127" s="1"/>
      <c r="R127" s="5">
        <f t="shared" ref="R127:R129" si="90">IF(P$12=0,0,P127/P$12)</f>
        <v>3.0577646703090126E-4</v>
      </c>
      <c r="S127" s="1"/>
      <c r="T127" s="1">
        <f>SUM(OSRRefT22_19x_0)</f>
        <v>9002</v>
      </c>
      <c r="U127" s="1"/>
      <c r="V127" s="5">
        <f t="shared" ref="V127:V129" si="91">IF(T$12=0,0,T127/T$12)</f>
        <v>1.0821916243753985E-3</v>
      </c>
      <c r="W127" s="1"/>
      <c r="X127" s="1">
        <f t="shared" ref="X127:X129" si="92">+P127-T127</f>
        <v>-7308.27</v>
      </c>
      <c r="Y127" s="1"/>
      <c r="Z127" s="5">
        <f t="shared" ref="Z127:Z129" si="93">IF(T127=0,0,X127/T127)</f>
        <v>-0.81184958898022663</v>
      </c>
    </row>
    <row r="128" spans="1:26" s="24" customFormat="1" hidden="1" outlineLevel="2" x14ac:dyDescent="0.3">
      <c r="A128" s="27"/>
      <c r="B128" s="11" t="str">
        <f>CONCATENATE("          ", "6258", " - ", "MEMBERSHIP DUES")</f>
        <v xml:space="preserve">          6258 - MEMBERSHIP DUES</v>
      </c>
      <c r="C128" s="11"/>
      <c r="D128" s="7">
        <v>301.99</v>
      </c>
      <c r="E128" s="2"/>
      <c r="F128" s="6">
        <f t="shared" si="86"/>
        <v>3.3137228693809321E-4</v>
      </c>
      <c r="G128" s="2"/>
      <c r="H128" s="7">
        <v>300</v>
      </c>
      <c r="I128" s="2"/>
      <c r="J128" s="6">
        <f t="shared" si="87"/>
        <v>1.3779855780029406E-4</v>
      </c>
      <c r="K128" s="2"/>
      <c r="L128" s="7">
        <f t="shared" si="88"/>
        <v>1.9900000000000091</v>
      </c>
      <c r="M128" s="2"/>
      <c r="N128" s="6">
        <f t="shared" si="89"/>
        <v>6.6333333333333635E-3</v>
      </c>
      <c r="O128" s="11"/>
      <c r="P128" s="7">
        <v>1693.73</v>
      </c>
      <c r="Q128" s="2"/>
      <c r="R128" s="6">
        <f t="shared" si="90"/>
        <v>3.0577646703090126E-4</v>
      </c>
      <c r="S128" s="2"/>
      <c r="T128" s="7">
        <v>6495</v>
      </c>
      <c r="U128" s="2"/>
      <c r="V128" s="6">
        <f t="shared" si="91"/>
        <v>7.8080810934439164E-4</v>
      </c>
      <c r="W128" s="2"/>
      <c r="X128" s="7">
        <f t="shared" si="92"/>
        <v>-4801.2700000000004</v>
      </c>
      <c r="Y128" s="2"/>
      <c r="Z128" s="6">
        <f t="shared" si="93"/>
        <v>-0.73922555812163204</v>
      </c>
    </row>
    <row r="129" spans="1:26" s="24" customFormat="1" hidden="1" outlineLevel="2" x14ac:dyDescent="0.3">
      <c r="A129" s="27"/>
      <c r="B129" s="11" t="str">
        <f>CONCATENATE("          ", "6275", " - ", "SUBSCRIPTIONS")</f>
        <v xml:space="preserve">          6275 - SUBSCRIPTIONS</v>
      </c>
      <c r="C129" s="11"/>
      <c r="D129" s="7"/>
      <c r="E129" s="2"/>
      <c r="F129" s="6">
        <f t="shared" si="86"/>
        <v>0</v>
      </c>
      <c r="G129" s="2"/>
      <c r="H129" s="7">
        <v>2081</v>
      </c>
      <c r="I129" s="2"/>
      <c r="J129" s="6">
        <f t="shared" si="87"/>
        <v>9.5586266260803987E-4</v>
      </c>
      <c r="K129" s="2"/>
      <c r="L129" s="7">
        <f t="shared" si="88"/>
        <v>-2081</v>
      </c>
      <c r="M129" s="2"/>
      <c r="N129" s="6">
        <f t="shared" si="89"/>
        <v>-1</v>
      </c>
      <c r="O129" s="11"/>
      <c r="P129" s="7"/>
      <c r="Q129" s="2"/>
      <c r="R129" s="6">
        <f t="shared" si="90"/>
        <v>0</v>
      </c>
      <c r="S129" s="2"/>
      <c r="T129" s="7">
        <v>2507</v>
      </c>
      <c r="U129" s="2"/>
      <c r="V129" s="6">
        <f t="shared" si="91"/>
        <v>3.0138351503100689E-4</v>
      </c>
      <c r="W129" s="2"/>
      <c r="X129" s="7">
        <f t="shared" si="92"/>
        <v>-2507</v>
      </c>
      <c r="Y129" s="2"/>
      <c r="Z129" s="6">
        <f t="shared" si="93"/>
        <v>-1</v>
      </c>
    </row>
    <row r="130" spans="1:26" s="28" customFormat="1" outlineLevel="1" collapsed="1" x14ac:dyDescent="0.3">
      <c r="A130" s="29"/>
      <c r="B130" s="14" t="str">
        <f>CONCATENATE("     ","Supplies                                          ")</f>
        <v xml:space="preserve">     Supplies                                          </v>
      </c>
      <c r="C130" s="14"/>
      <c r="D130" s="1">
        <f>SUM(OSRRefD22_20x_0)</f>
        <v>3947.6</v>
      </c>
      <c r="E130" s="1"/>
      <c r="F130" s="5">
        <f t="shared" ref="F130:F137" si="94">IF(D$12=0,0,D130/D$12)</f>
        <v>4.3316839627696837E-3</v>
      </c>
      <c r="G130" s="1"/>
      <c r="H130" s="1">
        <f>SUM(OSRRefH22_20x_0)</f>
        <v>18540</v>
      </c>
      <c r="I130" s="1"/>
      <c r="J130" s="5">
        <f t="shared" ref="J130:J137" si="95">IF(H$12=0,0,H130/H$12)</f>
        <v>8.5159508720581735E-3</v>
      </c>
      <c r="K130" s="1"/>
      <c r="L130" s="1">
        <f t="shared" ref="L130:L137" si="96">+D130-H130</f>
        <v>-14592.4</v>
      </c>
      <c r="M130" s="1"/>
      <c r="N130" s="5">
        <f t="shared" ref="N130:N137" si="97">IF(H130=0,0,L130/H130)</f>
        <v>-0.78707659115426098</v>
      </c>
      <c r="O130" s="14"/>
      <c r="P130" s="1">
        <f>SUM(OSRRefP22_20x_0)</f>
        <v>59971.85</v>
      </c>
      <c r="Q130" s="1"/>
      <c r="R130" s="5">
        <f t="shared" ref="R130:R137" si="98">IF(P$12=0,0,P130/P$12)</f>
        <v>1.0826979751381362E-2</v>
      </c>
      <c r="S130" s="1"/>
      <c r="T130" s="1">
        <f>SUM(OSRRefT22_20x_0)</f>
        <v>80560</v>
      </c>
      <c r="U130" s="1"/>
      <c r="V130" s="5">
        <f t="shared" ref="V130:V137" si="99">IF(T$12=0,0,T130/T$12)</f>
        <v>9.684665325447912E-3</v>
      </c>
      <c r="W130" s="1"/>
      <c r="X130" s="1">
        <f t="shared" ref="X130:X137" si="100">+P130-T130</f>
        <v>-20588.150000000001</v>
      </c>
      <c r="Y130" s="1"/>
      <c r="Z130" s="5">
        <f t="shared" ref="Z130:Z137" si="101">IF(T130=0,0,X130/T130)</f>
        <v>-0.25556293445878847</v>
      </c>
    </row>
    <row r="131" spans="1:26" s="24" customFormat="1" hidden="1" outlineLevel="2" x14ac:dyDescent="0.3">
      <c r="A131" s="27"/>
      <c r="B131" s="11" t="str">
        <f>CONCATENATE("          ", "6234", " - ", "EXPENDABLE SUPPLIES &amp; EQUIPMEN")</f>
        <v xml:space="preserve">          6234 - EXPENDABLE SUPPLIES &amp; EQUIPMEN</v>
      </c>
      <c r="C131" s="11"/>
      <c r="D131" s="7"/>
      <c r="E131" s="2"/>
      <c r="F131" s="6">
        <f t="shared" si="94"/>
        <v>0</v>
      </c>
      <c r="G131" s="2"/>
      <c r="H131" s="7">
        <v>300</v>
      </c>
      <c r="I131" s="2"/>
      <c r="J131" s="6">
        <f t="shared" si="95"/>
        <v>1.3779855780029406E-4</v>
      </c>
      <c r="K131" s="2"/>
      <c r="L131" s="7">
        <f t="shared" si="96"/>
        <v>-300</v>
      </c>
      <c r="M131" s="2"/>
      <c r="N131" s="6">
        <f t="shared" si="97"/>
        <v>-1</v>
      </c>
      <c r="O131" s="11"/>
      <c r="P131" s="7">
        <v>5289.57</v>
      </c>
      <c r="Q131" s="2"/>
      <c r="R131" s="6">
        <f t="shared" si="98"/>
        <v>9.5494915170224546E-4</v>
      </c>
      <c r="S131" s="2"/>
      <c r="T131" s="7">
        <v>1500</v>
      </c>
      <c r="U131" s="2"/>
      <c r="V131" s="6">
        <f t="shared" si="99"/>
        <v>1.8032519846290801E-4</v>
      </c>
      <c r="W131" s="2"/>
      <c r="X131" s="7">
        <f t="shared" si="100"/>
        <v>3789.5699999999997</v>
      </c>
      <c r="Y131" s="2"/>
      <c r="Z131" s="6">
        <f t="shared" si="101"/>
        <v>2.5263799999999996</v>
      </c>
    </row>
    <row r="132" spans="1:26" s="24" customFormat="1" hidden="1" outlineLevel="2" x14ac:dyDescent="0.3">
      <c r="A132" s="27"/>
      <c r="B132" s="11" t="str">
        <f>CONCATENATE("          ", "6235", " - ", "COVID-19 EXPENSES")</f>
        <v xml:space="preserve">          6235 - COVID-19 EXPENSES</v>
      </c>
      <c r="C132" s="11"/>
      <c r="D132" s="7"/>
      <c r="E132" s="2"/>
      <c r="F132" s="6">
        <f t="shared" si="94"/>
        <v>0</v>
      </c>
      <c r="G132" s="2"/>
      <c r="H132" s="7">
        <v>125</v>
      </c>
      <c r="I132" s="2"/>
      <c r="J132" s="6">
        <f t="shared" si="95"/>
        <v>5.7416065750122524E-5</v>
      </c>
      <c r="K132" s="2"/>
      <c r="L132" s="7">
        <f t="shared" si="96"/>
        <v>-125</v>
      </c>
      <c r="M132" s="2"/>
      <c r="N132" s="6">
        <f t="shared" si="97"/>
        <v>-1</v>
      </c>
      <c r="O132" s="11"/>
      <c r="P132" s="7">
        <v>3430.32</v>
      </c>
      <c r="Q132" s="2"/>
      <c r="R132" s="6">
        <f t="shared" si="98"/>
        <v>6.1929063686977338E-4</v>
      </c>
      <c r="S132" s="2"/>
      <c r="T132" s="7">
        <v>875</v>
      </c>
      <c r="U132" s="2"/>
      <c r="V132" s="6">
        <f t="shared" si="99"/>
        <v>1.0518969910336301E-4</v>
      </c>
      <c r="W132" s="2"/>
      <c r="X132" s="7">
        <f t="shared" si="100"/>
        <v>2555.3200000000002</v>
      </c>
      <c r="Y132" s="2"/>
      <c r="Z132" s="6">
        <f t="shared" si="101"/>
        <v>2.9203657142857145</v>
      </c>
    </row>
    <row r="133" spans="1:26" s="24" customFormat="1" hidden="1" outlineLevel="2" x14ac:dyDescent="0.3">
      <c r="A133" s="27"/>
      <c r="B133" s="11" t="str">
        <f>CONCATENATE("          ", "6237", " - ", "JANITORIAL SUPPLIES")</f>
        <v xml:space="preserve">          6237 - JANITORIAL SUPPLIES</v>
      </c>
      <c r="C133" s="11"/>
      <c r="D133" s="7">
        <v>665.03</v>
      </c>
      <c r="E133" s="2"/>
      <c r="F133" s="6">
        <f t="shared" si="94"/>
        <v>7.2973446797059544E-4</v>
      </c>
      <c r="G133" s="2"/>
      <c r="H133" s="7">
        <v>10</v>
      </c>
      <c r="I133" s="2"/>
      <c r="J133" s="6">
        <f t="shared" si="95"/>
        <v>4.5932852600098019E-6</v>
      </c>
      <c r="K133" s="2"/>
      <c r="L133" s="7">
        <f t="shared" si="96"/>
        <v>655.03</v>
      </c>
      <c r="M133" s="2"/>
      <c r="N133" s="6">
        <f t="shared" si="97"/>
        <v>65.503</v>
      </c>
      <c r="O133" s="11"/>
      <c r="P133" s="7">
        <v>4531.17</v>
      </c>
      <c r="Q133" s="2"/>
      <c r="R133" s="6">
        <f t="shared" si="98"/>
        <v>8.1803189062979863E-4</v>
      </c>
      <c r="S133" s="2"/>
      <c r="T133" s="7">
        <v>150</v>
      </c>
      <c r="U133" s="2"/>
      <c r="V133" s="6">
        <f t="shared" si="99"/>
        <v>1.80325198462908E-5</v>
      </c>
      <c r="W133" s="2"/>
      <c r="X133" s="7">
        <f t="shared" si="100"/>
        <v>4381.17</v>
      </c>
      <c r="Y133" s="2"/>
      <c r="Z133" s="6">
        <f t="shared" si="101"/>
        <v>29.207799999999999</v>
      </c>
    </row>
    <row r="134" spans="1:26" s="24" customFormat="1" hidden="1" outlineLevel="2" x14ac:dyDescent="0.3">
      <c r="A134" s="27"/>
      <c r="B134" s="11" t="str">
        <f>CONCATENATE("          ", "6241", " - ", "OFFICE EXPENSE")</f>
        <v xml:space="preserve">          6241 - OFFICE EXPENSE</v>
      </c>
      <c r="C134" s="11"/>
      <c r="D134" s="7">
        <v>491.99</v>
      </c>
      <c r="E134" s="2"/>
      <c r="F134" s="6">
        <f t="shared" si="94"/>
        <v>5.3985844382486992E-4</v>
      </c>
      <c r="G134" s="2"/>
      <c r="H134" s="7">
        <v>780</v>
      </c>
      <c r="I134" s="2"/>
      <c r="J134" s="6">
        <f t="shared" si="95"/>
        <v>3.5827625028076457E-4</v>
      </c>
      <c r="K134" s="2"/>
      <c r="L134" s="7">
        <f t="shared" si="96"/>
        <v>-288.01</v>
      </c>
      <c r="M134" s="2"/>
      <c r="N134" s="6">
        <f t="shared" si="97"/>
        <v>-0.36924358974358973</v>
      </c>
      <c r="O134" s="11"/>
      <c r="P134" s="7">
        <v>9284.23</v>
      </c>
      <c r="Q134" s="2"/>
      <c r="R134" s="6">
        <f t="shared" si="98"/>
        <v>1.6761225511163552E-3</v>
      </c>
      <c r="S134" s="2"/>
      <c r="T134" s="7">
        <v>5060</v>
      </c>
      <c r="U134" s="2"/>
      <c r="V134" s="6">
        <f t="shared" si="99"/>
        <v>6.0829700281487631E-4</v>
      </c>
      <c r="W134" s="2"/>
      <c r="X134" s="7">
        <f t="shared" si="100"/>
        <v>4224.2299999999996</v>
      </c>
      <c r="Y134" s="2"/>
      <c r="Z134" s="6">
        <f t="shared" si="101"/>
        <v>0.83482806324110659</v>
      </c>
    </row>
    <row r="135" spans="1:26" s="24" customFormat="1" hidden="1" outlineLevel="2" x14ac:dyDescent="0.3">
      <c r="A135" s="27"/>
      <c r="B135" s="11" t="str">
        <f>CONCATENATE("          ", "6243", " - ", "PAPER SUPPLIES")</f>
        <v xml:space="preserve">          6243 - PAPER SUPPLIES</v>
      </c>
      <c r="C135" s="11"/>
      <c r="D135" s="7">
        <v>78.34</v>
      </c>
      <c r="E135" s="2"/>
      <c r="F135" s="6">
        <f t="shared" si="94"/>
        <v>8.5962134371105742E-5</v>
      </c>
      <c r="G135" s="2"/>
      <c r="H135" s="7">
        <v>7500</v>
      </c>
      <c r="I135" s="2"/>
      <c r="J135" s="6">
        <f t="shared" si="95"/>
        <v>3.4449639450073516E-3</v>
      </c>
      <c r="K135" s="2"/>
      <c r="L135" s="7">
        <f t="shared" si="96"/>
        <v>-7421.66</v>
      </c>
      <c r="M135" s="2"/>
      <c r="N135" s="6">
        <f t="shared" si="97"/>
        <v>-0.98955466666666669</v>
      </c>
      <c r="O135" s="11"/>
      <c r="P135" s="7">
        <v>4549.24</v>
      </c>
      <c r="Q135" s="2"/>
      <c r="R135" s="6">
        <f t="shared" si="98"/>
        <v>8.2129414657333645E-4</v>
      </c>
      <c r="S135" s="2"/>
      <c r="T135" s="7">
        <v>26400</v>
      </c>
      <c r="U135" s="2"/>
      <c r="V135" s="6">
        <f t="shared" si="99"/>
        <v>3.1737234929471812E-3</v>
      </c>
      <c r="W135" s="2"/>
      <c r="X135" s="7">
        <f t="shared" si="100"/>
        <v>-21850.760000000002</v>
      </c>
      <c r="Y135" s="2"/>
      <c r="Z135" s="6">
        <f t="shared" si="101"/>
        <v>-0.82768030303030315</v>
      </c>
    </row>
    <row r="136" spans="1:26" s="24" customFormat="1" hidden="1" outlineLevel="2" x14ac:dyDescent="0.3">
      <c r="A136" s="27"/>
      <c r="B136" s="11" t="str">
        <f>CONCATENATE("          ", "6245", " - ", "PRINTING")</f>
        <v xml:space="preserve">          6245 - PRINTING</v>
      </c>
      <c r="C136" s="11"/>
      <c r="D136" s="7">
        <v>689.76</v>
      </c>
      <c r="E136" s="2"/>
      <c r="F136" s="6">
        <f t="shared" si="94"/>
        <v>7.5687058723275329E-4</v>
      </c>
      <c r="G136" s="2"/>
      <c r="H136" s="7">
        <v>3750</v>
      </c>
      <c r="I136" s="2"/>
      <c r="J136" s="6">
        <f t="shared" si="95"/>
        <v>1.7224819725036758E-3</v>
      </c>
      <c r="K136" s="2"/>
      <c r="L136" s="7">
        <f t="shared" si="96"/>
        <v>-3060.24</v>
      </c>
      <c r="M136" s="2"/>
      <c r="N136" s="6">
        <f t="shared" si="97"/>
        <v>-0.8160639999999999</v>
      </c>
      <c r="O136" s="11"/>
      <c r="P136" s="7">
        <v>2801.74</v>
      </c>
      <c r="Q136" s="2"/>
      <c r="R136" s="6">
        <f t="shared" si="98"/>
        <v>5.0581034683164217E-4</v>
      </c>
      <c r="S136" s="2"/>
      <c r="T136" s="7">
        <v>5895</v>
      </c>
      <c r="U136" s="2"/>
      <c r="V136" s="6">
        <f t="shared" si="99"/>
        <v>7.0867802995922848E-4</v>
      </c>
      <c r="W136" s="2"/>
      <c r="X136" s="7">
        <f t="shared" si="100"/>
        <v>-3093.26</v>
      </c>
      <c r="Y136" s="2"/>
      <c r="Z136" s="6">
        <f t="shared" si="101"/>
        <v>-0.52472603901611536</v>
      </c>
    </row>
    <row r="137" spans="1:26" s="24" customFormat="1" hidden="1" outlineLevel="2" x14ac:dyDescent="0.3">
      <c r="A137" s="27"/>
      <c r="B137" s="11" t="str">
        <f>CONCATENATE("          ", "6247", " - ", "STORE SUPPLIES")</f>
        <v xml:space="preserve">          6247 - STORE SUPPLIES</v>
      </c>
      <c r="C137" s="11"/>
      <c r="D137" s="7">
        <v>2022.48</v>
      </c>
      <c r="E137" s="2"/>
      <c r="F137" s="6">
        <f t="shared" si="94"/>
        <v>2.2192583293703591E-3</v>
      </c>
      <c r="G137" s="2"/>
      <c r="H137" s="7">
        <v>6075</v>
      </c>
      <c r="I137" s="2"/>
      <c r="J137" s="6">
        <f t="shared" si="95"/>
        <v>2.7904207954559546E-3</v>
      </c>
      <c r="K137" s="2"/>
      <c r="L137" s="7">
        <f t="shared" si="96"/>
        <v>-4052.52</v>
      </c>
      <c r="M137" s="2"/>
      <c r="N137" s="6">
        <f t="shared" si="97"/>
        <v>-0.6670814814814815</v>
      </c>
      <c r="O137" s="11"/>
      <c r="P137" s="7">
        <v>30085.58</v>
      </c>
      <c r="Q137" s="2"/>
      <c r="R137" s="6">
        <f t="shared" si="98"/>
        <v>5.4314810276582118E-3</v>
      </c>
      <c r="S137" s="2"/>
      <c r="T137" s="7">
        <v>40680</v>
      </c>
      <c r="U137" s="2"/>
      <c r="V137" s="6">
        <f t="shared" si="99"/>
        <v>4.890419382314065E-3</v>
      </c>
      <c r="W137" s="2"/>
      <c r="X137" s="7">
        <f t="shared" si="100"/>
        <v>-10594.419999999998</v>
      </c>
      <c r="Y137" s="2"/>
      <c r="Z137" s="6">
        <f t="shared" si="101"/>
        <v>-0.26043313667649948</v>
      </c>
    </row>
    <row r="138" spans="1:26" s="28" customFormat="1" outlineLevel="1" collapsed="1" x14ac:dyDescent="0.3">
      <c r="A138" s="29"/>
      <c r="B138" s="14" t="str">
        <f>CONCATENATE("     ","Telephone/Data Lines                              ")</f>
        <v xml:space="preserve">     Telephone/Data Lines                              </v>
      </c>
      <c r="C138" s="14"/>
      <c r="D138" s="1">
        <f>SUM(OSRRefD22_21x_0)</f>
        <v>2491.98</v>
      </c>
      <c r="E138" s="1"/>
      <c r="F138" s="5">
        <f t="shared" ref="F138:F140" si="102">IF(D$12=0,0,D138/D$12)</f>
        <v>2.7344385959932101E-3</v>
      </c>
      <c r="G138" s="1"/>
      <c r="H138" s="1">
        <f>SUM(OSRRefH22_21x_0)</f>
        <v>2160</v>
      </c>
      <c r="I138" s="1"/>
      <c r="J138" s="5">
        <f t="shared" ref="J138:J140" si="103">IF(H$12=0,0,H138/H$12)</f>
        <v>9.9214961616211732E-4</v>
      </c>
      <c r="K138" s="1"/>
      <c r="L138" s="1">
        <f t="shared" ref="L138:L140" si="104">+D138-H138</f>
        <v>331.98</v>
      </c>
      <c r="M138" s="1"/>
      <c r="N138" s="5">
        <f t="shared" ref="N138:N140" si="105">IF(H138=0,0,L138/H138)</f>
        <v>0.15369444444444444</v>
      </c>
      <c r="O138" s="14"/>
      <c r="P138" s="1">
        <f>SUM(OSRRefP22_21x_0)</f>
        <v>14413.19</v>
      </c>
      <c r="Q138" s="1"/>
      <c r="R138" s="5">
        <f t="shared" ref="R138:R140" si="106">IF(P$12=0,0,P138/P$12)</f>
        <v>2.6020760787404816E-3</v>
      </c>
      <c r="S138" s="1"/>
      <c r="T138" s="1">
        <f>SUM(OSRRefT22_21x_0)</f>
        <v>15020</v>
      </c>
      <c r="U138" s="1"/>
      <c r="V138" s="5">
        <f t="shared" ref="V138:V140" si="107">IF(T$12=0,0,T138/T$12)</f>
        <v>1.8056563206085856E-3</v>
      </c>
      <c r="W138" s="1"/>
      <c r="X138" s="1">
        <f t="shared" ref="X138:X140" si="108">+P138-T138</f>
        <v>-606.80999999999949</v>
      </c>
      <c r="Y138" s="1"/>
      <c r="Z138" s="5">
        <f t="shared" ref="Z138:Z140" si="109">IF(T138=0,0,X138/T138)</f>
        <v>-4.0400133155792245E-2</v>
      </c>
    </row>
    <row r="139" spans="1:26" s="24" customFormat="1" hidden="1" outlineLevel="2" x14ac:dyDescent="0.3">
      <c r="A139" s="27"/>
      <c r="B139" s="11" t="str">
        <f>CONCATENATE("          ", "6303", " - ", "DATA PHONE LINES")</f>
        <v xml:space="preserve">          6303 - DATA PHONE LINES</v>
      </c>
      <c r="C139" s="11"/>
      <c r="D139" s="7"/>
      <c r="E139" s="2"/>
      <c r="F139" s="6">
        <f t="shared" si="102"/>
        <v>0</v>
      </c>
      <c r="G139" s="2"/>
      <c r="H139" s="7">
        <v>0</v>
      </c>
      <c r="I139" s="2"/>
      <c r="J139" s="6">
        <f t="shared" si="103"/>
        <v>0</v>
      </c>
      <c r="K139" s="2"/>
      <c r="L139" s="7">
        <f t="shared" si="104"/>
        <v>0</v>
      </c>
      <c r="M139" s="2"/>
      <c r="N139" s="6">
        <f t="shared" si="105"/>
        <v>0</v>
      </c>
      <c r="O139" s="11"/>
      <c r="P139" s="7">
        <v>295</v>
      </c>
      <c r="Q139" s="2"/>
      <c r="R139" s="6">
        <f t="shared" si="106"/>
        <v>5.3257637152389031E-5</v>
      </c>
      <c r="S139" s="2"/>
      <c r="T139" s="7">
        <v>0</v>
      </c>
      <c r="U139" s="2"/>
      <c r="V139" s="6">
        <f t="shared" si="107"/>
        <v>0</v>
      </c>
      <c r="W139" s="2"/>
      <c r="X139" s="7">
        <f t="shared" si="108"/>
        <v>295</v>
      </c>
      <c r="Y139" s="2"/>
      <c r="Z139" s="6">
        <f t="shared" si="109"/>
        <v>0</v>
      </c>
    </row>
    <row r="140" spans="1:26" s="24" customFormat="1" hidden="1" outlineLevel="2" x14ac:dyDescent="0.3">
      <c r="A140" s="27"/>
      <c r="B140" s="11" t="str">
        <f>CONCATENATE("          ", "6309", " - ", "TELEPHONE")</f>
        <v xml:space="preserve">          6309 - TELEPHONE</v>
      </c>
      <c r="C140" s="11"/>
      <c r="D140" s="7">
        <v>2491.98</v>
      </c>
      <c r="E140" s="2"/>
      <c r="F140" s="6">
        <f t="shared" si="102"/>
        <v>2.7344385959932101E-3</v>
      </c>
      <c r="G140" s="2"/>
      <c r="H140" s="7">
        <v>2160</v>
      </c>
      <c r="I140" s="2"/>
      <c r="J140" s="6">
        <f t="shared" si="103"/>
        <v>9.9214961616211732E-4</v>
      </c>
      <c r="K140" s="2"/>
      <c r="L140" s="7">
        <f t="shared" si="104"/>
        <v>331.98</v>
      </c>
      <c r="M140" s="2"/>
      <c r="N140" s="6">
        <f t="shared" si="105"/>
        <v>0.15369444444444444</v>
      </c>
      <c r="O140" s="11"/>
      <c r="P140" s="7">
        <v>14118.19</v>
      </c>
      <c r="Q140" s="2"/>
      <c r="R140" s="6">
        <f t="shared" si="106"/>
        <v>2.5488184415880925E-3</v>
      </c>
      <c r="S140" s="2"/>
      <c r="T140" s="7">
        <v>15020</v>
      </c>
      <c r="U140" s="2"/>
      <c r="V140" s="6">
        <f t="shared" si="107"/>
        <v>1.8056563206085856E-3</v>
      </c>
      <c r="W140" s="2"/>
      <c r="X140" s="7">
        <f t="shared" si="108"/>
        <v>-901.80999999999949</v>
      </c>
      <c r="Y140" s="2"/>
      <c r="Z140" s="6">
        <f t="shared" si="109"/>
        <v>-6.0040612516644443E-2</v>
      </c>
    </row>
    <row r="141" spans="1:26" s="28" customFormat="1" outlineLevel="1" collapsed="1" x14ac:dyDescent="0.3">
      <c r="A141" s="29"/>
      <c r="B141" s="14" t="str">
        <f>CONCATENATE("     ","Training                                          ")</f>
        <v xml:space="preserve">     Training                                          </v>
      </c>
      <c r="C141" s="14"/>
      <c r="D141" s="1">
        <f>SUM(OSRRefD22_22x_0)</f>
        <v>0</v>
      </c>
      <c r="E141" s="1"/>
      <c r="F141" s="5">
        <f t="shared" ref="F141:F146" si="110">IF(D$12=0,0,D141/D$12)</f>
        <v>0</v>
      </c>
      <c r="G141" s="1"/>
      <c r="H141" s="1">
        <f>SUM(OSRRefH22_22x_0)</f>
        <v>0</v>
      </c>
      <c r="I141" s="1"/>
      <c r="J141" s="5">
        <f t="shared" ref="J141:J146" si="111">IF(H$12=0,0,H141/H$12)</f>
        <v>0</v>
      </c>
      <c r="K141" s="1"/>
      <c r="L141" s="1">
        <f t="shared" ref="L141:L146" si="112">+D141-H141</f>
        <v>0</v>
      </c>
      <c r="M141" s="1"/>
      <c r="N141" s="5">
        <f t="shared" ref="N141:N146" si="113">IF(H141=0,0,L141/H141)</f>
        <v>0</v>
      </c>
      <c r="O141" s="14"/>
      <c r="P141" s="1">
        <f>SUM(OSRRefP22_22x_0)</f>
        <v>595</v>
      </c>
      <c r="Q141" s="1"/>
      <c r="R141" s="5">
        <f t="shared" ref="R141:R146" si="114">IF(P$12=0,0,P141/P$12)</f>
        <v>1.0741794612092025E-4</v>
      </c>
      <c r="S141" s="1"/>
      <c r="T141" s="1">
        <f>SUM(OSRRefT22_22x_0)</f>
        <v>0</v>
      </c>
      <c r="U141" s="1"/>
      <c r="V141" s="5">
        <f t="shared" ref="V141:V146" si="115">IF(T$12=0,0,T141/T$12)</f>
        <v>0</v>
      </c>
      <c r="W141" s="1"/>
      <c r="X141" s="1">
        <f t="shared" ref="X141:X146" si="116">+P141-T141</f>
        <v>595</v>
      </c>
      <c r="Y141" s="1"/>
      <c r="Z141" s="5">
        <f t="shared" ref="Z141:Z146" si="117">IF(T141=0,0,X141/T141)</f>
        <v>0</v>
      </c>
    </row>
    <row r="142" spans="1:26" s="24" customFormat="1" hidden="1" outlineLevel="2" x14ac:dyDescent="0.3">
      <c r="A142" s="27"/>
      <c r="B142" s="11" t="str">
        <f>CONCATENATE("          ", "6376", " - ", "TRAINING")</f>
        <v xml:space="preserve">          6376 - TRAINING</v>
      </c>
      <c r="C142" s="11"/>
      <c r="D142" s="7"/>
      <c r="E142" s="2"/>
      <c r="F142" s="6">
        <f t="shared" si="110"/>
        <v>0</v>
      </c>
      <c r="G142" s="2"/>
      <c r="H142" s="7">
        <v>0</v>
      </c>
      <c r="I142" s="2"/>
      <c r="J142" s="6">
        <f t="shared" si="111"/>
        <v>0</v>
      </c>
      <c r="K142" s="2"/>
      <c r="L142" s="7">
        <f t="shared" si="112"/>
        <v>0</v>
      </c>
      <c r="M142" s="2"/>
      <c r="N142" s="6">
        <f t="shared" si="113"/>
        <v>0</v>
      </c>
      <c r="O142" s="11"/>
      <c r="P142" s="7">
        <v>595</v>
      </c>
      <c r="Q142" s="2"/>
      <c r="R142" s="6">
        <f t="shared" si="114"/>
        <v>1.0741794612092025E-4</v>
      </c>
      <c r="S142" s="2"/>
      <c r="T142" s="7">
        <v>0</v>
      </c>
      <c r="U142" s="2"/>
      <c r="V142" s="6">
        <f t="shared" si="115"/>
        <v>0</v>
      </c>
      <c r="W142" s="2"/>
      <c r="X142" s="7">
        <f t="shared" si="116"/>
        <v>595</v>
      </c>
      <c r="Y142" s="2"/>
      <c r="Z142" s="6">
        <f t="shared" si="117"/>
        <v>0</v>
      </c>
    </row>
    <row r="143" spans="1:26" s="28" customFormat="1" outlineLevel="1" collapsed="1" x14ac:dyDescent="0.3">
      <c r="A143" s="29"/>
      <c r="B143" s="14" t="str">
        <f>CONCATENATE("     ","Travel                                            ")</f>
        <v xml:space="preserve">     Travel                                            </v>
      </c>
      <c r="C143" s="14"/>
      <c r="D143" s="1">
        <f>SUM(OSRRefD22_23x_0)</f>
        <v>0</v>
      </c>
      <c r="E143" s="1"/>
      <c r="F143" s="5">
        <f t="shared" si="110"/>
        <v>0</v>
      </c>
      <c r="G143" s="1"/>
      <c r="H143" s="1">
        <f>SUM(OSRRefH22_23x_0)</f>
        <v>175</v>
      </c>
      <c r="I143" s="1"/>
      <c r="J143" s="5">
        <f t="shared" si="111"/>
        <v>8.038249205017154E-5</v>
      </c>
      <c r="K143" s="1"/>
      <c r="L143" s="1">
        <f t="shared" si="112"/>
        <v>-175</v>
      </c>
      <c r="M143" s="1"/>
      <c r="N143" s="5">
        <f t="shared" si="113"/>
        <v>-1</v>
      </c>
      <c r="O143" s="14"/>
      <c r="P143" s="1">
        <f>SUM(OSRRefP22_23x_0)</f>
        <v>882.0100000000001</v>
      </c>
      <c r="Q143" s="1"/>
      <c r="R143" s="5">
        <f t="shared" si="114"/>
        <v>1.5923311371111409E-4</v>
      </c>
      <c r="S143" s="1"/>
      <c r="T143" s="1">
        <f>SUM(OSRRefT22_23x_0)</f>
        <v>1475</v>
      </c>
      <c r="U143" s="1"/>
      <c r="V143" s="5">
        <f t="shared" si="115"/>
        <v>1.7731977848852622E-4</v>
      </c>
      <c r="W143" s="1"/>
      <c r="X143" s="1">
        <f t="shared" si="116"/>
        <v>-592.9899999999999</v>
      </c>
      <c r="Y143" s="1"/>
      <c r="Z143" s="5">
        <f t="shared" si="117"/>
        <v>-0.4020271186440677</v>
      </c>
    </row>
    <row r="144" spans="1:26" s="24" customFormat="1" hidden="1" outlineLevel="2" x14ac:dyDescent="0.3">
      <c r="A144" s="27"/>
      <c r="B144" s="11" t="str">
        <f>CONCATENATE("          ", "6292", " - ", "TRAVEL/CONFERENCE")</f>
        <v xml:space="preserve">          6292 - TRAVEL/CONFERENCE</v>
      </c>
      <c r="C144" s="11"/>
      <c r="D144" s="7"/>
      <c r="E144" s="2"/>
      <c r="F144" s="6">
        <f t="shared" si="110"/>
        <v>0</v>
      </c>
      <c r="G144" s="2"/>
      <c r="H144" s="7">
        <v>125</v>
      </c>
      <c r="I144" s="2"/>
      <c r="J144" s="6">
        <f t="shared" si="111"/>
        <v>5.7416065750122524E-5</v>
      </c>
      <c r="K144" s="2"/>
      <c r="L144" s="7">
        <f t="shared" si="112"/>
        <v>-125</v>
      </c>
      <c r="M144" s="2"/>
      <c r="N144" s="6">
        <f t="shared" si="113"/>
        <v>-1</v>
      </c>
      <c r="O144" s="11"/>
      <c r="P144" s="7">
        <v>495</v>
      </c>
      <c r="Q144" s="2"/>
      <c r="R144" s="6">
        <f t="shared" si="114"/>
        <v>8.9364509798076509E-5</v>
      </c>
      <c r="S144" s="2"/>
      <c r="T144" s="7">
        <v>875</v>
      </c>
      <c r="U144" s="2"/>
      <c r="V144" s="6">
        <f t="shared" si="115"/>
        <v>1.0518969910336301E-4</v>
      </c>
      <c r="W144" s="2"/>
      <c r="X144" s="7">
        <f t="shared" si="116"/>
        <v>-380</v>
      </c>
      <c r="Y144" s="2"/>
      <c r="Z144" s="6">
        <f t="shared" si="117"/>
        <v>-0.43428571428571427</v>
      </c>
    </row>
    <row r="145" spans="1:26" s="24" customFormat="1" hidden="1" outlineLevel="2" x14ac:dyDescent="0.3">
      <c r="A145" s="27"/>
      <c r="B145" s="11" t="str">
        <f>CONCATENATE("          ", "6294", " - ", "TRAVEL OPERATIONAL")</f>
        <v xml:space="preserve">          6294 - TRAVEL OPERATIONAL</v>
      </c>
      <c r="C145" s="11"/>
      <c r="D145" s="7"/>
      <c r="E145" s="2"/>
      <c r="F145" s="6">
        <f t="shared" si="110"/>
        <v>0</v>
      </c>
      <c r="G145" s="2"/>
      <c r="H145" s="7">
        <v>25</v>
      </c>
      <c r="I145" s="2"/>
      <c r="J145" s="6">
        <f t="shared" si="111"/>
        <v>1.1483213150024505E-5</v>
      </c>
      <c r="K145" s="2"/>
      <c r="L145" s="7">
        <f t="shared" si="112"/>
        <v>-25</v>
      </c>
      <c r="M145" s="2"/>
      <c r="N145" s="6">
        <f t="shared" si="113"/>
        <v>-1</v>
      </c>
      <c r="O145" s="11"/>
      <c r="P145" s="7">
        <v>239.93</v>
      </c>
      <c r="Q145" s="2"/>
      <c r="R145" s="6">
        <f t="shared" si="114"/>
        <v>4.3315609769398983E-5</v>
      </c>
      <c r="S145" s="2"/>
      <c r="T145" s="7">
        <v>175</v>
      </c>
      <c r="U145" s="2"/>
      <c r="V145" s="6">
        <f t="shared" si="115"/>
        <v>2.1037939820672602E-5</v>
      </c>
      <c r="W145" s="2"/>
      <c r="X145" s="7">
        <f t="shared" si="116"/>
        <v>64.930000000000007</v>
      </c>
      <c r="Y145" s="2"/>
      <c r="Z145" s="6">
        <f t="shared" si="117"/>
        <v>0.37102857142857149</v>
      </c>
    </row>
    <row r="146" spans="1:26" s="24" customFormat="1" hidden="1" outlineLevel="2" x14ac:dyDescent="0.3">
      <c r="A146" s="27"/>
      <c r="B146" s="11" t="str">
        <f>CONCATENATE("          ", "6298", " - ", "VEHICLE MILEAGE")</f>
        <v xml:space="preserve">          6298 - VEHICLE MILEAGE</v>
      </c>
      <c r="C146" s="11"/>
      <c r="D146" s="7"/>
      <c r="E146" s="2"/>
      <c r="F146" s="6">
        <f t="shared" si="110"/>
        <v>0</v>
      </c>
      <c r="G146" s="2"/>
      <c r="H146" s="7">
        <v>25</v>
      </c>
      <c r="I146" s="2"/>
      <c r="J146" s="6">
        <f t="shared" si="111"/>
        <v>1.1483213150024505E-5</v>
      </c>
      <c r="K146" s="2"/>
      <c r="L146" s="7">
        <f t="shared" si="112"/>
        <v>-25</v>
      </c>
      <c r="M146" s="2"/>
      <c r="N146" s="6">
        <f t="shared" si="113"/>
        <v>-1</v>
      </c>
      <c r="O146" s="11"/>
      <c r="P146" s="7">
        <v>147.08000000000001</v>
      </c>
      <c r="Q146" s="2"/>
      <c r="R146" s="6">
        <f t="shared" si="114"/>
        <v>2.6552994143638575E-5</v>
      </c>
      <c r="S146" s="2"/>
      <c r="T146" s="7">
        <v>425</v>
      </c>
      <c r="U146" s="2"/>
      <c r="V146" s="6">
        <f t="shared" si="115"/>
        <v>5.1092139564490605E-5</v>
      </c>
      <c r="W146" s="2"/>
      <c r="X146" s="7">
        <f t="shared" si="116"/>
        <v>-277.91999999999996</v>
      </c>
      <c r="Y146" s="2"/>
      <c r="Z146" s="6">
        <f t="shared" si="117"/>
        <v>-0.65392941176470576</v>
      </c>
    </row>
    <row r="147" spans="1:26" s="28" customFormat="1" outlineLevel="1" collapsed="1" x14ac:dyDescent="0.3">
      <c r="A147" s="29"/>
      <c r="B147" s="14" t="str">
        <f>CONCATENATE("     ","Utilities                                         ")</f>
        <v xml:space="preserve">     Utilities                                         </v>
      </c>
      <c r="C147" s="14"/>
      <c r="D147" s="1">
        <f>SUM(OSRRefD22_24x_0)</f>
        <v>6292.91</v>
      </c>
      <c r="E147" s="1"/>
      <c r="F147" s="5">
        <f t="shared" ref="F147:F148" si="118">IF(D$12=0,0,D147/D$12)</f>
        <v>6.9051822186019267E-3</v>
      </c>
      <c r="G147" s="1"/>
      <c r="H147" s="1">
        <f>SUM(OSRRefH22_24x_0)</f>
        <v>6120</v>
      </c>
      <c r="I147" s="1"/>
      <c r="J147" s="5">
        <f t="shared" ref="J147:J148" si="119">IF(H$12=0,0,H147/H$12)</f>
        <v>2.8110905791259989E-3</v>
      </c>
      <c r="K147" s="1"/>
      <c r="L147" s="1">
        <f t="shared" ref="L147:L148" si="120">+D147-H147</f>
        <v>172.90999999999985</v>
      </c>
      <c r="M147" s="1"/>
      <c r="N147" s="5">
        <f t="shared" ref="N147:N148" si="121">IF(H147=0,0,L147/H147)</f>
        <v>2.8253267973856185E-2</v>
      </c>
      <c r="O147" s="14"/>
      <c r="P147" s="1">
        <f>SUM(OSRRefP22_24x_0)</f>
        <v>36539.42</v>
      </c>
      <c r="Q147" s="1"/>
      <c r="R147" s="5">
        <f t="shared" ref="R147:R148" si="122">IF(P$12=0,0,P147/P$12)</f>
        <v>6.5966209224364294E-3</v>
      </c>
      <c r="S147" s="1"/>
      <c r="T147" s="1">
        <f>SUM(OSRRefT22_24x_0)</f>
        <v>42840</v>
      </c>
      <c r="U147" s="1"/>
      <c r="V147" s="5">
        <f t="shared" ref="V147:V148" si="123">IF(T$12=0,0,T147/T$12)</f>
        <v>5.1500876681006523E-3</v>
      </c>
      <c r="W147" s="1"/>
      <c r="X147" s="1">
        <f t="shared" ref="X147:X148" si="124">+P147-T147</f>
        <v>-6300.5800000000017</v>
      </c>
      <c r="Y147" s="1"/>
      <c r="Z147" s="5">
        <f t="shared" ref="Z147:Z148" si="125">IF(T147=0,0,X147/T147)</f>
        <v>-0.14707236227824466</v>
      </c>
    </row>
    <row r="148" spans="1:26" s="24" customFormat="1" hidden="1" outlineLevel="2" x14ac:dyDescent="0.3">
      <c r="A148" s="27"/>
      <c r="B148" s="11" t="str">
        <f>CONCATENATE("          ", "6274", " - ", "UTILITIES")</f>
        <v xml:space="preserve">          6274 - UTILITIES</v>
      </c>
      <c r="C148" s="11"/>
      <c r="D148" s="7">
        <v>6292.91</v>
      </c>
      <c r="E148" s="2"/>
      <c r="F148" s="6">
        <f t="shared" si="118"/>
        <v>6.9051822186019267E-3</v>
      </c>
      <c r="G148" s="2"/>
      <c r="H148" s="7">
        <v>6120</v>
      </c>
      <c r="I148" s="2"/>
      <c r="J148" s="6">
        <f t="shared" si="119"/>
        <v>2.8110905791259989E-3</v>
      </c>
      <c r="K148" s="2"/>
      <c r="L148" s="7">
        <f t="shared" si="120"/>
        <v>172.90999999999985</v>
      </c>
      <c r="M148" s="2"/>
      <c r="N148" s="6">
        <f t="shared" si="121"/>
        <v>2.8253267973856185E-2</v>
      </c>
      <c r="O148" s="11"/>
      <c r="P148" s="7">
        <v>36539.42</v>
      </c>
      <c r="Q148" s="2"/>
      <c r="R148" s="6">
        <f t="shared" si="122"/>
        <v>6.5966209224364294E-3</v>
      </c>
      <c r="S148" s="2"/>
      <c r="T148" s="7">
        <v>42840</v>
      </c>
      <c r="U148" s="2"/>
      <c r="V148" s="6">
        <f t="shared" si="123"/>
        <v>5.1500876681006523E-3</v>
      </c>
      <c r="W148" s="2"/>
      <c r="X148" s="7">
        <f t="shared" si="124"/>
        <v>-6300.5800000000017</v>
      </c>
      <c r="Y148" s="2"/>
      <c r="Z148" s="6">
        <f t="shared" si="125"/>
        <v>-0.14707236227824466</v>
      </c>
    </row>
    <row r="149" spans="1:26" s="55" customFormat="1" x14ac:dyDescent="0.3">
      <c r="A149" s="36"/>
      <c r="B149" s="36"/>
      <c r="C149" s="36"/>
      <c r="D149" s="1"/>
      <c r="E149" s="1"/>
      <c r="F149" s="5"/>
      <c r="G149" s="1"/>
      <c r="H149" s="1"/>
      <c r="I149" s="1"/>
      <c r="J149" s="5"/>
      <c r="K149" s="1"/>
      <c r="L149" s="1"/>
      <c r="M149" s="1"/>
      <c r="N149" s="5"/>
      <c r="O149" s="36"/>
      <c r="P149" s="1"/>
      <c r="Q149" s="1"/>
      <c r="R149" s="5"/>
      <c r="S149" s="1"/>
      <c r="T149" s="1"/>
      <c r="U149" s="1"/>
      <c r="V149" s="5"/>
      <c r="W149" s="1"/>
      <c r="X149" s="1"/>
      <c r="Y149" s="1"/>
      <c r="Z149" s="5"/>
    </row>
    <row r="150" spans="1:26" s="23" customFormat="1" collapsed="1" x14ac:dyDescent="0.3">
      <c r="A150" s="10"/>
      <c r="B150" s="25" t="s">
        <v>293</v>
      </c>
      <c r="C150" s="10"/>
      <c r="D150" s="4">
        <f>SUM(OSRRefD25x_0)</f>
        <v>47232.42</v>
      </c>
      <c r="E150" s="4"/>
      <c r="F150" s="12">
        <f t="shared" ref="F150:F157" si="126">IF(D$12=0,0,D150/D$12)</f>
        <v>5.1827924875063845E-2</v>
      </c>
      <c r="G150" s="4"/>
      <c r="H150" s="4">
        <f>SUM(OSRRefH25x_0)</f>
        <v>29264.33</v>
      </c>
      <c r="I150" s="4"/>
      <c r="J150" s="12">
        <f t="shared" ref="J150:J157" si="127">IF(H$12=0,0,H150/H$12)</f>
        <v>1.3441941563306265E-2</v>
      </c>
      <c r="K150" s="4"/>
      <c r="L150" s="4">
        <f t="shared" ref="L150:L157" si="128">+D150-H150</f>
        <v>17968.089999999997</v>
      </c>
      <c r="M150" s="4"/>
      <c r="N150" s="12">
        <f t="shared" ref="N150:N157" si="129">IF(H150=0,0,L150/H150)</f>
        <v>0.61399287118481771</v>
      </c>
      <c r="O150" s="10"/>
      <c r="P150" s="4">
        <f>SUM(OSRRefP25x_0)</f>
        <v>519739.17</v>
      </c>
      <c r="Q150" s="4"/>
      <c r="R150" s="12">
        <f t="shared" ref="R150:R157" si="130">IF(P$12=0,0,P150/P$12)</f>
        <v>9.3830780100826572E-2</v>
      </c>
      <c r="S150" s="4"/>
      <c r="T150" s="4">
        <f>SUM(OSRRefT25x_0)</f>
        <v>442851.82999999996</v>
      </c>
      <c r="U150" s="4"/>
      <c r="V150" s="12">
        <f t="shared" ref="V150:V157" si="131">IF(T$12=0,0,T150/T$12)</f>
        <v>5.3238229422941326E-2</v>
      </c>
      <c r="W150" s="4"/>
      <c r="X150" s="4">
        <f t="shared" ref="X150:X157" si="132">+P150-T150</f>
        <v>76887.340000000026</v>
      </c>
      <c r="Y150" s="4"/>
      <c r="Z150" s="12">
        <f t="shared" ref="Z150:Z157" si="133">IF(T150=0,0,X150/T150)</f>
        <v>0.17361865705737298</v>
      </c>
    </row>
    <row r="151" spans="1:26" s="24" customFormat="1" hidden="1" outlineLevel="1" x14ac:dyDescent="0.3">
      <c r="A151" s="44"/>
      <c r="B151" s="11" t="str">
        <f>CONCATENATE("          ", "4187", " - ", "NON-TAXABLE SALES-COMPUTER REP")</f>
        <v xml:space="preserve">          4187 - NON-TAXABLE SALES-COMPUTER REP</v>
      </c>
      <c r="C151" s="11"/>
      <c r="D151" s="2">
        <f>0</f>
        <v>0</v>
      </c>
      <c r="E151" s="2"/>
      <c r="F151" s="19">
        <f t="shared" si="126"/>
        <v>0</v>
      </c>
      <c r="G151" s="2"/>
      <c r="H151" s="2"/>
      <c r="I151" s="2"/>
      <c r="J151" s="19">
        <f t="shared" si="127"/>
        <v>0</v>
      </c>
      <c r="K151" s="2"/>
      <c r="L151" s="2">
        <f t="shared" si="128"/>
        <v>0</v>
      </c>
      <c r="M151" s="2"/>
      <c r="N151" s="19">
        <f t="shared" si="129"/>
        <v>0</v>
      </c>
      <c r="O151" s="11"/>
      <c r="P151" s="2">
        <f>0</f>
        <v>0</v>
      </c>
      <c r="Q151" s="2"/>
      <c r="R151" s="19">
        <f t="shared" si="130"/>
        <v>0</v>
      </c>
      <c r="S151" s="2"/>
      <c r="T151" s="2"/>
      <c r="U151" s="2"/>
      <c r="V151" s="19">
        <f t="shared" si="131"/>
        <v>0</v>
      </c>
      <c r="W151" s="2"/>
      <c r="X151" s="2">
        <f t="shared" si="132"/>
        <v>0</v>
      </c>
      <c r="Y151" s="2"/>
      <c r="Z151" s="19">
        <f t="shared" si="133"/>
        <v>0</v>
      </c>
    </row>
    <row r="152" spans="1:26" s="24" customFormat="1" hidden="1" outlineLevel="1" x14ac:dyDescent="0.3">
      <c r="A152" s="44"/>
      <c r="B152" s="11" t="str">
        <f>CONCATENATE("          ", "9087", " - ", "")</f>
        <v xml:space="preserve">          9087 - </v>
      </c>
      <c r="C152" s="11"/>
      <c r="D152" s="2">
        <f>--1293.31</f>
        <v>1293.31</v>
      </c>
      <c r="E152" s="2"/>
      <c r="F152" s="19">
        <f t="shared" si="126"/>
        <v>1.4191433240170379E-3</v>
      </c>
      <c r="G152" s="2"/>
      <c r="H152" s="2"/>
      <c r="I152" s="2"/>
      <c r="J152" s="19">
        <f t="shared" si="127"/>
        <v>0</v>
      </c>
      <c r="K152" s="2"/>
      <c r="L152" s="2">
        <f t="shared" si="128"/>
        <v>1293.31</v>
      </c>
      <c r="M152" s="2"/>
      <c r="N152" s="19">
        <f t="shared" si="129"/>
        <v>0</v>
      </c>
      <c r="O152" s="11"/>
      <c r="P152" s="2">
        <f>--1631.01</f>
        <v>1631.01</v>
      </c>
      <c r="Q152" s="2"/>
      <c r="R152" s="19">
        <f t="shared" si="130"/>
        <v>2.9445335176921366E-4</v>
      </c>
      <c r="S152" s="2"/>
      <c r="T152" s="2"/>
      <c r="U152" s="2"/>
      <c r="V152" s="19">
        <f t="shared" si="131"/>
        <v>0</v>
      </c>
      <c r="W152" s="2"/>
      <c r="X152" s="2">
        <f t="shared" si="132"/>
        <v>1631.01</v>
      </c>
      <c r="Y152" s="2"/>
      <c r="Z152" s="19">
        <f t="shared" si="133"/>
        <v>0</v>
      </c>
    </row>
    <row r="153" spans="1:26" s="24" customFormat="1" hidden="1" outlineLevel="1" x14ac:dyDescent="0.3">
      <c r="A153" s="44"/>
      <c r="B153" s="11" t="str">
        <f>CONCATENATE("          ", "9150", " - ", "MISC. INCOME")</f>
        <v xml:space="preserve">          9150 - MISC. INCOME</v>
      </c>
      <c r="C153" s="11"/>
      <c r="D153" s="2">
        <f>--35586.42</f>
        <v>35586.42</v>
      </c>
      <c r="E153" s="2"/>
      <c r="F153" s="19">
        <f t="shared" si="126"/>
        <v>3.9048820753466995E-2</v>
      </c>
      <c r="G153" s="2"/>
      <c r="H153" s="2">
        <v>27199</v>
      </c>
      <c r="I153" s="2"/>
      <c r="J153" s="19">
        <f t="shared" si="127"/>
        <v>1.2493276578700661E-2</v>
      </c>
      <c r="K153" s="2"/>
      <c r="L153" s="2">
        <f t="shared" si="128"/>
        <v>8387.4199999999983</v>
      </c>
      <c r="M153" s="2"/>
      <c r="N153" s="19">
        <f t="shared" si="129"/>
        <v>0.3083723666311261</v>
      </c>
      <c r="O153" s="11"/>
      <c r="P153" s="2">
        <f>--263416.81</f>
        <v>263416.81</v>
      </c>
      <c r="Q153" s="2"/>
      <c r="R153" s="19">
        <f t="shared" si="130"/>
        <v>4.7555786057016276E-2</v>
      </c>
      <c r="S153" s="2"/>
      <c r="T153" s="2">
        <v>134473</v>
      </c>
      <c r="U153" s="2"/>
      <c r="V153" s="19">
        <f t="shared" si="131"/>
        <v>1.6165913608601753E-2</v>
      </c>
      <c r="W153" s="2"/>
      <c r="X153" s="2">
        <f t="shared" si="132"/>
        <v>128943.81</v>
      </c>
      <c r="Y153" s="2"/>
      <c r="Z153" s="19">
        <f t="shared" si="133"/>
        <v>0.95888252660385354</v>
      </c>
    </row>
    <row r="154" spans="1:26" s="24" customFormat="1" hidden="1" outlineLevel="1" x14ac:dyDescent="0.3">
      <c r="A154" s="44"/>
      <c r="B154" s="11" t="str">
        <f>CONCATENATE("          ", "9151", " - ", "MISC. INCOME")</f>
        <v xml:space="preserve">          9151 - MISC. INCOME</v>
      </c>
      <c r="C154" s="11"/>
      <c r="D154" s="2">
        <f>--2958.75</f>
        <v>2958.75</v>
      </c>
      <c r="E154" s="2"/>
      <c r="F154" s="19">
        <f t="shared" si="126"/>
        <v>3.2466232457302666E-3</v>
      </c>
      <c r="G154" s="2"/>
      <c r="H154" s="2">
        <v>2065.33</v>
      </c>
      <c r="I154" s="2"/>
      <c r="J154" s="19">
        <f t="shared" si="127"/>
        <v>9.486649846056044E-4</v>
      </c>
      <c r="K154" s="2"/>
      <c r="L154" s="2">
        <f t="shared" si="128"/>
        <v>893.42000000000007</v>
      </c>
      <c r="M154" s="2"/>
      <c r="N154" s="19">
        <f t="shared" si="129"/>
        <v>0.43257978143928577</v>
      </c>
      <c r="O154" s="11"/>
      <c r="P154" s="2">
        <f>--171422.11</f>
        <v>171422.11</v>
      </c>
      <c r="Q154" s="2"/>
      <c r="R154" s="19">
        <f t="shared" si="130"/>
        <v>3.0947581472125146E-2</v>
      </c>
      <c r="S154" s="2"/>
      <c r="T154" s="2">
        <v>250045.83</v>
      </c>
      <c r="U154" s="2"/>
      <c r="V154" s="19">
        <f t="shared" si="131"/>
        <v>3.0059709279715036E-2</v>
      </c>
      <c r="W154" s="2"/>
      <c r="X154" s="2">
        <f t="shared" si="132"/>
        <v>-78623.72</v>
      </c>
      <c r="Y154" s="2"/>
      <c r="Z154" s="19">
        <f t="shared" si="133"/>
        <v>-0.31443723736564616</v>
      </c>
    </row>
    <row r="155" spans="1:26" s="24" customFormat="1" hidden="1" outlineLevel="1" x14ac:dyDescent="0.3">
      <c r="A155" s="44"/>
      <c r="B155" s="11" t="str">
        <f>CONCATENATE("          ", "9152", " - ", "MISC. INCOME")</f>
        <v xml:space="preserve">          9152 - MISC. INCOME</v>
      </c>
      <c r="C155" s="11"/>
      <c r="D155" s="2">
        <f>--366.44</f>
        <v>366.44</v>
      </c>
      <c r="E155" s="2"/>
      <c r="F155" s="19">
        <f t="shared" si="126"/>
        <v>4.02092985945213E-4</v>
      </c>
      <c r="G155" s="2"/>
      <c r="H155" s="2"/>
      <c r="I155" s="2"/>
      <c r="J155" s="19">
        <f t="shared" si="127"/>
        <v>0</v>
      </c>
      <c r="K155" s="2"/>
      <c r="L155" s="2">
        <f t="shared" si="128"/>
        <v>366.44</v>
      </c>
      <c r="M155" s="2"/>
      <c r="N155" s="19">
        <f t="shared" si="129"/>
        <v>0</v>
      </c>
      <c r="O155" s="11"/>
      <c r="P155" s="2">
        <f>--3493.54</f>
        <v>3493.54</v>
      </c>
      <c r="Q155" s="2"/>
      <c r="R155" s="19">
        <f t="shared" si="130"/>
        <v>6.3070401931307517E-4</v>
      </c>
      <c r="S155" s="2"/>
      <c r="T155" s="2"/>
      <c r="U155" s="2"/>
      <c r="V155" s="19">
        <f t="shared" si="131"/>
        <v>0</v>
      </c>
      <c r="W155" s="2"/>
      <c r="X155" s="2">
        <f t="shared" si="132"/>
        <v>3493.54</v>
      </c>
      <c r="Y155" s="2"/>
      <c r="Z155" s="19">
        <f t="shared" si="133"/>
        <v>0</v>
      </c>
    </row>
    <row r="156" spans="1:26" s="24" customFormat="1" hidden="1" outlineLevel="1" x14ac:dyDescent="0.3">
      <c r="A156" s="44"/>
      <c r="B156" s="11" t="str">
        <f>CONCATENATE("          ", "9160", " - ", "MISC. INCOME")</f>
        <v xml:space="preserve">          9160 - MISC. INCOME</v>
      </c>
      <c r="C156" s="11"/>
      <c r="D156" s="2">
        <f>0</f>
        <v>0</v>
      </c>
      <c r="E156" s="2"/>
      <c r="F156" s="19">
        <f t="shared" si="126"/>
        <v>0</v>
      </c>
      <c r="G156" s="2"/>
      <c r="H156" s="2">
        <v>0</v>
      </c>
      <c r="I156" s="2"/>
      <c r="J156" s="19">
        <f t="shared" si="127"/>
        <v>0</v>
      </c>
      <c r="K156" s="2"/>
      <c r="L156" s="2">
        <f t="shared" si="128"/>
        <v>0</v>
      </c>
      <c r="M156" s="2"/>
      <c r="N156" s="19">
        <f t="shared" si="129"/>
        <v>0</v>
      </c>
      <c r="O156" s="11"/>
      <c r="P156" s="2">
        <f>0</f>
        <v>0</v>
      </c>
      <c r="Q156" s="2"/>
      <c r="R156" s="19">
        <f t="shared" si="130"/>
        <v>0</v>
      </c>
      <c r="S156" s="2"/>
      <c r="T156" s="2">
        <v>58333</v>
      </c>
      <c r="U156" s="2"/>
      <c r="V156" s="19">
        <f t="shared" si="131"/>
        <v>7.0126065346245419E-3</v>
      </c>
      <c r="W156" s="2"/>
      <c r="X156" s="2">
        <f t="shared" si="132"/>
        <v>-58333</v>
      </c>
      <c r="Y156" s="2"/>
      <c r="Z156" s="19">
        <f t="shared" si="133"/>
        <v>-1</v>
      </c>
    </row>
    <row r="157" spans="1:26" s="24" customFormat="1" hidden="1" outlineLevel="1" x14ac:dyDescent="0.3">
      <c r="A157" s="44"/>
      <c r="B157" s="11" t="str">
        <f>CONCATENATE("          ", "9163", " - ", "MISC. INCOME")</f>
        <v xml:space="preserve">          9163 - MISC. INCOME</v>
      </c>
      <c r="C157" s="11"/>
      <c r="D157" s="2">
        <f>--7027.5</f>
        <v>7027.5</v>
      </c>
      <c r="E157" s="2"/>
      <c r="F157" s="19">
        <f t="shared" si="126"/>
        <v>7.7112445659043346E-3</v>
      </c>
      <c r="G157" s="2"/>
      <c r="H157" s="2"/>
      <c r="I157" s="2"/>
      <c r="J157" s="19">
        <f t="shared" si="127"/>
        <v>0</v>
      </c>
      <c r="K157" s="2"/>
      <c r="L157" s="2">
        <f t="shared" si="128"/>
        <v>7027.5</v>
      </c>
      <c r="M157" s="2"/>
      <c r="N157" s="19">
        <f t="shared" si="129"/>
        <v>0</v>
      </c>
      <c r="O157" s="11"/>
      <c r="P157" s="2">
        <f>--79775.7</f>
        <v>79775.7</v>
      </c>
      <c r="Q157" s="2"/>
      <c r="R157" s="19">
        <f t="shared" si="130"/>
        <v>1.4402255200602853E-2</v>
      </c>
      <c r="S157" s="2"/>
      <c r="T157" s="2"/>
      <c r="U157" s="2"/>
      <c r="V157" s="19">
        <f t="shared" si="131"/>
        <v>0</v>
      </c>
      <c r="W157" s="2"/>
      <c r="X157" s="2">
        <f t="shared" si="132"/>
        <v>79775.7</v>
      </c>
      <c r="Y157" s="2"/>
      <c r="Z157" s="19">
        <f t="shared" si="133"/>
        <v>0</v>
      </c>
    </row>
    <row r="158" spans="1:26" x14ac:dyDescent="0.3">
      <c r="A158" s="9"/>
      <c r="B158" s="10"/>
      <c r="C158" s="10"/>
      <c r="D158" s="3"/>
      <c r="E158" s="3"/>
      <c r="F158" s="8"/>
      <c r="G158" s="3"/>
      <c r="H158" s="3"/>
      <c r="I158" s="3"/>
      <c r="J158" s="8"/>
      <c r="K158" s="3"/>
      <c r="L158" s="3"/>
      <c r="M158" s="3"/>
      <c r="N158" s="8"/>
      <c r="O158" s="10"/>
      <c r="P158" s="3"/>
      <c r="Q158" s="3"/>
      <c r="R158" s="8"/>
      <c r="S158" s="3"/>
      <c r="T158" s="3"/>
      <c r="U158" s="3"/>
      <c r="V158" s="8"/>
      <c r="W158" s="3"/>
      <c r="X158" s="3"/>
      <c r="Y158" s="3"/>
      <c r="Z158" s="8"/>
    </row>
    <row r="159" spans="1:26" s="23" customFormat="1" x14ac:dyDescent="0.3">
      <c r="A159" s="10"/>
      <c r="B159" s="26" t="s">
        <v>277</v>
      </c>
      <c r="C159" s="26"/>
      <c r="D159" s="21">
        <f>+D56-D58+D150</f>
        <v>2124.7900000001682</v>
      </c>
      <c r="E159" s="13"/>
      <c r="F159" s="22">
        <f>IF(D$12=0,0,D159/D$12)</f>
        <v>2.3315226383762602E-3</v>
      </c>
      <c r="G159" s="13"/>
      <c r="H159" s="21">
        <f>+H56-H58+H150</f>
        <v>273855.63207065611</v>
      </c>
      <c r="I159" s="13"/>
      <c r="J159" s="22">
        <f>IF(H$12=0,0,H159/H$12)</f>
        <v>0.12578970381608123</v>
      </c>
      <c r="K159" s="15"/>
      <c r="L159" s="21">
        <f>+D159-H159</f>
        <v>-271730.84207065596</v>
      </c>
      <c r="M159" s="15"/>
      <c r="N159" s="22">
        <f>IF(H159=0,0,L159/H159)</f>
        <v>-0.99224120393678106</v>
      </c>
      <c r="O159" s="25"/>
      <c r="P159" s="21">
        <f>+P56-P58+P150</f>
        <v>115912.24999999866</v>
      </c>
      <c r="Q159" s="13"/>
      <c r="R159" s="22">
        <f>IF(P$12=0,0,P159/P$12)</f>
        <v>2.09261442441252E-2</v>
      </c>
      <c r="S159" s="13"/>
      <c r="T159" s="21">
        <f>+T56-T58+T150</f>
        <v>552487.73853887513</v>
      </c>
      <c r="U159" s="13"/>
      <c r="V159" s="22">
        <f>IF(T$12=0,0,T159/T$12)</f>
        <v>6.6418307400230595E-2</v>
      </c>
      <c r="W159" s="15"/>
      <c r="X159" s="21">
        <f>+P159-T159</f>
        <v>-436575.48853887647</v>
      </c>
      <c r="Y159" s="15"/>
      <c r="Z159" s="22">
        <f>IF(T159=0,0,X159/T159)</f>
        <v>-0.79019941635891588</v>
      </c>
    </row>
    <row r="160" spans="1:26" x14ac:dyDescent="0.3">
      <c r="A160" s="9"/>
      <c r="B160" s="10"/>
      <c r="C160" s="9"/>
      <c r="D160" s="3"/>
      <c r="E160" s="3"/>
      <c r="F160" s="8"/>
      <c r="G160" s="3"/>
      <c r="H160" s="3"/>
      <c r="I160" s="3"/>
      <c r="J160" s="8"/>
      <c r="K160" s="3"/>
      <c r="L160" s="3"/>
      <c r="M160" s="3"/>
      <c r="N160" s="8"/>
      <c r="P160" s="3"/>
      <c r="Q160" s="3"/>
      <c r="R160" s="8"/>
      <c r="S160" s="3"/>
      <c r="T160" s="3"/>
      <c r="U160" s="3"/>
      <c r="V160" s="8"/>
      <c r="W160" s="3"/>
      <c r="X160" s="3"/>
      <c r="Y160" s="3"/>
      <c r="Z160" s="8"/>
    </row>
    <row r="161" spans="1:26" s="23" customFormat="1" x14ac:dyDescent="0.3">
      <c r="A161" s="52"/>
      <c r="B161" s="10" t="s">
        <v>128</v>
      </c>
      <c r="C161" s="10"/>
      <c r="D161" s="4">
        <v>176148.12</v>
      </c>
      <c r="E161" s="4"/>
      <c r="F161" s="12">
        <f>IF(D$12=0,0,D161/D$12)</f>
        <v>0.19328655042963566</v>
      </c>
      <c r="G161" s="4"/>
      <c r="H161" s="4">
        <v>247144</v>
      </c>
      <c r="I161" s="4"/>
      <c r="J161" s="12">
        <f>IF(H$12=0,0,H161/H$12)</f>
        <v>0.11352028922998625</v>
      </c>
      <c r="K161" s="4"/>
      <c r="L161" s="4">
        <f>+D161-H161</f>
        <v>-70995.88</v>
      </c>
      <c r="M161" s="4"/>
      <c r="N161" s="12">
        <f>IF(H161=0,0,L161/H161)</f>
        <v>-0.2872652380798239</v>
      </c>
      <c r="O161" s="10"/>
      <c r="P161" s="4">
        <v>733197.73</v>
      </c>
      <c r="Q161" s="4"/>
      <c r="R161" s="12">
        <f>IF(P$12=0,0,P161/P$12)</f>
        <v>0.13236738530608577</v>
      </c>
      <c r="S161" s="4"/>
      <c r="T161" s="4">
        <v>1042256</v>
      </c>
      <c r="U161" s="4"/>
      <c r="V161" s="12">
        <f>IF(T$12=0,0,T161/T$12)</f>
        <v>0.12529668003277111</v>
      </c>
      <c r="W161" s="4"/>
      <c r="X161" s="4">
        <f>+P161-T161</f>
        <v>-309058.27</v>
      </c>
      <c r="Y161" s="4"/>
      <c r="Z161" s="12">
        <f>IF(T161=0,0,X161/T161)</f>
        <v>-0.29652817541947468</v>
      </c>
    </row>
    <row r="162" spans="1:26" x14ac:dyDescent="0.3">
      <c r="A162" s="9"/>
      <c r="B162" s="10"/>
      <c r="C162" s="10"/>
      <c r="D162" s="3"/>
      <c r="E162" s="3"/>
      <c r="F162" s="8"/>
      <c r="G162" s="3"/>
      <c r="H162" s="3"/>
      <c r="I162" s="3"/>
      <c r="J162" s="8"/>
      <c r="K162" s="3"/>
      <c r="L162" s="3"/>
      <c r="M162" s="3"/>
      <c r="N162" s="8"/>
      <c r="O162" s="10"/>
      <c r="P162" s="3"/>
      <c r="Q162" s="3"/>
      <c r="R162" s="8"/>
      <c r="S162" s="3"/>
      <c r="T162" s="3"/>
      <c r="U162" s="3"/>
      <c r="V162" s="8"/>
      <c r="W162" s="3"/>
      <c r="X162" s="3"/>
      <c r="Y162" s="3"/>
      <c r="Z162" s="8"/>
    </row>
    <row r="163" spans="1:26" s="23" customFormat="1" ht="15" thickBot="1" x14ac:dyDescent="0.35">
      <c r="A163" s="10"/>
      <c r="B163" s="26" t="s">
        <v>126</v>
      </c>
      <c r="C163" s="26"/>
      <c r="D163" s="32">
        <f>+D159-D161</f>
        <v>-174023.32999999984</v>
      </c>
      <c r="E163" s="13"/>
      <c r="F163" s="31">
        <f>IF(D$12=0,0,D163/D$12)</f>
        <v>-0.19095502779125942</v>
      </c>
      <c r="G163" s="13"/>
      <c r="H163" s="32">
        <f>+H159-H161</f>
        <v>26711.632070656109</v>
      </c>
      <c r="I163" s="13"/>
      <c r="J163" s="31">
        <f>IF(H$12=0,0,H163/H$12)</f>
        <v>1.2269414586094981E-2</v>
      </c>
      <c r="K163" s="15"/>
      <c r="L163" s="32">
        <f>D163-H163</f>
        <v>-200734.96207065595</v>
      </c>
      <c r="M163" s="15"/>
      <c r="N163" s="31">
        <f>IF(H163=0,0,L163/H163)</f>
        <v>-7.5148894511455948</v>
      </c>
      <c r="O163" s="25"/>
      <c r="P163" s="32">
        <f>+P159-P161</f>
        <v>-617285.48000000138</v>
      </c>
      <c r="Q163" s="13"/>
      <c r="R163" s="31">
        <f>IF(P$12=0,0,P163/P$12)</f>
        <v>-0.11144124106196057</v>
      </c>
      <c r="S163" s="13"/>
      <c r="T163" s="32">
        <f>+T159-T161</f>
        <v>-489768.26146112487</v>
      </c>
      <c r="U163" s="13"/>
      <c r="V163" s="31">
        <f>IF(T$12=0,0,T163/T$12)</f>
        <v>-5.8878372632540511E-2</v>
      </c>
      <c r="W163" s="15"/>
      <c r="X163" s="32">
        <f>P163-T163</f>
        <v>-127517.21853887651</v>
      </c>
      <c r="Y163" s="15"/>
      <c r="Z163" s="31">
        <f>IF(T163=0,0,X163/T163)</f>
        <v>0.26036235618546327</v>
      </c>
    </row>
    <row r="164" spans="1:26" ht="15" thickTop="1" x14ac:dyDescent="0.3">
      <c r="A164" s="9"/>
      <c r="B164" s="9"/>
      <c r="C164" s="9"/>
      <c r="D164" s="3"/>
      <c r="E164" s="3"/>
      <c r="F164" s="8"/>
      <c r="G164" s="3"/>
      <c r="H164" s="3"/>
      <c r="I164" s="3"/>
      <c r="J164" s="8"/>
      <c r="K164" s="3"/>
      <c r="L164" s="3"/>
      <c r="M164" s="3"/>
      <c r="N164" s="8"/>
      <c r="P164" s="3"/>
      <c r="Q164" s="3"/>
      <c r="R164" s="8"/>
      <c r="S164" s="3"/>
      <c r="T164" s="3"/>
      <c r="U164" s="3"/>
      <c r="V164" s="8"/>
      <c r="W164" s="3"/>
      <c r="X164" s="3"/>
      <c r="Y164" s="3"/>
      <c r="Z164" s="8"/>
    </row>
    <row r="165" spans="1:26" x14ac:dyDescent="0.3">
      <c r="A165" s="9"/>
      <c r="B165" s="9"/>
      <c r="C165" s="9"/>
      <c r="D165" s="3"/>
      <c r="E165" s="3"/>
      <c r="F165" s="8"/>
      <c r="G165" s="3"/>
      <c r="H165" s="3"/>
      <c r="I165" s="3"/>
      <c r="J165" s="8"/>
      <c r="K165" s="3"/>
      <c r="L165" s="3"/>
      <c r="M165" s="3"/>
      <c r="N165" s="8"/>
      <c r="P165" s="3"/>
      <c r="Q165" s="3"/>
      <c r="R165" s="8"/>
      <c r="S165" s="3"/>
      <c r="T165" s="3"/>
      <c r="U165" s="3"/>
      <c r="V165" s="8"/>
      <c r="W165" s="3"/>
      <c r="X165" s="3"/>
      <c r="Y165" s="3"/>
      <c r="Z165" s="8"/>
    </row>
    <row r="166" spans="1:26" s="23" customFormat="1" ht="15" thickBot="1" x14ac:dyDescent="0.35">
      <c r="A166" s="10"/>
      <c r="B166" s="26" t="s">
        <v>294</v>
      </c>
      <c r="C166" s="26"/>
      <c r="D166" s="34">
        <f>SUM(D163:D165)</f>
        <v>-174023.32999999984</v>
      </c>
      <c r="E166" s="13"/>
      <c r="F166" s="35">
        <f>IF(D$12=0,0,D166/D$12)</f>
        <v>-0.19095502779125942</v>
      </c>
      <c r="G166" s="13"/>
      <c r="H166" s="34">
        <f>SUM(H163:H165)</f>
        <v>26711.632070656109</v>
      </c>
      <c r="I166" s="13"/>
      <c r="J166" s="35">
        <f>IF(H$12=0,0,H166/H$12)</f>
        <v>1.2269414586094981E-2</v>
      </c>
      <c r="K166" s="15"/>
      <c r="L166" s="34">
        <f>+D166-H166</f>
        <v>-200734.96207065595</v>
      </c>
      <c r="M166" s="15"/>
      <c r="N166" s="35">
        <f>IF(H166=0,0,L166/H166)</f>
        <v>-7.5148894511455948</v>
      </c>
      <c r="O166" s="25"/>
      <c r="P166" s="34">
        <f>SUM(P163:P165)</f>
        <v>-617285.48000000138</v>
      </c>
      <c r="Q166" s="13"/>
      <c r="R166" s="35">
        <f>IF(P$12=0,0,P166/P$12)</f>
        <v>-0.11144124106196057</v>
      </c>
      <c r="S166" s="13"/>
      <c r="T166" s="34">
        <f>SUM(T163:T165)</f>
        <v>-489768.26146112487</v>
      </c>
      <c r="U166" s="13"/>
      <c r="V166" s="35">
        <f>IF(T$12=0,0,T166/T$12)</f>
        <v>-5.8878372632540511E-2</v>
      </c>
      <c r="W166" s="15"/>
      <c r="X166" s="34">
        <f>+P166-T166</f>
        <v>-127517.21853887651</v>
      </c>
      <c r="Y166" s="15"/>
      <c r="Z166" s="35">
        <f>IF(T166=0,0,X166/T166)</f>
        <v>0.26036235618546327</v>
      </c>
    </row>
    <row r="167" spans="1:26" ht="15" thickTop="1" x14ac:dyDescent="0.3">
      <c r="A167" s="9"/>
      <c r="C167" s="9"/>
      <c r="D167" s="17"/>
      <c r="E167" s="17"/>
      <c r="G167" s="17"/>
      <c r="H167" s="17"/>
      <c r="I167" s="17"/>
      <c r="J167" s="43"/>
      <c r="K167" s="17"/>
      <c r="L167" s="17"/>
      <c r="M167" s="17"/>
      <c r="P167" s="17"/>
      <c r="Q167" s="17"/>
      <c r="R167" s="43"/>
      <c r="S167" s="17"/>
      <c r="T167" s="17"/>
      <c r="U167" s="17"/>
      <c r="V167" s="43"/>
      <c r="W167" s="17"/>
      <c r="X167" s="17"/>
    </row>
    <row r="168" spans="1:26" x14ac:dyDescent="0.3">
      <c r="A168" s="9"/>
      <c r="B168" s="53">
        <v>44604.019981215279</v>
      </c>
      <c r="D168" s="17"/>
      <c r="E168" s="17"/>
      <c r="G168" s="17"/>
      <c r="H168" s="17"/>
      <c r="I168" s="17"/>
      <c r="J168" s="43"/>
      <c r="K168" s="17"/>
      <c r="L168" s="17"/>
      <c r="M168" s="17"/>
      <c r="P168" s="17"/>
      <c r="Q168" s="17"/>
      <c r="R168" s="43"/>
      <c r="S168" s="17"/>
      <c r="T168" s="17"/>
      <c r="U168" s="17"/>
      <c r="V168" s="43"/>
      <c r="W168" s="17"/>
      <c r="X168" s="17"/>
    </row>
    <row r="169" spans="1:26" x14ac:dyDescent="0.3">
      <c r="A169" s="9"/>
      <c r="B169" s="63" t="s">
        <v>56</v>
      </c>
      <c r="D169" s="17"/>
      <c r="E169" s="17"/>
      <c r="G169" s="17"/>
      <c r="H169" s="17"/>
      <c r="I169" s="17"/>
      <c r="J169" s="43"/>
      <c r="K169" s="17"/>
      <c r="L169" s="17"/>
      <c r="M169" s="17"/>
      <c r="P169" s="17"/>
      <c r="Q169" s="17"/>
      <c r="R169" s="43"/>
      <c r="S169" s="17"/>
      <c r="T169" s="17"/>
      <c r="U169" s="17"/>
      <c r="V169" s="43"/>
      <c r="W169" s="17"/>
      <c r="X169" s="17"/>
    </row>
    <row r="170" spans="1:26" x14ac:dyDescent="0.3">
      <c r="A170" s="9"/>
      <c r="B170" s="58"/>
      <c r="D170" s="17"/>
      <c r="E170" s="17"/>
      <c r="G170" s="17"/>
      <c r="H170" s="17"/>
      <c r="I170" s="17"/>
      <c r="J170" s="43"/>
      <c r="K170" s="17"/>
      <c r="L170" s="17"/>
      <c r="M170" s="17"/>
      <c r="P170" s="17"/>
      <c r="Q170" s="17"/>
      <c r="R170" s="43"/>
      <c r="S170" s="17"/>
      <c r="T170" s="17"/>
      <c r="U170" s="17"/>
      <c r="V170" s="43"/>
      <c r="W170" s="17"/>
      <c r="X170" s="17"/>
    </row>
    <row r="171" spans="1:26" x14ac:dyDescent="0.3">
      <c r="D171" s="17"/>
      <c r="E171" s="17"/>
      <c r="G171" s="17"/>
      <c r="H171" s="17"/>
      <c r="I171" s="17"/>
      <c r="J171" s="43"/>
      <c r="K171" s="17"/>
      <c r="L171" s="17"/>
      <c r="M171" s="17"/>
      <c r="P171" s="17"/>
      <c r="Q171" s="17"/>
      <c r="R171" s="43"/>
      <c r="S171" s="17"/>
      <c r="T171" s="17"/>
      <c r="U171" s="17"/>
      <c r="V171" s="43"/>
      <c r="W171" s="17"/>
      <c r="X171" s="17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  <outlinePr summaryBelow="0" summaryRight="0"/>
  </sheetPr>
  <dimension ref="A2:Z11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","301", " - ", "Bookstore Operations")</f>
        <v>Department 301 - Bookstore Operations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3">
      <c r="A14" s="10"/>
      <c r="B14" s="25" t="s">
        <v>257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0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0</v>
      </c>
      <c r="Y14" s="4"/>
      <c r="Z14" s="12">
        <f t="shared" ref="Z14:Z15" si="7">IF(T14=0,0,X14/T14)</f>
        <v>0</v>
      </c>
    </row>
    <row r="15" spans="1:26" s="24" customFormat="1" hidden="1" outlineLevel="1" x14ac:dyDescent="0.3">
      <c r="A15" s="44"/>
      <c r="B15" s="11" t="str">
        <f>CONCATENATE("          ", "5000", " - ", "PURCHASES @ COST")</f>
        <v xml:space="preserve">          5000 - PURCHASES @ COST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0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0</v>
      </c>
      <c r="Y15" s="2"/>
      <c r="Z15" s="19">
        <f t="shared" si="7"/>
        <v>0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6" t="s">
        <v>108</v>
      </c>
      <c r="C17" s="26"/>
      <c r="D17" s="21">
        <f>D12-D14</f>
        <v>0</v>
      </c>
      <c r="E17" s="13"/>
      <c r="F17" s="22">
        <f>IF(D$12=0,0,D17/D$12)</f>
        <v>0</v>
      </c>
      <c r="G17" s="13"/>
      <c r="H17" s="21">
        <f>H12-H14</f>
        <v>0</v>
      </c>
      <c r="I17" s="13"/>
      <c r="J17" s="22">
        <f>IF(H$12=0,0,H17/H$12)</f>
        <v>0</v>
      </c>
      <c r="K17" s="15"/>
      <c r="L17" s="21">
        <f>+D17-H17</f>
        <v>0</v>
      </c>
      <c r="M17" s="15"/>
      <c r="N17" s="22">
        <f>IF(H17=0,0,L17/H17)</f>
        <v>0</v>
      </c>
      <c r="O17" s="25"/>
      <c r="P17" s="21">
        <f>P12-P14</f>
        <v>0</v>
      </c>
      <c r="Q17" s="13"/>
      <c r="R17" s="22">
        <f>IF(P$12=0,0,P17/P$12)</f>
        <v>0</v>
      </c>
      <c r="S17" s="13"/>
      <c r="T17" s="21">
        <f>T12-T14</f>
        <v>0</v>
      </c>
      <c r="U17" s="13"/>
      <c r="V17" s="22">
        <f>IF(T$12=0,0,T17/T$12)</f>
        <v>0</v>
      </c>
      <c r="W17" s="15"/>
      <c r="X17" s="21">
        <f>+P17-T17</f>
        <v>0</v>
      </c>
      <c r="Y17" s="15"/>
      <c r="Z17" s="22">
        <f>IF(T17=0,0,X17/T17)</f>
        <v>0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5" t="s">
        <v>295</v>
      </c>
      <c r="C19" s="10"/>
      <c r="D19" s="20">
        <f>SUM(OSRRefD22x_0)</f>
        <v>150583.76000000007</v>
      </c>
      <c r="E19" s="20"/>
      <c r="F19" s="33">
        <f t="shared" ref="F19:F30" si="8">IF(D$12=0,0,D19/D$12)</f>
        <v>0</v>
      </c>
      <c r="G19" s="20"/>
      <c r="H19" s="20">
        <f>SUM(OSRRefH22x_0)</f>
        <v>195158.94616613461</v>
      </c>
      <c r="I19" s="20"/>
      <c r="J19" s="33">
        <f t="shared" ref="J19:J30" si="9">IF(H$12=0,0,H19/H$12)</f>
        <v>0</v>
      </c>
      <c r="K19" s="4"/>
      <c r="L19" s="20">
        <f t="shared" ref="L19:L30" si="10">+D19-H19</f>
        <v>-44575.186166134547</v>
      </c>
      <c r="M19" s="4"/>
      <c r="N19" s="33">
        <f t="shared" ref="N19:N30" si="11">IF(H19=0,0,L19/H19)</f>
        <v>-0.22840452380896056</v>
      </c>
      <c r="O19" s="10"/>
      <c r="P19" s="20">
        <f>SUM(OSRRefP22x_0)</f>
        <v>1012952.82</v>
      </c>
      <c r="Q19" s="20"/>
      <c r="R19" s="33">
        <f t="shared" ref="R19:R30" si="12">IF(P$12=0,0,P19/P$12)</f>
        <v>0</v>
      </c>
      <c r="S19" s="20"/>
      <c r="T19" s="20">
        <f>SUM(OSRRefT22x_0)</f>
        <v>998571.11862013466</v>
      </c>
      <c r="U19" s="20"/>
      <c r="V19" s="33">
        <f t="shared" ref="V19:V30" si="13">IF(T$12=0,0,T19/T$12)</f>
        <v>0</v>
      </c>
      <c r="W19" s="4"/>
      <c r="X19" s="20">
        <f t="shared" ref="X19:X30" si="14">+P19-T19</f>
        <v>14381.701379865292</v>
      </c>
      <c r="Y19" s="4"/>
      <c r="Z19" s="33">
        <f t="shared" ref="Z19:Z30" si="15">IF(T19=0,0,X19/T19)</f>
        <v>1.4402280530342695E-2</v>
      </c>
    </row>
    <row r="20" spans="1:26" s="28" customFormat="1" outlineLevel="1" collapsed="1" x14ac:dyDescent="0.3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17114.54</v>
      </c>
      <c r="E20" s="1"/>
      <c r="F20" s="5">
        <f t="shared" si="8"/>
        <v>0</v>
      </c>
      <c r="G20" s="1"/>
      <c r="H20" s="1">
        <f>SUM(OSRRefH22_0x_0)</f>
        <v>8005.9160257500062</v>
      </c>
      <c r="I20" s="1"/>
      <c r="J20" s="5">
        <f t="shared" si="9"/>
        <v>0</v>
      </c>
      <c r="K20" s="1"/>
      <c r="L20" s="1">
        <f t="shared" si="10"/>
        <v>9108.6239742499947</v>
      </c>
      <c r="M20" s="1"/>
      <c r="N20" s="5">
        <f t="shared" si="11"/>
        <v>1.1377366368761888</v>
      </c>
      <c r="O20" s="14"/>
      <c r="P20" s="1">
        <f>SUM(OSRRefP22_0x_0)</f>
        <v>102570.83000000002</v>
      </c>
      <c r="Q20" s="1"/>
      <c r="R20" s="5">
        <f t="shared" si="12"/>
        <v>0</v>
      </c>
      <c r="S20" s="1"/>
      <c r="T20" s="1">
        <f>SUM(OSRRefT22_0x_0)</f>
        <v>44280.525479749973</v>
      </c>
      <c r="U20" s="1"/>
      <c r="V20" s="5">
        <f t="shared" si="13"/>
        <v>0</v>
      </c>
      <c r="W20" s="1"/>
      <c r="X20" s="1">
        <f t="shared" si="14"/>
        <v>58290.304520250043</v>
      </c>
      <c r="Y20" s="1"/>
      <c r="Z20" s="5">
        <f t="shared" si="15"/>
        <v>1.3163869192768933</v>
      </c>
    </row>
    <row r="21" spans="1:26" s="24" customFormat="1" hidden="1" outlineLevel="2" x14ac:dyDescent="0.3">
      <c r="A21" s="27"/>
      <c r="B21" s="11" t="str">
        <f>CONCATENATE("          ", "6111", " - ", "F.I.C.A.")</f>
        <v xml:space="preserve">          6111 - F.I.C.A.</v>
      </c>
      <c r="C21" s="11"/>
      <c r="D21" s="7">
        <v>2137.65</v>
      </c>
      <c r="E21" s="2"/>
      <c r="F21" s="6">
        <f t="shared" si="8"/>
        <v>0</v>
      </c>
      <c r="G21" s="2"/>
      <c r="H21" s="7">
        <v>1250.93377188462</v>
      </c>
      <c r="I21" s="2"/>
      <c r="J21" s="6">
        <f t="shared" si="9"/>
        <v>0</v>
      </c>
      <c r="K21" s="2"/>
      <c r="L21" s="7">
        <f t="shared" si="10"/>
        <v>886.71622811538009</v>
      </c>
      <c r="M21" s="2"/>
      <c r="N21" s="6">
        <f t="shared" si="11"/>
        <v>0.7088434640144694</v>
      </c>
      <c r="O21" s="11"/>
      <c r="P21" s="7">
        <v>18584.18</v>
      </c>
      <c r="Q21" s="2"/>
      <c r="R21" s="6">
        <f t="shared" si="12"/>
        <v>0</v>
      </c>
      <c r="S21" s="2"/>
      <c r="T21" s="7">
        <v>12162.9485158846</v>
      </c>
      <c r="U21" s="2"/>
      <c r="V21" s="6">
        <f t="shared" si="13"/>
        <v>0</v>
      </c>
      <c r="W21" s="2"/>
      <c r="X21" s="7">
        <f t="shared" si="14"/>
        <v>6421.2314841154002</v>
      </c>
      <c r="Y21" s="2"/>
      <c r="Z21" s="6">
        <f t="shared" si="15"/>
        <v>0.52793378807197799</v>
      </c>
    </row>
    <row r="22" spans="1:26" s="24" customFormat="1" hidden="1" outlineLevel="2" x14ac:dyDescent="0.3">
      <c r="A22" s="27"/>
      <c r="B22" s="11" t="str">
        <f>CONCATENATE("          ", "6112", " - ", "COMPENSATION INSURANCE")</f>
        <v xml:space="preserve">          6112 - COMPENSATION INSURANCE</v>
      </c>
      <c r="C22" s="11"/>
      <c r="D22" s="7">
        <v>817.81</v>
      </c>
      <c r="E22" s="2"/>
      <c r="F22" s="6">
        <f t="shared" si="8"/>
        <v>0</v>
      </c>
      <c r="G22" s="2"/>
      <c r="H22" s="7">
        <v>1511.829039</v>
      </c>
      <c r="I22" s="2"/>
      <c r="J22" s="6">
        <f t="shared" si="9"/>
        <v>0</v>
      </c>
      <c r="K22" s="2"/>
      <c r="L22" s="7">
        <f t="shared" si="10"/>
        <v>-694.01903900000002</v>
      </c>
      <c r="M22" s="2"/>
      <c r="N22" s="6">
        <f t="shared" si="11"/>
        <v>-0.45905920649537146</v>
      </c>
      <c r="O22" s="11"/>
      <c r="P22" s="7">
        <v>5401.07</v>
      </c>
      <c r="Q22" s="2"/>
      <c r="R22" s="6">
        <f t="shared" si="12"/>
        <v>0</v>
      </c>
      <c r="S22" s="2"/>
      <c r="T22" s="7">
        <v>5999.5169189999997</v>
      </c>
      <c r="U22" s="2"/>
      <c r="V22" s="6">
        <f t="shared" si="13"/>
        <v>0</v>
      </c>
      <c r="W22" s="2"/>
      <c r="X22" s="7">
        <f t="shared" si="14"/>
        <v>-598.44691899999998</v>
      </c>
      <c r="Y22" s="2"/>
      <c r="Z22" s="6">
        <f t="shared" si="15"/>
        <v>-9.9749184322618631E-2</v>
      </c>
    </row>
    <row r="23" spans="1:26" s="24" customFormat="1" hidden="1" outlineLevel="2" x14ac:dyDescent="0.3">
      <c r="A23" s="27"/>
      <c r="B23" s="11" t="str">
        <f>CONCATENATE("          ", "6113", " - ", "GROUP INSURANCE")</f>
        <v xml:space="preserve">          6113 - GROUP INSURANCE</v>
      </c>
      <c r="C23" s="11"/>
      <c r="D23" s="7">
        <v>4880.57</v>
      </c>
      <c r="E23" s="2"/>
      <c r="F23" s="6">
        <f t="shared" si="8"/>
        <v>0</v>
      </c>
      <c r="G23" s="2"/>
      <c r="H23" s="7">
        <v>1456</v>
      </c>
      <c r="I23" s="2"/>
      <c r="J23" s="6">
        <f t="shared" si="9"/>
        <v>0</v>
      </c>
      <c r="K23" s="2"/>
      <c r="L23" s="7">
        <f t="shared" si="10"/>
        <v>3424.5699999999997</v>
      </c>
      <c r="M23" s="2"/>
      <c r="N23" s="6">
        <f t="shared" si="11"/>
        <v>2.3520398351648351</v>
      </c>
      <c r="O23" s="11"/>
      <c r="P23" s="7">
        <v>37281.65</v>
      </c>
      <c r="Q23" s="2"/>
      <c r="R23" s="6">
        <f t="shared" si="12"/>
        <v>0</v>
      </c>
      <c r="S23" s="2"/>
      <c r="T23" s="7">
        <v>9580</v>
      </c>
      <c r="U23" s="2"/>
      <c r="V23" s="6">
        <f t="shared" si="13"/>
        <v>0</v>
      </c>
      <c r="W23" s="2"/>
      <c r="X23" s="7">
        <f t="shared" si="14"/>
        <v>27701.65</v>
      </c>
      <c r="Y23" s="2"/>
      <c r="Z23" s="6">
        <f t="shared" si="15"/>
        <v>2.8916127348643008</v>
      </c>
    </row>
    <row r="24" spans="1:26" s="24" customFormat="1" hidden="1" outlineLevel="2" x14ac:dyDescent="0.3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7">
        <v>145.5</v>
      </c>
      <c r="E24" s="2"/>
      <c r="F24" s="6">
        <f t="shared" si="8"/>
        <v>0</v>
      </c>
      <c r="G24" s="2"/>
      <c r="H24" s="7">
        <v>203.515447557692</v>
      </c>
      <c r="I24" s="2"/>
      <c r="J24" s="6">
        <f t="shared" si="9"/>
        <v>0</v>
      </c>
      <c r="K24" s="2"/>
      <c r="L24" s="7">
        <f t="shared" si="10"/>
        <v>-58.015447557691999</v>
      </c>
      <c r="M24" s="2"/>
      <c r="N24" s="6">
        <f t="shared" si="11"/>
        <v>-0.28506655516282586</v>
      </c>
      <c r="O24" s="11"/>
      <c r="P24" s="7">
        <v>964.07</v>
      </c>
      <c r="Q24" s="2"/>
      <c r="R24" s="6">
        <f t="shared" si="12"/>
        <v>0</v>
      </c>
      <c r="S24" s="2"/>
      <c r="T24" s="7">
        <v>807.62727755769197</v>
      </c>
      <c r="U24" s="2"/>
      <c r="V24" s="6">
        <f t="shared" si="13"/>
        <v>0</v>
      </c>
      <c r="W24" s="2"/>
      <c r="X24" s="7">
        <f t="shared" si="14"/>
        <v>156.44272244230808</v>
      </c>
      <c r="Y24" s="2"/>
      <c r="Z24" s="6">
        <f t="shared" si="15"/>
        <v>0.19370658568566335</v>
      </c>
    </row>
    <row r="25" spans="1:26" s="24" customFormat="1" hidden="1" outlineLevel="2" x14ac:dyDescent="0.3">
      <c r="A25" s="27"/>
      <c r="B25" s="11" t="str">
        <f>CONCATENATE("          ", "6115", " - ", "P.E.R.S.")</f>
        <v xml:space="preserve">          6115 - P.E.R.S.</v>
      </c>
      <c r="C25" s="11"/>
      <c r="D25" s="7">
        <v>1579.6</v>
      </c>
      <c r="E25" s="2"/>
      <c r="F25" s="6">
        <f t="shared" si="8"/>
        <v>0</v>
      </c>
      <c r="G25" s="2"/>
      <c r="H25" s="7">
        <v>468.45192307692298</v>
      </c>
      <c r="I25" s="2"/>
      <c r="J25" s="6">
        <f t="shared" si="9"/>
        <v>0</v>
      </c>
      <c r="K25" s="2"/>
      <c r="L25" s="7">
        <f t="shared" si="10"/>
        <v>1111.148076923077</v>
      </c>
      <c r="M25" s="2"/>
      <c r="N25" s="6">
        <f t="shared" si="11"/>
        <v>2.3719575524949206</v>
      </c>
      <c r="O25" s="11"/>
      <c r="P25" s="7">
        <v>11573.66</v>
      </c>
      <c r="Q25" s="2"/>
      <c r="R25" s="6">
        <f t="shared" si="12"/>
        <v>0</v>
      </c>
      <c r="S25" s="2"/>
      <c r="T25" s="7">
        <v>2904.40192307692</v>
      </c>
      <c r="U25" s="2"/>
      <c r="V25" s="6">
        <f t="shared" si="13"/>
        <v>0</v>
      </c>
      <c r="W25" s="2"/>
      <c r="X25" s="7">
        <f t="shared" si="14"/>
        <v>8669.2580769230808</v>
      </c>
      <c r="Y25" s="2"/>
      <c r="Z25" s="6">
        <f t="shared" si="15"/>
        <v>2.9848685913755624</v>
      </c>
    </row>
    <row r="26" spans="1:26" s="24" customFormat="1" hidden="1" outlineLevel="2" x14ac:dyDescent="0.3">
      <c r="A26" s="27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8"/>
        <v>0</v>
      </c>
      <c r="G26" s="2"/>
      <c r="H26" s="7">
        <v>0</v>
      </c>
      <c r="I26" s="2"/>
      <c r="J26" s="6">
        <f t="shared" si="9"/>
        <v>0</v>
      </c>
      <c r="K26" s="2"/>
      <c r="L26" s="7">
        <f t="shared" si="10"/>
        <v>0</v>
      </c>
      <c r="M26" s="2"/>
      <c r="N26" s="6">
        <f t="shared" si="11"/>
        <v>0</v>
      </c>
      <c r="O26" s="11"/>
      <c r="P26" s="7"/>
      <c r="Q26" s="2"/>
      <c r="R26" s="6">
        <f t="shared" si="12"/>
        <v>0</v>
      </c>
      <c r="S26" s="2"/>
      <c r="T26" s="7">
        <v>0</v>
      </c>
      <c r="U26" s="2"/>
      <c r="V26" s="6">
        <f t="shared" si="13"/>
        <v>0</v>
      </c>
      <c r="W26" s="2"/>
      <c r="X26" s="7">
        <f t="shared" si="14"/>
        <v>0</v>
      </c>
      <c r="Y26" s="2"/>
      <c r="Z26" s="6">
        <f t="shared" si="15"/>
        <v>0</v>
      </c>
    </row>
    <row r="27" spans="1:26" s="24" customFormat="1" hidden="1" outlineLevel="2" x14ac:dyDescent="0.3">
      <c r="A27" s="27"/>
      <c r="B27" s="11" t="str">
        <f>CONCATENATE("          ", "6117", " - ", "RETIREMENT STAFF HOURLY")</f>
        <v xml:space="preserve">          6117 - RETIREMENT STAFF HOURLY</v>
      </c>
      <c r="C27" s="11"/>
      <c r="D27" s="7">
        <v>509.36</v>
      </c>
      <c r="E27" s="2"/>
      <c r="F27" s="6">
        <f t="shared" si="8"/>
        <v>0</v>
      </c>
      <c r="G27" s="2"/>
      <c r="H27" s="7"/>
      <c r="I27" s="2"/>
      <c r="J27" s="6">
        <f t="shared" si="9"/>
        <v>0</v>
      </c>
      <c r="K27" s="2"/>
      <c r="L27" s="7">
        <f t="shared" si="10"/>
        <v>509.36</v>
      </c>
      <c r="M27" s="2"/>
      <c r="N27" s="6">
        <f t="shared" si="11"/>
        <v>0</v>
      </c>
      <c r="O27" s="11"/>
      <c r="P27" s="7">
        <v>2395.8200000000002</v>
      </c>
      <c r="Q27" s="2"/>
      <c r="R27" s="6">
        <f t="shared" si="12"/>
        <v>0</v>
      </c>
      <c r="S27" s="2"/>
      <c r="T27" s="7"/>
      <c r="U27" s="2"/>
      <c r="V27" s="6">
        <f t="shared" si="13"/>
        <v>0</v>
      </c>
      <c r="W27" s="2"/>
      <c r="X27" s="7">
        <f t="shared" si="14"/>
        <v>2395.8200000000002</v>
      </c>
      <c r="Y27" s="2"/>
      <c r="Z27" s="6">
        <f t="shared" si="15"/>
        <v>0</v>
      </c>
    </row>
    <row r="28" spans="1:26" s="24" customFormat="1" hidden="1" outlineLevel="2" x14ac:dyDescent="0.3">
      <c r="A28" s="27"/>
      <c r="B28" s="11" t="str">
        <f>CONCATENATE("          ", "6118", " - ", "VACATION")</f>
        <v xml:space="preserve">          6118 - VACATION</v>
      </c>
      <c r="C28" s="11"/>
      <c r="D28" s="7">
        <v>2847.07</v>
      </c>
      <c r="E28" s="2"/>
      <c r="F28" s="6">
        <f t="shared" si="8"/>
        <v>0</v>
      </c>
      <c r="G28" s="2"/>
      <c r="H28" s="7">
        <v>311.733461538462</v>
      </c>
      <c r="I28" s="2"/>
      <c r="J28" s="6">
        <f t="shared" si="9"/>
        <v>0</v>
      </c>
      <c r="K28" s="2"/>
      <c r="L28" s="7">
        <f t="shared" si="10"/>
        <v>2535.3365384615381</v>
      </c>
      <c r="M28" s="2"/>
      <c r="N28" s="6">
        <f t="shared" si="11"/>
        <v>8.1330266117380727</v>
      </c>
      <c r="O28" s="11"/>
      <c r="P28" s="7">
        <v>11533.66</v>
      </c>
      <c r="Q28" s="2"/>
      <c r="R28" s="6">
        <f t="shared" si="12"/>
        <v>0</v>
      </c>
      <c r="S28" s="2"/>
      <c r="T28" s="7">
        <v>1932.7474615384599</v>
      </c>
      <c r="U28" s="2"/>
      <c r="V28" s="6">
        <f t="shared" si="13"/>
        <v>0</v>
      </c>
      <c r="W28" s="2"/>
      <c r="X28" s="7">
        <f t="shared" si="14"/>
        <v>9600.91253846154</v>
      </c>
      <c r="Y28" s="2"/>
      <c r="Z28" s="6">
        <f t="shared" si="15"/>
        <v>4.967494579358676</v>
      </c>
    </row>
    <row r="29" spans="1:26" s="24" customFormat="1" hidden="1" outlineLevel="2" x14ac:dyDescent="0.3">
      <c r="A29" s="27"/>
      <c r="B29" s="11" t="str">
        <f>CONCATENATE("          ", "6119", " - ", "SICK LEAVE")</f>
        <v xml:space="preserve">          6119 - SICK LEAVE</v>
      </c>
      <c r="C29" s="11"/>
      <c r="D29" s="7">
        <v>3548.69</v>
      </c>
      <c r="E29" s="2"/>
      <c r="F29" s="6">
        <f t="shared" si="8"/>
        <v>0</v>
      </c>
      <c r="G29" s="2"/>
      <c r="H29" s="7">
        <v>2803.45238269231</v>
      </c>
      <c r="I29" s="2"/>
      <c r="J29" s="6">
        <f t="shared" si="9"/>
        <v>0</v>
      </c>
      <c r="K29" s="2"/>
      <c r="L29" s="7">
        <f t="shared" si="10"/>
        <v>745.23761730769002</v>
      </c>
      <c r="M29" s="2"/>
      <c r="N29" s="6">
        <f t="shared" si="11"/>
        <v>0.26582852696502629</v>
      </c>
      <c r="O29" s="11"/>
      <c r="P29" s="7">
        <v>10448.35</v>
      </c>
      <c r="Q29" s="2"/>
      <c r="R29" s="6">
        <f t="shared" si="12"/>
        <v>0</v>
      </c>
      <c r="S29" s="2"/>
      <c r="T29" s="7">
        <v>10893.2833826923</v>
      </c>
      <c r="U29" s="2"/>
      <c r="V29" s="6">
        <f t="shared" si="13"/>
        <v>0</v>
      </c>
      <c r="W29" s="2"/>
      <c r="X29" s="7">
        <f t="shared" si="14"/>
        <v>-444.93338269229935</v>
      </c>
      <c r="Y29" s="2"/>
      <c r="Z29" s="6">
        <f t="shared" si="15"/>
        <v>-4.0844745065498615E-2</v>
      </c>
    </row>
    <row r="30" spans="1:26" s="24" customFormat="1" hidden="1" outlineLevel="2" x14ac:dyDescent="0.3">
      <c r="A30" s="27"/>
      <c r="B30" s="11" t="str">
        <f>CONCATENATE("          ", "6156", " - ", "EMPLOYEE MEALS")</f>
        <v xml:space="preserve">          6156 - EMPLOYEE MEALS</v>
      </c>
      <c r="C30" s="11"/>
      <c r="D30" s="7">
        <v>648.29</v>
      </c>
      <c r="E30" s="2"/>
      <c r="F30" s="6">
        <f t="shared" si="8"/>
        <v>0</v>
      </c>
      <c r="G30" s="2"/>
      <c r="H30" s="7"/>
      <c r="I30" s="2"/>
      <c r="J30" s="6">
        <f t="shared" si="9"/>
        <v>0</v>
      </c>
      <c r="K30" s="2"/>
      <c r="L30" s="7">
        <f t="shared" si="10"/>
        <v>648.29</v>
      </c>
      <c r="M30" s="2"/>
      <c r="N30" s="6">
        <f t="shared" si="11"/>
        <v>0</v>
      </c>
      <c r="O30" s="11"/>
      <c r="P30" s="7">
        <v>4388.37</v>
      </c>
      <c r="Q30" s="2"/>
      <c r="R30" s="6">
        <f t="shared" si="12"/>
        <v>0</v>
      </c>
      <c r="S30" s="2"/>
      <c r="T30" s="7"/>
      <c r="U30" s="2"/>
      <c r="V30" s="6">
        <f t="shared" si="13"/>
        <v>0</v>
      </c>
      <c r="W30" s="2"/>
      <c r="X30" s="7">
        <f t="shared" si="14"/>
        <v>4388.37</v>
      </c>
      <c r="Y30" s="2"/>
      <c r="Z30" s="6">
        <f t="shared" si="15"/>
        <v>0</v>
      </c>
    </row>
    <row r="31" spans="1:26" s="28" customFormat="1" outlineLevel="1" collapsed="1" x14ac:dyDescent="0.3">
      <c r="A31" s="29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69805.86</v>
      </c>
      <c r="E31" s="1"/>
      <c r="F31" s="5">
        <f t="shared" ref="F31:F41" si="16">IF(D$12=0,0,D31/D$12)</f>
        <v>0</v>
      </c>
      <c r="G31" s="1"/>
      <c r="H31" s="1">
        <f>SUM(OSRRefH22_1x_0)</f>
        <v>97069.030140384624</v>
      </c>
      <c r="I31" s="1"/>
      <c r="J31" s="5">
        <f t="shared" ref="J31:J41" si="17">IF(H$12=0,0,H31/H$12)</f>
        <v>0</v>
      </c>
      <c r="K31" s="1"/>
      <c r="L31" s="1">
        <f t="shared" ref="L31:L41" si="18">+D31-H31</f>
        <v>-27263.170140384624</v>
      </c>
      <c r="M31" s="1"/>
      <c r="N31" s="5">
        <f t="shared" ref="N31:N41" si="19">IF(H31=0,0,L31/H31)</f>
        <v>-0.28086373275756105</v>
      </c>
      <c r="O31" s="14"/>
      <c r="P31" s="1">
        <f>SUM(OSRRefP22_1x_0)</f>
        <v>381421.68000000005</v>
      </c>
      <c r="Q31" s="1"/>
      <c r="R31" s="5">
        <f t="shared" ref="R31:R41" si="20">IF(P$12=0,0,P31/P$12)</f>
        <v>0</v>
      </c>
      <c r="S31" s="1"/>
      <c r="T31" s="1">
        <f>SUM(OSRRefT22_1x_0)</f>
        <v>383475.59314038465</v>
      </c>
      <c r="U31" s="1"/>
      <c r="V31" s="5">
        <f t="shared" ref="V31:V41" si="21">IF(T$12=0,0,T31/T$12)</f>
        <v>0</v>
      </c>
      <c r="W31" s="1"/>
      <c r="X31" s="1">
        <f t="shared" ref="X31:X41" si="22">+P31-T31</f>
        <v>-2053.9131403845968</v>
      </c>
      <c r="Y31" s="1"/>
      <c r="Z31" s="5">
        <f t="shared" ref="Z31:Z41" si="23">IF(T31=0,0,X31/T31)</f>
        <v>-5.3560465832115942E-3</v>
      </c>
    </row>
    <row r="32" spans="1:26" s="24" customFormat="1" hidden="1" outlineLevel="2" x14ac:dyDescent="0.3">
      <c r="A32" s="27"/>
      <c r="B32" s="11" t="str">
        <f>CONCATENATE("          ", "6001", " - ", "ADMINISTRATIVE SALARIES")</f>
        <v xml:space="preserve">          6001 - ADMINISTRATIVE SALARIES</v>
      </c>
      <c r="C32" s="11"/>
      <c r="D32" s="7">
        <v>5357.43</v>
      </c>
      <c r="E32" s="2"/>
      <c r="F32" s="6">
        <f t="shared" si="16"/>
        <v>0</v>
      </c>
      <c r="G32" s="2"/>
      <c r="H32" s="7">
        <v>5174.7596153846198</v>
      </c>
      <c r="I32" s="2"/>
      <c r="J32" s="6">
        <f t="shared" si="17"/>
        <v>0</v>
      </c>
      <c r="K32" s="2"/>
      <c r="L32" s="7">
        <f t="shared" si="18"/>
        <v>182.6703846153805</v>
      </c>
      <c r="M32" s="2"/>
      <c r="N32" s="6">
        <f t="shared" si="19"/>
        <v>3.5300264783759104E-2</v>
      </c>
      <c r="O32" s="11"/>
      <c r="P32" s="7">
        <v>33692.199999999997</v>
      </c>
      <c r="Q32" s="2"/>
      <c r="R32" s="6">
        <f t="shared" si="20"/>
        <v>0</v>
      </c>
      <c r="S32" s="2"/>
      <c r="T32" s="7">
        <v>32083.509615384599</v>
      </c>
      <c r="U32" s="2"/>
      <c r="V32" s="6">
        <f t="shared" si="21"/>
        <v>0</v>
      </c>
      <c r="W32" s="2"/>
      <c r="X32" s="7">
        <f t="shared" si="22"/>
        <v>1608.6903846153982</v>
      </c>
      <c r="Y32" s="2"/>
      <c r="Z32" s="6">
        <f t="shared" si="23"/>
        <v>5.0140723502518671E-2</v>
      </c>
    </row>
    <row r="33" spans="1:26" s="24" customFormat="1" hidden="1" outlineLevel="2" x14ac:dyDescent="0.3">
      <c r="A33" s="27"/>
      <c r="B33" s="11" t="str">
        <f>CONCATENATE("          ", "6002", " - ", "STAFF SALARIES")</f>
        <v xml:space="preserve">          6002 - STAFF SALARIES</v>
      </c>
      <c r="C33" s="11"/>
      <c r="D33" s="7">
        <v>13480.02</v>
      </c>
      <c r="E33" s="2"/>
      <c r="F33" s="6">
        <f t="shared" si="16"/>
        <v>0</v>
      </c>
      <c r="G33" s="2"/>
      <c r="H33" s="7">
        <v>0</v>
      </c>
      <c r="I33" s="2"/>
      <c r="J33" s="6">
        <f t="shared" si="17"/>
        <v>0</v>
      </c>
      <c r="K33" s="2"/>
      <c r="L33" s="7">
        <f t="shared" si="18"/>
        <v>13480.02</v>
      </c>
      <c r="M33" s="2"/>
      <c r="N33" s="6">
        <f t="shared" si="19"/>
        <v>0</v>
      </c>
      <c r="O33" s="11"/>
      <c r="P33" s="7">
        <v>79032.47</v>
      </c>
      <c r="Q33" s="2"/>
      <c r="R33" s="6">
        <f t="shared" si="20"/>
        <v>0</v>
      </c>
      <c r="S33" s="2"/>
      <c r="T33" s="7">
        <v>0</v>
      </c>
      <c r="U33" s="2"/>
      <c r="V33" s="6">
        <f t="shared" si="21"/>
        <v>0</v>
      </c>
      <c r="W33" s="2"/>
      <c r="X33" s="7">
        <f t="shared" si="22"/>
        <v>79032.47</v>
      </c>
      <c r="Y33" s="2"/>
      <c r="Z33" s="6">
        <f t="shared" si="23"/>
        <v>0</v>
      </c>
    </row>
    <row r="34" spans="1:26" s="24" customFormat="1" hidden="1" outlineLevel="2" x14ac:dyDescent="0.3">
      <c r="A34" s="27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16"/>
        <v>0</v>
      </c>
      <c r="G34" s="2"/>
      <c r="H34" s="7">
        <v>0</v>
      </c>
      <c r="I34" s="2"/>
      <c r="J34" s="6">
        <f t="shared" si="17"/>
        <v>0</v>
      </c>
      <c r="K34" s="2"/>
      <c r="L34" s="7">
        <f t="shared" si="18"/>
        <v>0</v>
      </c>
      <c r="M34" s="2"/>
      <c r="N34" s="6">
        <f t="shared" si="19"/>
        <v>0</v>
      </c>
      <c r="O34" s="11"/>
      <c r="P34" s="7"/>
      <c r="Q34" s="2"/>
      <c r="R34" s="6">
        <f t="shared" si="20"/>
        <v>0</v>
      </c>
      <c r="S34" s="2"/>
      <c r="T34" s="7">
        <v>0</v>
      </c>
      <c r="U34" s="2"/>
      <c r="V34" s="6">
        <f t="shared" si="21"/>
        <v>0</v>
      </c>
      <c r="W34" s="2"/>
      <c r="X34" s="7">
        <f t="shared" si="22"/>
        <v>0</v>
      </c>
      <c r="Y34" s="2"/>
      <c r="Z34" s="6">
        <f t="shared" si="23"/>
        <v>0</v>
      </c>
    </row>
    <row r="35" spans="1:26" s="24" customFormat="1" hidden="1" outlineLevel="2" x14ac:dyDescent="0.3">
      <c r="A35" s="27"/>
      <c r="B35" s="11" t="str">
        <f>CONCATENATE("          ", "6004", " - ", "STAFF HOURLY")</f>
        <v xml:space="preserve">          6004 - STAFF HOURLY</v>
      </c>
      <c r="C35" s="11"/>
      <c r="D35" s="7">
        <v>8139.17</v>
      </c>
      <c r="E35" s="2"/>
      <c r="F35" s="6">
        <f t="shared" si="16"/>
        <v>0</v>
      </c>
      <c r="G35" s="2"/>
      <c r="H35" s="7">
        <v>10522.1535</v>
      </c>
      <c r="I35" s="2"/>
      <c r="J35" s="6">
        <f t="shared" si="17"/>
        <v>0</v>
      </c>
      <c r="K35" s="2"/>
      <c r="L35" s="7">
        <f t="shared" si="18"/>
        <v>-2382.9835000000003</v>
      </c>
      <c r="M35" s="2"/>
      <c r="N35" s="6">
        <f t="shared" si="19"/>
        <v>-0.22647298388110382</v>
      </c>
      <c r="O35" s="11"/>
      <c r="P35" s="7">
        <v>50762.22</v>
      </c>
      <c r="Q35" s="2"/>
      <c r="R35" s="6">
        <f t="shared" si="20"/>
        <v>0</v>
      </c>
      <c r="S35" s="2"/>
      <c r="T35" s="7">
        <v>63272.461499999998</v>
      </c>
      <c r="U35" s="2"/>
      <c r="V35" s="6">
        <f t="shared" si="21"/>
        <v>0</v>
      </c>
      <c r="W35" s="2"/>
      <c r="X35" s="7">
        <f t="shared" si="22"/>
        <v>-12510.241499999996</v>
      </c>
      <c r="Y35" s="2"/>
      <c r="Z35" s="6">
        <f t="shared" si="23"/>
        <v>-0.19772016456163946</v>
      </c>
    </row>
    <row r="36" spans="1:26" s="24" customFormat="1" hidden="1" outlineLevel="2" x14ac:dyDescent="0.3">
      <c r="A36" s="27"/>
      <c r="B36" s="11" t="str">
        <f>CONCATENATE("          ", "6005", " - ", "TEMPORARY WAGES-HOURLY")</f>
        <v xml:space="preserve">          6005 - TEMPORARY WAGES-HOURLY</v>
      </c>
      <c r="C36" s="11"/>
      <c r="D36" s="7">
        <v>2175.8000000000002</v>
      </c>
      <c r="E36" s="2"/>
      <c r="F36" s="6">
        <f t="shared" si="16"/>
        <v>0</v>
      </c>
      <c r="G36" s="2"/>
      <c r="H36" s="7">
        <v>0</v>
      </c>
      <c r="I36" s="2"/>
      <c r="J36" s="6">
        <f t="shared" si="17"/>
        <v>0</v>
      </c>
      <c r="K36" s="2"/>
      <c r="L36" s="7">
        <f t="shared" si="18"/>
        <v>2175.8000000000002</v>
      </c>
      <c r="M36" s="2"/>
      <c r="N36" s="6">
        <f t="shared" si="19"/>
        <v>0</v>
      </c>
      <c r="O36" s="11"/>
      <c r="P36" s="7">
        <v>20113.47</v>
      </c>
      <c r="Q36" s="2"/>
      <c r="R36" s="6">
        <f t="shared" si="20"/>
        <v>0</v>
      </c>
      <c r="S36" s="2"/>
      <c r="T36" s="7">
        <v>0</v>
      </c>
      <c r="U36" s="2"/>
      <c r="V36" s="6">
        <f t="shared" si="21"/>
        <v>0</v>
      </c>
      <c r="W36" s="2"/>
      <c r="X36" s="7">
        <f t="shared" si="22"/>
        <v>20113.47</v>
      </c>
      <c r="Y36" s="2"/>
      <c r="Z36" s="6">
        <f t="shared" si="23"/>
        <v>0</v>
      </c>
    </row>
    <row r="37" spans="1:26" s="24" customFormat="1" hidden="1" outlineLevel="2" x14ac:dyDescent="0.3">
      <c r="A37" s="27"/>
      <c r="B37" s="11" t="str">
        <f>CONCATENATE("          ", "6006", " - ", "TEMPORARY PART TIME")</f>
        <v xml:space="preserve">          6006 - TEMPORARY PART TIME</v>
      </c>
      <c r="C37" s="11"/>
      <c r="D37" s="7">
        <v>2092.35</v>
      </c>
      <c r="E37" s="2"/>
      <c r="F37" s="6">
        <f t="shared" si="16"/>
        <v>0</v>
      </c>
      <c r="G37" s="2"/>
      <c r="H37" s="7">
        <v>0</v>
      </c>
      <c r="I37" s="2"/>
      <c r="J37" s="6">
        <f t="shared" si="17"/>
        <v>0</v>
      </c>
      <c r="K37" s="2"/>
      <c r="L37" s="7">
        <f t="shared" si="18"/>
        <v>2092.35</v>
      </c>
      <c r="M37" s="2"/>
      <c r="N37" s="6">
        <f t="shared" si="19"/>
        <v>0</v>
      </c>
      <c r="O37" s="11"/>
      <c r="P37" s="7">
        <v>11969.97</v>
      </c>
      <c r="Q37" s="2"/>
      <c r="R37" s="6">
        <f t="shared" si="20"/>
        <v>0</v>
      </c>
      <c r="S37" s="2"/>
      <c r="T37" s="7">
        <v>0</v>
      </c>
      <c r="U37" s="2"/>
      <c r="V37" s="6">
        <f t="shared" si="21"/>
        <v>0</v>
      </c>
      <c r="W37" s="2"/>
      <c r="X37" s="7">
        <f t="shared" si="22"/>
        <v>11969.97</v>
      </c>
      <c r="Y37" s="2"/>
      <c r="Z37" s="6">
        <f t="shared" si="23"/>
        <v>0</v>
      </c>
    </row>
    <row r="38" spans="1:26" s="24" customFormat="1" hidden="1" outlineLevel="2" x14ac:dyDescent="0.3">
      <c r="A38" s="27"/>
      <c r="B38" s="11" t="str">
        <f>CONCATENATE("          ", "6007", " - ", "STUDENT HOURLY")</f>
        <v xml:space="preserve">          6007 - STUDENT HOURLY</v>
      </c>
      <c r="C38" s="11"/>
      <c r="D38" s="7">
        <v>37537.79</v>
      </c>
      <c r="E38" s="2"/>
      <c r="F38" s="6">
        <f t="shared" si="16"/>
        <v>0</v>
      </c>
      <c r="G38" s="2"/>
      <c r="H38" s="7">
        <v>0</v>
      </c>
      <c r="I38" s="2"/>
      <c r="J38" s="6">
        <f t="shared" si="17"/>
        <v>0</v>
      </c>
      <c r="K38" s="2"/>
      <c r="L38" s="7">
        <f t="shared" si="18"/>
        <v>37537.79</v>
      </c>
      <c r="M38" s="2"/>
      <c r="N38" s="6">
        <f t="shared" si="19"/>
        <v>0</v>
      </c>
      <c r="O38" s="11"/>
      <c r="P38" s="7">
        <v>174216.82</v>
      </c>
      <c r="Q38" s="2"/>
      <c r="R38" s="6">
        <f t="shared" si="20"/>
        <v>0</v>
      </c>
      <c r="S38" s="2"/>
      <c r="T38" s="7">
        <v>60209.13</v>
      </c>
      <c r="U38" s="2"/>
      <c r="V38" s="6">
        <f t="shared" si="21"/>
        <v>0</v>
      </c>
      <c r="W38" s="2"/>
      <c r="X38" s="7">
        <f t="shared" si="22"/>
        <v>114007.69</v>
      </c>
      <c r="Y38" s="2"/>
      <c r="Z38" s="6">
        <f t="shared" si="23"/>
        <v>1.8935282738680996</v>
      </c>
    </row>
    <row r="39" spans="1:26" s="24" customFormat="1" hidden="1" outlineLevel="2" x14ac:dyDescent="0.3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7">
        <v>1023.3</v>
      </c>
      <c r="E39" s="2"/>
      <c r="F39" s="6">
        <f t="shared" si="16"/>
        <v>0</v>
      </c>
      <c r="G39" s="2"/>
      <c r="H39" s="7">
        <v>81372.117025</v>
      </c>
      <c r="I39" s="2"/>
      <c r="J39" s="6">
        <f t="shared" si="17"/>
        <v>0</v>
      </c>
      <c r="K39" s="2"/>
      <c r="L39" s="7">
        <f t="shared" si="18"/>
        <v>-80348.817024999997</v>
      </c>
      <c r="M39" s="2"/>
      <c r="N39" s="6">
        <f t="shared" si="19"/>
        <v>-0.98742443926233825</v>
      </c>
      <c r="O39" s="11"/>
      <c r="P39" s="7">
        <v>11634.53</v>
      </c>
      <c r="Q39" s="2"/>
      <c r="R39" s="6">
        <f t="shared" si="20"/>
        <v>0</v>
      </c>
      <c r="S39" s="2"/>
      <c r="T39" s="7">
        <v>227910.49202500001</v>
      </c>
      <c r="U39" s="2"/>
      <c r="V39" s="6">
        <f t="shared" si="21"/>
        <v>0</v>
      </c>
      <c r="W39" s="2"/>
      <c r="X39" s="7">
        <f t="shared" si="22"/>
        <v>-216275.96202500002</v>
      </c>
      <c r="Y39" s="2"/>
      <c r="Z39" s="6">
        <f t="shared" si="23"/>
        <v>-0.94895131901727547</v>
      </c>
    </row>
    <row r="40" spans="1:26" s="24" customFormat="1" hidden="1" outlineLevel="2" x14ac:dyDescent="0.3">
      <c r="A40" s="27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16"/>
        <v>0</v>
      </c>
      <c r="G40" s="2"/>
      <c r="H40" s="7">
        <v>0</v>
      </c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/>
      <c r="Q40" s="2"/>
      <c r="R40" s="6">
        <f t="shared" si="20"/>
        <v>0</v>
      </c>
      <c r="S40" s="2"/>
      <c r="T40" s="7">
        <v>0</v>
      </c>
      <c r="U40" s="2"/>
      <c r="V40" s="6">
        <f t="shared" si="21"/>
        <v>0</v>
      </c>
      <c r="W40" s="2"/>
      <c r="X40" s="7">
        <f t="shared" si="22"/>
        <v>0</v>
      </c>
      <c r="Y40" s="2"/>
      <c r="Z40" s="6">
        <f t="shared" si="23"/>
        <v>0</v>
      </c>
    </row>
    <row r="41" spans="1:26" s="24" customFormat="1" hidden="1" outlineLevel="2" x14ac:dyDescent="0.3">
      <c r="A41" s="27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16"/>
        <v>0</v>
      </c>
      <c r="G41" s="2"/>
      <c r="H41" s="7">
        <v>0</v>
      </c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/>
      <c r="Q41" s="2"/>
      <c r="R41" s="6">
        <f t="shared" si="20"/>
        <v>0</v>
      </c>
      <c r="S41" s="2"/>
      <c r="T41" s="7">
        <v>0</v>
      </c>
      <c r="U41" s="2"/>
      <c r="V41" s="6">
        <f t="shared" si="21"/>
        <v>0</v>
      </c>
      <c r="W41" s="2"/>
      <c r="X41" s="7">
        <f t="shared" si="22"/>
        <v>0</v>
      </c>
      <c r="Y41" s="2"/>
      <c r="Z41" s="6">
        <f t="shared" si="23"/>
        <v>0</v>
      </c>
    </row>
    <row r="42" spans="1:26" s="28" customFormat="1" outlineLevel="1" collapsed="1" x14ac:dyDescent="0.3">
      <c r="A42" s="29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-526.38</v>
      </c>
      <c r="E42" s="1"/>
      <c r="F42" s="5">
        <f t="shared" ref="F42:F50" si="24">IF(D$12=0,0,D42/D$12)</f>
        <v>0</v>
      </c>
      <c r="G42" s="1"/>
      <c r="H42" s="1">
        <f>SUM(OSRRefH22_2x_0)</f>
        <v>0</v>
      </c>
      <c r="I42" s="1"/>
      <c r="J42" s="5">
        <f t="shared" ref="J42:J50" si="25">IF(H$12=0,0,H42/H$12)</f>
        <v>0</v>
      </c>
      <c r="K42" s="1"/>
      <c r="L42" s="1">
        <f t="shared" ref="L42:L50" si="26">+D42-H42</f>
        <v>-526.38</v>
      </c>
      <c r="M42" s="1"/>
      <c r="N42" s="5">
        <f t="shared" ref="N42:N50" si="27">IF(H42=0,0,L42/H42)</f>
        <v>0</v>
      </c>
      <c r="O42" s="14"/>
      <c r="P42" s="1">
        <f>SUM(OSRRefP22_2x_0)</f>
        <v>-366.38</v>
      </c>
      <c r="Q42" s="1"/>
      <c r="R42" s="5">
        <f t="shared" ref="R42:R50" si="28">IF(P$12=0,0,P42/P$12)</f>
        <v>0</v>
      </c>
      <c r="S42" s="1"/>
      <c r="T42" s="1">
        <f>SUM(OSRRefT22_2x_0)</f>
        <v>0</v>
      </c>
      <c r="U42" s="1"/>
      <c r="V42" s="5">
        <f t="shared" ref="V42:V50" si="29">IF(T$12=0,0,T42/T$12)</f>
        <v>0</v>
      </c>
      <c r="W42" s="1"/>
      <c r="X42" s="1">
        <f t="shared" ref="X42:X50" si="30">+P42-T42</f>
        <v>-366.38</v>
      </c>
      <c r="Y42" s="1"/>
      <c r="Z42" s="5">
        <f t="shared" ref="Z42:Z50" si="31">IF(T42=0,0,X42/T42)</f>
        <v>0</v>
      </c>
    </row>
    <row r="43" spans="1:26" s="24" customFormat="1" hidden="1" outlineLevel="2" x14ac:dyDescent="0.3">
      <c r="A43" s="27"/>
      <c r="B43" s="11" t="str">
        <f>CONCATENATE("          ", "6362", " - ", "ADVERTISING EXPENSE")</f>
        <v xml:space="preserve">          6362 - ADVERTISING EXPENSE</v>
      </c>
      <c r="C43" s="11"/>
      <c r="D43" s="7">
        <v>-526.38</v>
      </c>
      <c r="E43" s="2"/>
      <c r="F43" s="6">
        <f t="shared" si="24"/>
        <v>0</v>
      </c>
      <c r="G43" s="2"/>
      <c r="H43" s="7"/>
      <c r="I43" s="2"/>
      <c r="J43" s="6">
        <f t="shared" si="25"/>
        <v>0</v>
      </c>
      <c r="K43" s="2"/>
      <c r="L43" s="7">
        <f t="shared" si="26"/>
        <v>-526.38</v>
      </c>
      <c r="M43" s="2"/>
      <c r="N43" s="6">
        <f t="shared" si="27"/>
        <v>0</v>
      </c>
      <c r="O43" s="11"/>
      <c r="P43" s="7">
        <v>-366.38</v>
      </c>
      <c r="Q43" s="2"/>
      <c r="R43" s="6">
        <f t="shared" si="28"/>
        <v>0</v>
      </c>
      <c r="S43" s="2"/>
      <c r="T43" s="7"/>
      <c r="U43" s="2"/>
      <c r="V43" s="6">
        <f t="shared" si="29"/>
        <v>0</v>
      </c>
      <c r="W43" s="2"/>
      <c r="X43" s="7">
        <f t="shared" si="30"/>
        <v>-366.38</v>
      </c>
      <c r="Y43" s="2"/>
      <c r="Z43" s="6">
        <f t="shared" si="31"/>
        <v>0</v>
      </c>
    </row>
    <row r="44" spans="1:26" s="28" customFormat="1" outlineLevel="1" collapsed="1" x14ac:dyDescent="0.3">
      <c r="A44" s="29"/>
      <c r="B44" s="14" t="str">
        <f>CONCATENATE("     ","Bad Debts/Over/Short                              ")</f>
        <v xml:space="preserve">     Bad Debts/Over/Short                              </v>
      </c>
      <c r="C44" s="14"/>
      <c r="D44" s="1">
        <f>SUM(OSRRefD22_3x_0)</f>
        <v>5.92</v>
      </c>
      <c r="E44" s="1"/>
      <c r="F44" s="5">
        <f t="shared" si="24"/>
        <v>0</v>
      </c>
      <c r="G44" s="1"/>
      <c r="H44" s="1">
        <f>SUM(OSRRefH22_3x_0)</f>
        <v>200</v>
      </c>
      <c r="I44" s="1"/>
      <c r="J44" s="5">
        <f t="shared" si="25"/>
        <v>0</v>
      </c>
      <c r="K44" s="1"/>
      <c r="L44" s="1">
        <f t="shared" si="26"/>
        <v>-194.08</v>
      </c>
      <c r="M44" s="1"/>
      <c r="N44" s="5">
        <f t="shared" si="27"/>
        <v>-0.97040000000000004</v>
      </c>
      <c r="O44" s="14"/>
      <c r="P44" s="1">
        <f>SUM(OSRRefP22_3x_0)</f>
        <v>172.46</v>
      </c>
      <c r="Q44" s="1"/>
      <c r="R44" s="5">
        <f t="shared" si="28"/>
        <v>0</v>
      </c>
      <c r="S44" s="1"/>
      <c r="T44" s="1">
        <f>SUM(OSRRefT22_3x_0)</f>
        <v>1400</v>
      </c>
      <c r="U44" s="1"/>
      <c r="V44" s="5">
        <f t="shared" si="29"/>
        <v>0</v>
      </c>
      <c r="W44" s="1"/>
      <c r="X44" s="1">
        <f t="shared" si="30"/>
        <v>-1227.54</v>
      </c>
      <c r="Y44" s="1"/>
      <c r="Z44" s="5">
        <f t="shared" si="31"/>
        <v>-0.87681428571428566</v>
      </c>
    </row>
    <row r="45" spans="1:26" s="24" customFormat="1" hidden="1" outlineLevel="2" x14ac:dyDescent="0.3">
      <c r="A45" s="27"/>
      <c r="B45" s="11" t="str">
        <f>CONCATENATE("          ", "6272", " - ", "CASH (OVER/SHORT)")</f>
        <v xml:space="preserve">          6272 - CASH (OVER/SHORT)</v>
      </c>
      <c r="C45" s="11"/>
      <c r="D45" s="7">
        <v>5.92</v>
      </c>
      <c r="E45" s="2"/>
      <c r="F45" s="6">
        <f t="shared" si="24"/>
        <v>0</v>
      </c>
      <c r="G45" s="2"/>
      <c r="H45" s="7">
        <v>200</v>
      </c>
      <c r="I45" s="2"/>
      <c r="J45" s="6">
        <f t="shared" si="25"/>
        <v>0</v>
      </c>
      <c r="K45" s="2"/>
      <c r="L45" s="7">
        <f t="shared" si="26"/>
        <v>-194.08</v>
      </c>
      <c r="M45" s="2"/>
      <c r="N45" s="6">
        <f t="shared" si="27"/>
        <v>-0.97040000000000004</v>
      </c>
      <c r="O45" s="11"/>
      <c r="P45" s="7">
        <v>172.46</v>
      </c>
      <c r="Q45" s="2"/>
      <c r="R45" s="6">
        <f t="shared" si="28"/>
        <v>0</v>
      </c>
      <c r="S45" s="2"/>
      <c r="T45" s="7">
        <v>1400</v>
      </c>
      <c r="U45" s="2"/>
      <c r="V45" s="6">
        <f t="shared" si="29"/>
        <v>0</v>
      </c>
      <c r="W45" s="2"/>
      <c r="X45" s="7">
        <f t="shared" si="30"/>
        <v>-1227.54</v>
      </c>
      <c r="Y45" s="2"/>
      <c r="Z45" s="6">
        <f t="shared" si="31"/>
        <v>-0.87681428571428566</v>
      </c>
    </row>
    <row r="46" spans="1:26" s="28" customFormat="1" outlineLevel="1" collapsed="1" x14ac:dyDescent="0.3">
      <c r="A46" s="29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SUM(OSRRefD22_4x_0)</f>
        <v>11917.04</v>
      </c>
      <c r="E46" s="1"/>
      <c r="F46" s="5">
        <f t="shared" si="24"/>
        <v>0</v>
      </c>
      <c r="G46" s="1"/>
      <c r="H46" s="1">
        <f>SUM(OSRRefH22_4x_0)</f>
        <v>34000</v>
      </c>
      <c r="I46" s="1"/>
      <c r="J46" s="5">
        <f t="shared" si="25"/>
        <v>0</v>
      </c>
      <c r="K46" s="1"/>
      <c r="L46" s="1">
        <f t="shared" si="26"/>
        <v>-22082.959999999999</v>
      </c>
      <c r="M46" s="1"/>
      <c r="N46" s="5">
        <f t="shared" si="27"/>
        <v>-0.64949882352941168</v>
      </c>
      <c r="O46" s="14"/>
      <c r="P46" s="1">
        <f>SUM(OSRRefP22_4x_0)</f>
        <v>75809.05</v>
      </c>
      <c r="Q46" s="1"/>
      <c r="R46" s="5">
        <f t="shared" si="28"/>
        <v>0</v>
      </c>
      <c r="S46" s="1"/>
      <c r="T46" s="1">
        <f>SUM(OSRRefT22_4x_0)</f>
        <v>126300</v>
      </c>
      <c r="U46" s="1"/>
      <c r="V46" s="5">
        <f t="shared" si="29"/>
        <v>0</v>
      </c>
      <c r="W46" s="1"/>
      <c r="X46" s="1">
        <f t="shared" si="30"/>
        <v>-50490.95</v>
      </c>
      <c r="Y46" s="1"/>
      <c r="Z46" s="5">
        <f t="shared" si="31"/>
        <v>-0.39976999208234359</v>
      </c>
    </row>
    <row r="47" spans="1:26" s="24" customFormat="1" hidden="1" outlineLevel="2" x14ac:dyDescent="0.3">
      <c r="A47" s="27"/>
      <c r="B47" s="11" t="str">
        <f>CONCATENATE("          ", "6381", " - ", "BANK/CREDIT CARD FEES")</f>
        <v xml:space="preserve">          6381 - BANK/CREDIT CARD FEES</v>
      </c>
      <c r="C47" s="11"/>
      <c r="D47" s="7">
        <v>11917.04</v>
      </c>
      <c r="E47" s="2"/>
      <c r="F47" s="6">
        <f t="shared" si="24"/>
        <v>0</v>
      </c>
      <c r="G47" s="2"/>
      <c r="H47" s="7">
        <v>34000</v>
      </c>
      <c r="I47" s="2"/>
      <c r="J47" s="6">
        <f t="shared" si="25"/>
        <v>0</v>
      </c>
      <c r="K47" s="2"/>
      <c r="L47" s="7">
        <f t="shared" si="26"/>
        <v>-22082.959999999999</v>
      </c>
      <c r="M47" s="2"/>
      <c r="N47" s="6">
        <f t="shared" si="27"/>
        <v>-0.64949882352941168</v>
      </c>
      <c r="O47" s="11"/>
      <c r="P47" s="7">
        <v>75809.05</v>
      </c>
      <c r="Q47" s="2"/>
      <c r="R47" s="6">
        <f t="shared" si="28"/>
        <v>0</v>
      </c>
      <c r="S47" s="2"/>
      <c r="T47" s="7">
        <v>126300</v>
      </c>
      <c r="U47" s="2"/>
      <c r="V47" s="6">
        <f t="shared" si="29"/>
        <v>0</v>
      </c>
      <c r="W47" s="2"/>
      <c r="X47" s="7">
        <f t="shared" si="30"/>
        <v>-50490.95</v>
      </c>
      <c r="Y47" s="2"/>
      <c r="Z47" s="6">
        <f t="shared" si="31"/>
        <v>-0.39976999208234359</v>
      </c>
    </row>
    <row r="48" spans="1:26" s="28" customFormat="1" outlineLevel="1" collapsed="1" x14ac:dyDescent="0.3">
      <c r="A48" s="29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SUM(OSRRefD22_5x_0)</f>
        <v>28180.050000000003</v>
      </c>
      <c r="E48" s="1"/>
      <c r="F48" s="5">
        <f t="shared" si="24"/>
        <v>0</v>
      </c>
      <c r="G48" s="1"/>
      <c r="H48" s="1">
        <f>SUM(OSRRefH22_5x_0)</f>
        <v>28059</v>
      </c>
      <c r="I48" s="1"/>
      <c r="J48" s="5">
        <f t="shared" si="25"/>
        <v>0</v>
      </c>
      <c r="K48" s="1"/>
      <c r="L48" s="1">
        <f t="shared" si="26"/>
        <v>121.05000000000291</v>
      </c>
      <c r="M48" s="1"/>
      <c r="N48" s="5">
        <f t="shared" si="27"/>
        <v>4.3141238105421755E-3</v>
      </c>
      <c r="O48" s="14"/>
      <c r="P48" s="1">
        <f>SUM(OSRRefP22_5x_0)</f>
        <v>211167.35999999999</v>
      </c>
      <c r="Q48" s="1"/>
      <c r="R48" s="5">
        <f t="shared" si="28"/>
        <v>0</v>
      </c>
      <c r="S48" s="1"/>
      <c r="T48" s="1">
        <f>SUM(OSRRefT22_5x_0)</f>
        <v>210320</v>
      </c>
      <c r="U48" s="1"/>
      <c r="V48" s="5">
        <f t="shared" si="29"/>
        <v>0</v>
      </c>
      <c r="W48" s="1"/>
      <c r="X48" s="1">
        <f t="shared" si="30"/>
        <v>847.35999999998603</v>
      </c>
      <c r="Y48" s="1"/>
      <c r="Z48" s="5">
        <f t="shared" si="31"/>
        <v>4.0289083301634941E-3</v>
      </c>
    </row>
    <row r="49" spans="1:26" s="24" customFormat="1" hidden="1" outlineLevel="2" x14ac:dyDescent="0.3">
      <c r="A49" s="27"/>
      <c r="B49" s="11" t="str">
        <f>CONCATENATE("          ", "6321", " - ", "BUILDING DEPRECIATION")</f>
        <v xml:space="preserve">          6321 - BUILDING DEPRECIATION</v>
      </c>
      <c r="C49" s="11"/>
      <c r="D49" s="7">
        <v>14131.6</v>
      </c>
      <c r="E49" s="2"/>
      <c r="F49" s="6">
        <f t="shared" si="24"/>
        <v>0</v>
      </c>
      <c r="G49" s="2"/>
      <c r="H49" s="7"/>
      <c r="I49" s="2"/>
      <c r="J49" s="6">
        <f t="shared" si="25"/>
        <v>0</v>
      </c>
      <c r="K49" s="2"/>
      <c r="L49" s="7">
        <f t="shared" si="26"/>
        <v>14131.6</v>
      </c>
      <c r="M49" s="2"/>
      <c r="N49" s="6">
        <f t="shared" si="27"/>
        <v>0</v>
      </c>
      <c r="O49" s="11"/>
      <c r="P49" s="7">
        <v>112510.71</v>
      </c>
      <c r="Q49" s="2"/>
      <c r="R49" s="6">
        <f t="shared" si="28"/>
        <v>0</v>
      </c>
      <c r="S49" s="2"/>
      <c r="T49" s="7"/>
      <c r="U49" s="2"/>
      <c r="V49" s="6">
        <f t="shared" si="29"/>
        <v>0</v>
      </c>
      <c r="W49" s="2"/>
      <c r="X49" s="7">
        <f t="shared" si="30"/>
        <v>112510.71</v>
      </c>
      <c r="Y49" s="2"/>
      <c r="Z49" s="6">
        <f t="shared" si="31"/>
        <v>0</v>
      </c>
    </row>
    <row r="50" spans="1:26" s="24" customFormat="1" hidden="1" outlineLevel="2" x14ac:dyDescent="0.3">
      <c r="A50" s="27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14048.45</v>
      </c>
      <c r="E50" s="2"/>
      <c r="F50" s="6">
        <f t="shared" si="24"/>
        <v>0</v>
      </c>
      <c r="G50" s="2"/>
      <c r="H50" s="7">
        <v>28059</v>
      </c>
      <c r="I50" s="2"/>
      <c r="J50" s="6">
        <f t="shared" si="25"/>
        <v>0</v>
      </c>
      <c r="K50" s="2"/>
      <c r="L50" s="7">
        <f t="shared" si="26"/>
        <v>-14010.55</v>
      </c>
      <c r="M50" s="2"/>
      <c r="N50" s="6">
        <f t="shared" si="27"/>
        <v>-0.49932463737125338</v>
      </c>
      <c r="O50" s="11"/>
      <c r="P50" s="7">
        <v>98656.65</v>
      </c>
      <c r="Q50" s="2"/>
      <c r="R50" s="6">
        <f t="shared" si="28"/>
        <v>0</v>
      </c>
      <c r="S50" s="2"/>
      <c r="T50" s="7">
        <v>210320</v>
      </c>
      <c r="U50" s="2"/>
      <c r="V50" s="6">
        <f t="shared" si="29"/>
        <v>0</v>
      </c>
      <c r="W50" s="2"/>
      <c r="X50" s="7">
        <f t="shared" si="30"/>
        <v>-111663.35</v>
      </c>
      <c r="Y50" s="2"/>
      <c r="Z50" s="6">
        <f t="shared" si="31"/>
        <v>-0.53092121529098524</v>
      </c>
    </row>
    <row r="51" spans="1:26" s="28" customFormat="1" outlineLevel="1" collapsed="1" x14ac:dyDescent="0.3">
      <c r="A51" s="29"/>
      <c r="B51" s="14" t="str">
        <f>CONCATENATE("     ","Discounts and Markdowns                           ")</f>
        <v xml:space="preserve">     Discounts and Markdowns                           </v>
      </c>
      <c r="C51" s="14"/>
      <c r="D51" s="1">
        <f>SUM(OSRRefD22_6x_0)</f>
        <v>-1319.51</v>
      </c>
      <c r="E51" s="1"/>
      <c r="F51" s="5">
        <f t="shared" ref="F51:F53" si="32">IF(D$12=0,0,D51/D$12)</f>
        <v>0</v>
      </c>
      <c r="G51" s="1"/>
      <c r="H51" s="1">
        <f>SUM(OSRRefH22_6x_0)</f>
        <v>0</v>
      </c>
      <c r="I51" s="1"/>
      <c r="J51" s="5">
        <f t="shared" ref="J51:J53" si="33">IF(H$12=0,0,H51/H$12)</f>
        <v>0</v>
      </c>
      <c r="K51" s="1"/>
      <c r="L51" s="1">
        <f t="shared" ref="L51:L53" si="34">+D51-H51</f>
        <v>-1319.51</v>
      </c>
      <c r="M51" s="1"/>
      <c r="N51" s="5">
        <f t="shared" ref="N51:N53" si="35">IF(H51=0,0,L51/H51)</f>
        <v>0</v>
      </c>
      <c r="O51" s="14"/>
      <c r="P51" s="1">
        <f>SUM(OSRRefP22_6x_0)</f>
        <v>2064.1799999999998</v>
      </c>
      <c r="Q51" s="1"/>
      <c r="R51" s="5">
        <f t="shared" ref="R51:R53" si="36">IF(P$12=0,0,P51/P$12)</f>
        <v>0</v>
      </c>
      <c r="S51" s="1"/>
      <c r="T51" s="1">
        <f>SUM(OSRRefT22_6x_0)</f>
        <v>0</v>
      </c>
      <c r="U51" s="1"/>
      <c r="V51" s="5">
        <f t="shared" ref="V51:V53" si="37">IF(T$12=0,0,T51/T$12)</f>
        <v>0</v>
      </c>
      <c r="W51" s="1"/>
      <c r="X51" s="1">
        <f t="shared" ref="X51:X53" si="38">+P51-T51</f>
        <v>2064.1799999999998</v>
      </c>
      <c r="Y51" s="1"/>
      <c r="Z51" s="5">
        <f t="shared" ref="Z51:Z53" si="39">IF(T51=0,0,X51/T51)</f>
        <v>0</v>
      </c>
    </row>
    <row r="52" spans="1:26" s="24" customFormat="1" hidden="1" outlineLevel="2" x14ac:dyDescent="0.3">
      <c r="A52" s="27"/>
      <c r="B52" s="11" t="str">
        <f>CONCATENATE("          ", "6382", " - ", "DISCOUNTS/MARK DOWNS")</f>
        <v xml:space="preserve">          6382 - DISCOUNTS/MARK DOWNS</v>
      </c>
      <c r="C52" s="11"/>
      <c r="D52" s="7">
        <v>-1240</v>
      </c>
      <c r="E52" s="2"/>
      <c r="F52" s="6">
        <f t="shared" si="32"/>
        <v>0</v>
      </c>
      <c r="G52" s="2"/>
      <c r="H52" s="7"/>
      <c r="I52" s="2"/>
      <c r="J52" s="6">
        <f t="shared" si="33"/>
        <v>0</v>
      </c>
      <c r="K52" s="2"/>
      <c r="L52" s="7">
        <f t="shared" si="34"/>
        <v>-1240</v>
      </c>
      <c r="M52" s="2"/>
      <c r="N52" s="6">
        <f t="shared" si="35"/>
        <v>0</v>
      </c>
      <c r="O52" s="11"/>
      <c r="P52" s="7">
        <v>2170</v>
      </c>
      <c r="Q52" s="2"/>
      <c r="R52" s="6">
        <f t="shared" si="36"/>
        <v>0</v>
      </c>
      <c r="S52" s="2"/>
      <c r="T52" s="7"/>
      <c r="U52" s="2"/>
      <c r="V52" s="6">
        <f t="shared" si="37"/>
        <v>0</v>
      </c>
      <c r="W52" s="2"/>
      <c r="X52" s="7">
        <f t="shared" si="38"/>
        <v>2170</v>
      </c>
      <c r="Y52" s="2"/>
      <c r="Z52" s="6">
        <f t="shared" si="39"/>
        <v>0</v>
      </c>
    </row>
    <row r="53" spans="1:26" s="24" customFormat="1" hidden="1" outlineLevel="2" x14ac:dyDescent="0.3">
      <c r="A53" s="27"/>
      <c r="B53" s="11" t="str">
        <f>CONCATENATE("          ", "9175", " - ", "EARNED DISCOUNTS")</f>
        <v xml:space="preserve">          9175 - EARNED DISCOUNTS</v>
      </c>
      <c r="C53" s="11"/>
      <c r="D53" s="7">
        <v>-79.510000000000005</v>
      </c>
      <c r="E53" s="2"/>
      <c r="F53" s="6">
        <f t="shared" si="32"/>
        <v>0</v>
      </c>
      <c r="G53" s="2"/>
      <c r="H53" s="7"/>
      <c r="I53" s="2"/>
      <c r="J53" s="6">
        <f t="shared" si="33"/>
        <v>0</v>
      </c>
      <c r="K53" s="2"/>
      <c r="L53" s="7">
        <f t="shared" si="34"/>
        <v>-79.510000000000005</v>
      </c>
      <c r="M53" s="2"/>
      <c r="N53" s="6">
        <f t="shared" si="35"/>
        <v>0</v>
      </c>
      <c r="O53" s="11"/>
      <c r="P53" s="7">
        <v>-105.82</v>
      </c>
      <c r="Q53" s="2"/>
      <c r="R53" s="6">
        <f t="shared" si="36"/>
        <v>0</v>
      </c>
      <c r="S53" s="2"/>
      <c r="T53" s="7"/>
      <c r="U53" s="2"/>
      <c r="V53" s="6">
        <f t="shared" si="37"/>
        <v>0</v>
      </c>
      <c r="W53" s="2"/>
      <c r="X53" s="7">
        <f t="shared" si="38"/>
        <v>-105.82</v>
      </c>
      <c r="Y53" s="2"/>
      <c r="Z53" s="6">
        <f t="shared" si="39"/>
        <v>0</v>
      </c>
    </row>
    <row r="54" spans="1:26" s="28" customFormat="1" outlineLevel="1" collapsed="1" x14ac:dyDescent="0.3">
      <c r="A54" s="29"/>
      <c r="B54" s="14" t="str">
        <f>CONCATENATE("     ","Donations                                         ")</f>
        <v xml:space="preserve">     Donations                                         </v>
      </c>
      <c r="C54" s="14"/>
      <c r="D54" s="1">
        <f>SUM(OSRRefD22_7x_0)</f>
        <v>0</v>
      </c>
      <c r="E54" s="1"/>
      <c r="F54" s="5">
        <f t="shared" ref="F54:F74" si="40">IF(D$12=0,0,D54/D$12)</f>
        <v>0</v>
      </c>
      <c r="G54" s="1"/>
      <c r="H54" s="1">
        <f>SUM(OSRRefH22_7x_0)</f>
        <v>1250</v>
      </c>
      <c r="I54" s="1"/>
      <c r="J54" s="5">
        <f t="shared" ref="J54:J74" si="41">IF(H$12=0,0,H54/H$12)</f>
        <v>0</v>
      </c>
      <c r="K54" s="1"/>
      <c r="L54" s="1">
        <f t="shared" ref="L54:L74" si="42">+D54-H54</f>
        <v>-1250</v>
      </c>
      <c r="M54" s="1"/>
      <c r="N54" s="5">
        <f t="shared" ref="N54:N74" si="43">IF(H54=0,0,L54/H54)</f>
        <v>-1</v>
      </c>
      <c r="O54" s="14"/>
      <c r="P54" s="1">
        <f>SUM(OSRRefP22_7x_0)</f>
        <v>2820.22</v>
      </c>
      <c r="Q54" s="1"/>
      <c r="R54" s="5">
        <f t="shared" ref="R54:R74" si="44">IF(P$12=0,0,P54/P$12)</f>
        <v>0</v>
      </c>
      <c r="S54" s="1"/>
      <c r="T54" s="1">
        <f>SUM(OSRRefT22_7x_0)</f>
        <v>8750</v>
      </c>
      <c r="U54" s="1"/>
      <c r="V54" s="5">
        <f t="shared" ref="V54:V74" si="45">IF(T$12=0,0,T54/T$12)</f>
        <v>0</v>
      </c>
      <c r="W54" s="1"/>
      <c r="X54" s="1">
        <f t="shared" ref="X54:X74" si="46">+P54-T54</f>
        <v>-5929.7800000000007</v>
      </c>
      <c r="Y54" s="1"/>
      <c r="Z54" s="5">
        <f t="shared" ref="Z54:Z74" si="47">IF(T54=0,0,X54/T54)</f>
        <v>-0.67768914285714288</v>
      </c>
    </row>
    <row r="55" spans="1:26" s="24" customFormat="1" hidden="1" outlineLevel="2" x14ac:dyDescent="0.3">
      <c r="A55" s="27"/>
      <c r="B55" s="11" t="str">
        <f>CONCATENATE("          ", "6399", " - ", "DONATION-ON CAMPUS")</f>
        <v xml:space="preserve">          6399 - DONATION-ON CAMPUS</v>
      </c>
      <c r="C55" s="11"/>
      <c r="D55" s="7"/>
      <c r="E55" s="2"/>
      <c r="F55" s="6">
        <f t="shared" si="40"/>
        <v>0</v>
      </c>
      <c r="G55" s="2"/>
      <c r="H55" s="7">
        <v>1250</v>
      </c>
      <c r="I55" s="2"/>
      <c r="J55" s="6">
        <f t="shared" si="41"/>
        <v>0</v>
      </c>
      <c r="K55" s="2"/>
      <c r="L55" s="7">
        <f t="shared" si="42"/>
        <v>-1250</v>
      </c>
      <c r="M55" s="2"/>
      <c r="N55" s="6">
        <f t="shared" si="43"/>
        <v>-1</v>
      </c>
      <c r="O55" s="11"/>
      <c r="P55" s="7">
        <v>2820.22</v>
      </c>
      <c r="Q55" s="2"/>
      <c r="R55" s="6">
        <f t="shared" si="44"/>
        <v>0</v>
      </c>
      <c r="S55" s="2"/>
      <c r="T55" s="7">
        <v>8750</v>
      </c>
      <c r="U55" s="2"/>
      <c r="V55" s="6">
        <f t="shared" si="45"/>
        <v>0</v>
      </c>
      <c r="W55" s="2"/>
      <c r="X55" s="7">
        <f t="shared" si="46"/>
        <v>-5929.7800000000007</v>
      </c>
      <c r="Y55" s="2"/>
      <c r="Z55" s="6">
        <f t="shared" si="47"/>
        <v>-0.67768914285714288</v>
      </c>
    </row>
    <row r="56" spans="1:26" s="28" customFormat="1" outlineLevel="1" collapsed="1" x14ac:dyDescent="0.3">
      <c r="A56" s="29"/>
      <c r="B56" s="14" t="str">
        <f>CONCATENATE("     ","Employees' Appreciation                           ")</f>
        <v xml:space="preserve">     Employees' Appreciation                           </v>
      </c>
      <c r="C56" s="14"/>
      <c r="D56" s="1">
        <f>SUM(OSRRefD22_8x_0)</f>
        <v>1421.38</v>
      </c>
      <c r="E56" s="1"/>
      <c r="F56" s="5">
        <f t="shared" si="40"/>
        <v>0</v>
      </c>
      <c r="G56" s="1"/>
      <c r="H56" s="1">
        <f>SUM(OSRRefH22_8x_0)</f>
        <v>100</v>
      </c>
      <c r="I56" s="1"/>
      <c r="J56" s="5">
        <f t="shared" si="41"/>
        <v>0</v>
      </c>
      <c r="K56" s="1"/>
      <c r="L56" s="1">
        <f t="shared" si="42"/>
        <v>1321.38</v>
      </c>
      <c r="M56" s="1"/>
      <c r="N56" s="5">
        <f t="shared" si="43"/>
        <v>13.213800000000001</v>
      </c>
      <c r="O56" s="14"/>
      <c r="P56" s="1">
        <f>SUM(OSRRefP22_8x_0)</f>
        <v>4028.75</v>
      </c>
      <c r="Q56" s="1"/>
      <c r="R56" s="5">
        <f t="shared" si="44"/>
        <v>0</v>
      </c>
      <c r="S56" s="1"/>
      <c r="T56" s="1">
        <f>SUM(OSRRefT22_8x_0)</f>
        <v>700</v>
      </c>
      <c r="U56" s="1"/>
      <c r="V56" s="5">
        <f t="shared" si="45"/>
        <v>0</v>
      </c>
      <c r="W56" s="1"/>
      <c r="X56" s="1">
        <f t="shared" si="46"/>
        <v>3328.75</v>
      </c>
      <c r="Y56" s="1"/>
      <c r="Z56" s="5">
        <f t="shared" si="47"/>
        <v>4.7553571428571431</v>
      </c>
    </row>
    <row r="57" spans="1:26" s="24" customFormat="1" hidden="1" outlineLevel="2" x14ac:dyDescent="0.3">
      <c r="A57" s="27"/>
      <c r="B57" s="11" t="str">
        <f>CONCATENATE("          ", "6277", " - ", "EMPLOYEE APPRECIATION")</f>
        <v xml:space="preserve">          6277 - EMPLOYEE APPRECIATION</v>
      </c>
      <c r="C57" s="11"/>
      <c r="D57" s="7">
        <v>1421.38</v>
      </c>
      <c r="E57" s="2"/>
      <c r="F57" s="6">
        <f t="shared" si="40"/>
        <v>0</v>
      </c>
      <c r="G57" s="2"/>
      <c r="H57" s="7">
        <v>100</v>
      </c>
      <c r="I57" s="2"/>
      <c r="J57" s="6">
        <f t="shared" si="41"/>
        <v>0</v>
      </c>
      <c r="K57" s="2"/>
      <c r="L57" s="7">
        <f t="shared" si="42"/>
        <v>1321.38</v>
      </c>
      <c r="M57" s="2"/>
      <c r="N57" s="6">
        <f t="shared" si="43"/>
        <v>13.213800000000001</v>
      </c>
      <c r="O57" s="11"/>
      <c r="P57" s="7">
        <v>4028.75</v>
      </c>
      <c r="Q57" s="2"/>
      <c r="R57" s="6">
        <f t="shared" si="44"/>
        <v>0</v>
      </c>
      <c r="S57" s="2"/>
      <c r="T57" s="7">
        <v>700</v>
      </c>
      <c r="U57" s="2"/>
      <c r="V57" s="6">
        <f t="shared" si="45"/>
        <v>0</v>
      </c>
      <c r="W57" s="2"/>
      <c r="X57" s="7">
        <f t="shared" si="46"/>
        <v>3328.75</v>
      </c>
      <c r="Y57" s="2"/>
      <c r="Z57" s="6">
        <f t="shared" si="47"/>
        <v>4.7553571428571431</v>
      </c>
    </row>
    <row r="58" spans="1:26" s="28" customFormat="1" outlineLevel="1" collapsed="1" x14ac:dyDescent="0.3">
      <c r="A58" s="29"/>
      <c r="B58" s="14" t="str">
        <f>CONCATENATE("     ","Equipment Rental                                  ")</f>
        <v xml:space="preserve">     Equipment Rental                                  </v>
      </c>
      <c r="C58" s="14"/>
      <c r="D58" s="1">
        <f>SUM(OSRRefD22_9x_0)</f>
        <v>91.26</v>
      </c>
      <c r="E58" s="1"/>
      <c r="F58" s="5">
        <f t="shared" si="40"/>
        <v>0</v>
      </c>
      <c r="G58" s="1"/>
      <c r="H58" s="1">
        <f>SUM(OSRRefH22_9x_0)</f>
        <v>300</v>
      </c>
      <c r="I58" s="1"/>
      <c r="J58" s="5">
        <f t="shared" si="41"/>
        <v>0</v>
      </c>
      <c r="K58" s="1"/>
      <c r="L58" s="1">
        <f t="shared" si="42"/>
        <v>-208.74</v>
      </c>
      <c r="M58" s="1"/>
      <c r="N58" s="5">
        <f t="shared" si="43"/>
        <v>-0.69580000000000009</v>
      </c>
      <c r="O58" s="14"/>
      <c r="P58" s="1">
        <f>SUM(OSRRefP22_9x_0)</f>
        <v>2021.47</v>
      </c>
      <c r="Q58" s="1"/>
      <c r="R58" s="5">
        <f t="shared" si="44"/>
        <v>0</v>
      </c>
      <c r="S58" s="1"/>
      <c r="T58" s="1">
        <f>SUM(OSRRefT22_9x_0)</f>
        <v>2100</v>
      </c>
      <c r="U58" s="1"/>
      <c r="V58" s="5">
        <f t="shared" si="45"/>
        <v>0</v>
      </c>
      <c r="W58" s="1"/>
      <c r="X58" s="1">
        <f t="shared" si="46"/>
        <v>-78.529999999999973</v>
      </c>
      <c r="Y58" s="1"/>
      <c r="Z58" s="5">
        <f t="shared" si="47"/>
        <v>-3.7395238095238086E-2</v>
      </c>
    </row>
    <row r="59" spans="1:26" s="24" customFormat="1" hidden="1" outlineLevel="2" x14ac:dyDescent="0.3">
      <c r="A59" s="27"/>
      <c r="B59" s="11" t="str">
        <f>CONCATENATE("          ", "6351", " - ", "EQUIPMENT RENTAL")</f>
        <v xml:space="preserve">          6351 - EQUIPMENT RENTAL</v>
      </c>
      <c r="C59" s="11"/>
      <c r="D59" s="7">
        <v>91.26</v>
      </c>
      <c r="E59" s="2"/>
      <c r="F59" s="6">
        <f t="shared" si="40"/>
        <v>0</v>
      </c>
      <c r="G59" s="2"/>
      <c r="H59" s="7">
        <v>300</v>
      </c>
      <c r="I59" s="2"/>
      <c r="J59" s="6">
        <f t="shared" si="41"/>
        <v>0</v>
      </c>
      <c r="K59" s="2"/>
      <c r="L59" s="7">
        <f t="shared" si="42"/>
        <v>-208.74</v>
      </c>
      <c r="M59" s="2"/>
      <c r="N59" s="6">
        <f t="shared" si="43"/>
        <v>-0.69580000000000009</v>
      </c>
      <c r="O59" s="11"/>
      <c r="P59" s="7">
        <v>2021.47</v>
      </c>
      <c r="Q59" s="2"/>
      <c r="R59" s="6">
        <f t="shared" si="44"/>
        <v>0</v>
      </c>
      <c r="S59" s="2"/>
      <c r="T59" s="7">
        <v>2100</v>
      </c>
      <c r="U59" s="2"/>
      <c r="V59" s="6">
        <f t="shared" si="45"/>
        <v>0</v>
      </c>
      <c r="W59" s="2"/>
      <c r="X59" s="7">
        <f t="shared" si="46"/>
        <v>-78.529999999999973</v>
      </c>
      <c r="Y59" s="2"/>
      <c r="Z59" s="6">
        <f t="shared" si="47"/>
        <v>-3.7395238095238086E-2</v>
      </c>
    </row>
    <row r="60" spans="1:26" s="28" customFormat="1" outlineLevel="1" collapsed="1" x14ac:dyDescent="0.3">
      <c r="A60" s="29"/>
      <c r="B60" s="14" t="str">
        <f>CONCATENATE("     ","Freight out/Postage                               ")</f>
        <v xml:space="preserve">     Freight out/Postage                               </v>
      </c>
      <c r="C60" s="14"/>
      <c r="D60" s="1">
        <f>SUM(OSRRefD22_10x_0)</f>
        <v>1725.99</v>
      </c>
      <c r="E60" s="1"/>
      <c r="F60" s="5">
        <f t="shared" si="40"/>
        <v>0</v>
      </c>
      <c r="G60" s="1"/>
      <c r="H60" s="1">
        <f>SUM(OSRRefH22_10x_0)</f>
        <v>100</v>
      </c>
      <c r="I60" s="1"/>
      <c r="J60" s="5">
        <f t="shared" si="41"/>
        <v>0</v>
      </c>
      <c r="K60" s="1"/>
      <c r="L60" s="1">
        <f t="shared" si="42"/>
        <v>1625.99</v>
      </c>
      <c r="M60" s="1"/>
      <c r="N60" s="5">
        <f t="shared" si="43"/>
        <v>16.259900000000002</v>
      </c>
      <c r="O60" s="14"/>
      <c r="P60" s="1">
        <f>SUM(OSRRefP22_10x_0)</f>
        <v>11232.23</v>
      </c>
      <c r="Q60" s="1"/>
      <c r="R60" s="5">
        <f t="shared" si="44"/>
        <v>0</v>
      </c>
      <c r="S60" s="1"/>
      <c r="T60" s="1">
        <f>SUM(OSRRefT22_10x_0)</f>
        <v>700</v>
      </c>
      <c r="U60" s="1"/>
      <c r="V60" s="5">
        <f t="shared" si="45"/>
        <v>0</v>
      </c>
      <c r="W60" s="1"/>
      <c r="X60" s="1">
        <f t="shared" si="46"/>
        <v>10532.23</v>
      </c>
      <c r="Y60" s="1"/>
      <c r="Z60" s="5">
        <f t="shared" si="47"/>
        <v>15.046042857142856</v>
      </c>
    </row>
    <row r="61" spans="1:26" s="24" customFormat="1" hidden="1" outlineLevel="2" x14ac:dyDescent="0.3">
      <c r="A61" s="27"/>
      <c r="B61" s="11" t="str">
        <f>CONCATENATE("          ", "6307", " - ", "POSTAGE")</f>
        <v xml:space="preserve">          6307 - POSTAGE</v>
      </c>
      <c r="C61" s="11"/>
      <c r="D61" s="7">
        <v>1725.99</v>
      </c>
      <c r="E61" s="2"/>
      <c r="F61" s="6">
        <f t="shared" si="40"/>
        <v>0</v>
      </c>
      <c r="G61" s="2"/>
      <c r="H61" s="7">
        <v>100</v>
      </c>
      <c r="I61" s="2"/>
      <c r="J61" s="6">
        <f t="shared" si="41"/>
        <v>0</v>
      </c>
      <c r="K61" s="2"/>
      <c r="L61" s="7">
        <f t="shared" si="42"/>
        <v>1625.99</v>
      </c>
      <c r="M61" s="2"/>
      <c r="N61" s="6">
        <f t="shared" si="43"/>
        <v>16.259900000000002</v>
      </c>
      <c r="O61" s="11"/>
      <c r="P61" s="7">
        <v>11232.23</v>
      </c>
      <c r="Q61" s="2"/>
      <c r="R61" s="6">
        <f t="shared" si="44"/>
        <v>0</v>
      </c>
      <c r="S61" s="2"/>
      <c r="T61" s="7">
        <v>700</v>
      </c>
      <c r="U61" s="2"/>
      <c r="V61" s="6">
        <f t="shared" si="45"/>
        <v>0</v>
      </c>
      <c r="W61" s="2"/>
      <c r="X61" s="7">
        <f t="shared" si="46"/>
        <v>10532.23</v>
      </c>
      <c r="Y61" s="2"/>
      <c r="Z61" s="6">
        <f t="shared" si="47"/>
        <v>15.046042857142856</v>
      </c>
    </row>
    <row r="62" spans="1:26" s="28" customFormat="1" outlineLevel="1" collapsed="1" x14ac:dyDescent="0.3">
      <c r="A62" s="29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SUM(OSRRefD22_11x_0)</f>
        <v>0</v>
      </c>
      <c r="E62" s="1"/>
      <c r="F62" s="5">
        <f t="shared" si="40"/>
        <v>0</v>
      </c>
      <c r="G62" s="1"/>
      <c r="H62" s="1">
        <f>SUM(OSRRefH22_11x_0)</f>
        <v>200</v>
      </c>
      <c r="I62" s="1"/>
      <c r="J62" s="5">
        <f t="shared" si="41"/>
        <v>0</v>
      </c>
      <c r="K62" s="1"/>
      <c r="L62" s="1">
        <f t="shared" si="42"/>
        <v>-200</v>
      </c>
      <c r="M62" s="1"/>
      <c r="N62" s="5">
        <f t="shared" si="43"/>
        <v>-1</v>
      </c>
      <c r="O62" s="14"/>
      <c r="P62" s="1">
        <f>SUM(OSRRefP22_11x_0)</f>
        <v>2556.75</v>
      </c>
      <c r="Q62" s="1"/>
      <c r="R62" s="5">
        <f t="shared" si="44"/>
        <v>0</v>
      </c>
      <c r="S62" s="1"/>
      <c r="T62" s="1">
        <f>SUM(OSRRefT22_11x_0)</f>
        <v>1400</v>
      </c>
      <c r="U62" s="1"/>
      <c r="V62" s="5">
        <f t="shared" si="45"/>
        <v>0</v>
      </c>
      <c r="W62" s="1"/>
      <c r="X62" s="1">
        <f t="shared" si="46"/>
        <v>1156.75</v>
      </c>
      <c r="Y62" s="1"/>
      <c r="Z62" s="5">
        <f t="shared" si="47"/>
        <v>0.82625000000000004</v>
      </c>
    </row>
    <row r="63" spans="1:26" s="24" customFormat="1" hidden="1" outlineLevel="2" x14ac:dyDescent="0.3">
      <c r="A63" s="27"/>
      <c r="B63" s="11" t="str">
        <f>CONCATENATE("          ", "6279", " - ", "GENERAL EXPENSE")</f>
        <v xml:space="preserve">          6279 - GENERAL EXPENSE</v>
      </c>
      <c r="C63" s="11"/>
      <c r="D63" s="7"/>
      <c r="E63" s="2"/>
      <c r="F63" s="6">
        <f t="shared" si="40"/>
        <v>0</v>
      </c>
      <c r="G63" s="2"/>
      <c r="H63" s="7">
        <v>200</v>
      </c>
      <c r="I63" s="2"/>
      <c r="J63" s="6">
        <f t="shared" si="41"/>
        <v>0</v>
      </c>
      <c r="K63" s="2"/>
      <c r="L63" s="7">
        <f t="shared" si="42"/>
        <v>-200</v>
      </c>
      <c r="M63" s="2"/>
      <c r="N63" s="6">
        <f t="shared" si="43"/>
        <v>-1</v>
      </c>
      <c r="O63" s="11"/>
      <c r="P63" s="7">
        <v>2556.75</v>
      </c>
      <c r="Q63" s="2"/>
      <c r="R63" s="6">
        <f t="shared" si="44"/>
        <v>0</v>
      </c>
      <c r="S63" s="2"/>
      <c r="T63" s="7">
        <v>1400</v>
      </c>
      <c r="U63" s="2"/>
      <c r="V63" s="6">
        <f t="shared" si="45"/>
        <v>0</v>
      </c>
      <c r="W63" s="2"/>
      <c r="X63" s="7">
        <f t="shared" si="46"/>
        <v>1156.75</v>
      </c>
      <c r="Y63" s="2"/>
      <c r="Z63" s="6">
        <f t="shared" si="47"/>
        <v>0.82625000000000004</v>
      </c>
    </row>
    <row r="64" spans="1:26" s="28" customFormat="1" outlineLevel="1" collapsed="1" x14ac:dyDescent="0.3">
      <c r="A64" s="29"/>
      <c r="B64" s="14" t="str">
        <f>CONCATENATE("     ","Insurance                                         ")</f>
        <v xml:space="preserve">     Insurance                                         </v>
      </c>
      <c r="C64" s="14"/>
      <c r="D64" s="1">
        <f>SUM(OSRRefD22_12x_0)</f>
        <v>5275.49</v>
      </c>
      <c r="E64" s="1"/>
      <c r="F64" s="5">
        <f t="shared" si="40"/>
        <v>0</v>
      </c>
      <c r="G64" s="1"/>
      <c r="H64" s="1">
        <f>SUM(OSRRefH22_12x_0)</f>
        <v>5200</v>
      </c>
      <c r="I64" s="1"/>
      <c r="J64" s="5">
        <f t="shared" si="41"/>
        <v>0</v>
      </c>
      <c r="K64" s="1"/>
      <c r="L64" s="1">
        <f t="shared" si="42"/>
        <v>75.489999999999782</v>
      </c>
      <c r="M64" s="1"/>
      <c r="N64" s="5">
        <f t="shared" si="43"/>
        <v>1.4517307692307651E-2</v>
      </c>
      <c r="O64" s="14"/>
      <c r="P64" s="1">
        <f>SUM(OSRRefP22_12x_0)</f>
        <v>36928.43</v>
      </c>
      <c r="Q64" s="1"/>
      <c r="R64" s="5">
        <f t="shared" si="44"/>
        <v>0</v>
      </c>
      <c r="S64" s="1"/>
      <c r="T64" s="1">
        <f>SUM(OSRRefT22_12x_0)</f>
        <v>36400</v>
      </c>
      <c r="U64" s="1"/>
      <c r="V64" s="5">
        <f t="shared" si="45"/>
        <v>0</v>
      </c>
      <c r="W64" s="1"/>
      <c r="X64" s="1">
        <f t="shared" si="46"/>
        <v>528.43000000000029</v>
      </c>
      <c r="Y64" s="1"/>
      <c r="Z64" s="5">
        <f t="shared" si="47"/>
        <v>1.4517307692307701E-2</v>
      </c>
    </row>
    <row r="65" spans="1:26" s="24" customFormat="1" hidden="1" outlineLevel="2" x14ac:dyDescent="0.3">
      <c r="A65" s="27"/>
      <c r="B65" s="11" t="str">
        <f>CONCATENATE("          ", "6314", " - ", "LIABILITY INSURANCE")</f>
        <v xml:space="preserve">          6314 - LIABILITY INSURANCE</v>
      </c>
      <c r="C65" s="11"/>
      <c r="D65" s="7">
        <v>5275.49</v>
      </c>
      <c r="E65" s="2"/>
      <c r="F65" s="6">
        <f t="shared" si="40"/>
        <v>0</v>
      </c>
      <c r="G65" s="2"/>
      <c r="H65" s="7">
        <v>5200</v>
      </c>
      <c r="I65" s="2"/>
      <c r="J65" s="6">
        <f t="shared" si="41"/>
        <v>0</v>
      </c>
      <c r="K65" s="2"/>
      <c r="L65" s="7">
        <f t="shared" si="42"/>
        <v>75.489999999999782</v>
      </c>
      <c r="M65" s="2"/>
      <c r="N65" s="6">
        <f t="shared" si="43"/>
        <v>1.4517307692307651E-2</v>
      </c>
      <c r="O65" s="11"/>
      <c r="P65" s="7">
        <v>36928.43</v>
      </c>
      <c r="Q65" s="2"/>
      <c r="R65" s="6">
        <f t="shared" si="44"/>
        <v>0</v>
      </c>
      <c r="S65" s="2"/>
      <c r="T65" s="7">
        <v>36400</v>
      </c>
      <c r="U65" s="2"/>
      <c r="V65" s="6">
        <f t="shared" si="45"/>
        <v>0</v>
      </c>
      <c r="W65" s="2"/>
      <c r="X65" s="7">
        <f t="shared" si="46"/>
        <v>528.43000000000029</v>
      </c>
      <c r="Y65" s="2"/>
      <c r="Z65" s="6">
        <f t="shared" si="47"/>
        <v>1.4517307692307701E-2</v>
      </c>
    </row>
    <row r="66" spans="1:26" s="28" customFormat="1" outlineLevel="1" collapsed="1" x14ac:dyDescent="0.3">
      <c r="A66" s="29"/>
      <c r="B66" s="14" t="str">
        <f>CONCATENATE("     ","Professional Services                             ")</f>
        <v xml:space="preserve">     Professional Services                             </v>
      </c>
      <c r="C66" s="14"/>
      <c r="D66" s="1">
        <f>SUM(OSRRefD22_13x_0)</f>
        <v>0</v>
      </c>
      <c r="E66" s="1"/>
      <c r="F66" s="5">
        <f t="shared" si="40"/>
        <v>0</v>
      </c>
      <c r="G66" s="1"/>
      <c r="H66" s="1">
        <f>SUM(OSRRefH22_13x_0)</f>
        <v>0</v>
      </c>
      <c r="I66" s="1"/>
      <c r="J66" s="5">
        <f t="shared" si="41"/>
        <v>0</v>
      </c>
      <c r="K66" s="1"/>
      <c r="L66" s="1">
        <f t="shared" si="42"/>
        <v>0</v>
      </c>
      <c r="M66" s="1"/>
      <c r="N66" s="5">
        <f t="shared" si="43"/>
        <v>0</v>
      </c>
      <c r="O66" s="14"/>
      <c r="P66" s="1">
        <f>SUM(OSRRefP22_13x_0)</f>
        <v>7517.43</v>
      </c>
      <c r="Q66" s="1"/>
      <c r="R66" s="5">
        <f t="shared" si="44"/>
        <v>0</v>
      </c>
      <c r="S66" s="1"/>
      <c r="T66" s="1">
        <f>SUM(OSRRefT22_13x_0)</f>
        <v>0</v>
      </c>
      <c r="U66" s="1"/>
      <c r="V66" s="5">
        <f t="shared" si="45"/>
        <v>0</v>
      </c>
      <c r="W66" s="1"/>
      <c r="X66" s="1">
        <f t="shared" si="46"/>
        <v>7517.43</v>
      </c>
      <c r="Y66" s="1"/>
      <c r="Z66" s="5">
        <f t="shared" si="47"/>
        <v>0</v>
      </c>
    </row>
    <row r="67" spans="1:26" s="24" customFormat="1" hidden="1" outlineLevel="2" x14ac:dyDescent="0.3">
      <c r="A67" s="27"/>
      <c r="B67" s="11" t="str">
        <f>CONCATENATE("          ", "6336", " - ", "PROFESSIONAL SERVICES")</f>
        <v xml:space="preserve">          6336 - PROFESSIONAL SERVICES</v>
      </c>
      <c r="C67" s="11"/>
      <c r="D67" s="7"/>
      <c r="E67" s="2"/>
      <c r="F67" s="6">
        <f t="shared" si="40"/>
        <v>0</v>
      </c>
      <c r="G67" s="2"/>
      <c r="H67" s="7"/>
      <c r="I67" s="2"/>
      <c r="J67" s="6">
        <f t="shared" si="41"/>
        <v>0</v>
      </c>
      <c r="K67" s="2"/>
      <c r="L67" s="7">
        <f t="shared" si="42"/>
        <v>0</v>
      </c>
      <c r="M67" s="2"/>
      <c r="N67" s="6">
        <f t="shared" si="43"/>
        <v>0</v>
      </c>
      <c r="O67" s="11"/>
      <c r="P67" s="7">
        <v>7517.43</v>
      </c>
      <c r="Q67" s="2"/>
      <c r="R67" s="6">
        <f t="shared" si="44"/>
        <v>0</v>
      </c>
      <c r="S67" s="2"/>
      <c r="T67" s="7"/>
      <c r="U67" s="2"/>
      <c r="V67" s="6">
        <f t="shared" si="45"/>
        <v>0</v>
      </c>
      <c r="W67" s="2"/>
      <c r="X67" s="7">
        <f t="shared" si="46"/>
        <v>7517.43</v>
      </c>
      <c r="Y67" s="2"/>
      <c r="Z67" s="6">
        <f t="shared" si="47"/>
        <v>0</v>
      </c>
    </row>
    <row r="68" spans="1:26" s="28" customFormat="1" outlineLevel="1" collapsed="1" x14ac:dyDescent="0.3">
      <c r="A68" s="29"/>
      <c r="B68" s="14" t="str">
        <f>CONCATENATE("     ","Rent                                              ")</f>
        <v xml:space="preserve">     Rent                                              </v>
      </c>
      <c r="C68" s="14"/>
      <c r="D68" s="1">
        <f>SUM(OSRRefD22_14x_0)</f>
        <v>-800</v>
      </c>
      <c r="E68" s="1"/>
      <c r="F68" s="5">
        <f t="shared" si="40"/>
        <v>0</v>
      </c>
      <c r="G68" s="1"/>
      <c r="H68" s="1">
        <f>SUM(OSRRefH22_14x_0)</f>
        <v>-800</v>
      </c>
      <c r="I68" s="1"/>
      <c r="J68" s="5">
        <f t="shared" si="41"/>
        <v>0</v>
      </c>
      <c r="K68" s="1"/>
      <c r="L68" s="1">
        <f t="shared" si="42"/>
        <v>0</v>
      </c>
      <c r="M68" s="1"/>
      <c r="N68" s="5">
        <f t="shared" si="43"/>
        <v>0</v>
      </c>
      <c r="O68" s="14"/>
      <c r="P68" s="1">
        <f>SUM(OSRRefP22_14x_0)</f>
        <v>-5600</v>
      </c>
      <c r="Q68" s="1"/>
      <c r="R68" s="5">
        <f t="shared" si="44"/>
        <v>0</v>
      </c>
      <c r="S68" s="1"/>
      <c r="T68" s="1">
        <f>SUM(OSRRefT22_14x_0)</f>
        <v>-5600</v>
      </c>
      <c r="U68" s="1"/>
      <c r="V68" s="5">
        <f t="shared" si="45"/>
        <v>0</v>
      </c>
      <c r="W68" s="1"/>
      <c r="X68" s="1">
        <f t="shared" si="46"/>
        <v>0</v>
      </c>
      <c r="Y68" s="1"/>
      <c r="Z68" s="5">
        <f t="shared" si="47"/>
        <v>0</v>
      </c>
    </row>
    <row r="69" spans="1:26" s="24" customFormat="1" hidden="1" outlineLevel="2" x14ac:dyDescent="0.3">
      <c r="A69" s="27"/>
      <c r="B69" s="11" t="str">
        <f>CONCATENATE("          ", "6273", " - ", "RENT")</f>
        <v xml:space="preserve">          6273 - RENT</v>
      </c>
      <c r="C69" s="11"/>
      <c r="D69" s="7">
        <v>-800</v>
      </c>
      <c r="E69" s="2"/>
      <c r="F69" s="6">
        <f t="shared" si="40"/>
        <v>0</v>
      </c>
      <c r="G69" s="2"/>
      <c r="H69" s="7">
        <v>-800</v>
      </c>
      <c r="I69" s="2"/>
      <c r="J69" s="6">
        <f t="shared" si="41"/>
        <v>0</v>
      </c>
      <c r="K69" s="2"/>
      <c r="L69" s="7">
        <f t="shared" si="42"/>
        <v>0</v>
      </c>
      <c r="M69" s="2"/>
      <c r="N69" s="6">
        <f t="shared" si="43"/>
        <v>0</v>
      </c>
      <c r="O69" s="11"/>
      <c r="P69" s="7">
        <v>-5600</v>
      </c>
      <c r="Q69" s="2"/>
      <c r="R69" s="6">
        <f t="shared" si="44"/>
        <v>0</v>
      </c>
      <c r="S69" s="2"/>
      <c r="T69" s="7">
        <v>-5600</v>
      </c>
      <c r="U69" s="2"/>
      <c r="V69" s="6">
        <f t="shared" si="45"/>
        <v>0</v>
      </c>
      <c r="W69" s="2"/>
      <c r="X69" s="7">
        <f t="shared" si="46"/>
        <v>0</v>
      </c>
      <c r="Y69" s="2"/>
      <c r="Z69" s="6">
        <f t="shared" si="47"/>
        <v>0</v>
      </c>
    </row>
    <row r="70" spans="1:26" s="28" customFormat="1" outlineLevel="1" collapsed="1" x14ac:dyDescent="0.3">
      <c r="A70" s="29"/>
      <c r="B70" s="14" t="str">
        <f>CONCATENATE("     ","Repair and Maintenance                            ")</f>
        <v xml:space="preserve">     Repair and Maintenance                            </v>
      </c>
      <c r="C70" s="14"/>
      <c r="D70" s="1">
        <f>SUM(OSRRefD22_15x_0)</f>
        <v>4102.7300000000005</v>
      </c>
      <c r="E70" s="1"/>
      <c r="F70" s="5">
        <f t="shared" si="40"/>
        <v>0</v>
      </c>
      <c r="G70" s="1"/>
      <c r="H70" s="1">
        <f>SUM(OSRRefH22_15x_0)</f>
        <v>4950</v>
      </c>
      <c r="I70" s="1"/>
      <c r="J70" s="5">
        <f t="shared" si="41"/>
        <v>0</v>
      </c>
      <c r="K70" s="1"/>
      <c r="L70" s="1">
        <f t="shared" si="42"/>
        <v>-847.26999999999953</v>
      </c>
      <c r="M70" s="1"/>
      <c r="N70" s="5">
        <f t="shared" si="43"/>
        <v>-0.17116565656565647</v>
      </c>
      <c r="O70" s="14"/>
      <c r="P70" s="1">
        <f>SUM(OSRRefP22_15x_0)</f>
        <v>79458.22</v>
      </c>
      <c r="Q70" s="1"/>
      <c r="R70" s="5">
        <f t="shared" si="44"/>
        <v>0</v>
      </c>
      <c r="S70" s="1"/>
      <c r="T70" s="1">
        <f>SUM(OSRRefT22_15x_0)</f>
        <v>70270</v>
      </c>
      <c r="U70" s="1"/>
      <c r="V70" s="5">
        <f t="shared" si="45"/>
        <v>0</v>
      </c>
      <c r="W70" s="1"/>
      <c r="X70" s="1">
        <f t="shared" si="46"/>
        <v>9188.2200000000012</v>
      </c>
      <c r="Y70" s="1"/>
      <c r="Z70" s="5">
        <f t="shared" si="47"/>
        <v>0.13075594136900529</v>
      </c>
    </row>
    <row r="71" spans="1:26" s="24" customFormat="1" hidden="1" outlineLevel="2" x14ac:dyDescent="0.3">
      <c r="A71" s="27"/>
      <c r="B71" s="11" t="str">
        <f>CONCATENATE("          ", "6371", " - ", "COMPUTER SOFTWARE MAINTENANCE")</f>
        <v xml:space="preserve">          6371 - COMPUTER SOFTWARE MAINTENANCE</v>
      </c>
      <c r="C71" s="11"/>
      <c r="D71" s="7"/>
      <c r="E71" s="2"/>
      <c r="F71" s="6">
        <f t="shared" si="40"/>
        <v>0</v>
      </c>
      <c r="G71" s="2"/>
      <c r="H71" s="7">
        <v>1000</v>
      </c>
      <c r="I71" s="2"/>
      <c r="J71" s="6">
        <f t="shared" si="41"/>
        <v>0</v>
      </c>
      <c r="K71" s="2"/>
      <c r="L71" s="7">
        <f t="shared" si="42"/>
        <v>-1000</v>
      </c>
      <c r="M71" s="2"/>
      <c r="N71" s="6">
        <f t="shared" si="43"/>
        <v>-1</v>
      </c>
      <c r="O71" s="11"/>
      <c r="P71" s="7">
        <v>56736</v>
      </c>
      <c r="Q71" s="2"/>
      <c r="R71" s="6">
        <f t="shared" si="44"/>
        <v>0</v>
      </c>
      <c r="S71" s="2"/>
      <c r="T71" s="7">
        <v>46000</v>
      </c>
      <c r="U71" s="2"/>
      <c r="V71" s="6">
        <f t="shared" si="45"/>
        <v>0</v>
      </c>
      <c r="W71" s="2"/>
      <c r="X71" s="7">
        <f t="shared" si="46"/>
        <v>10736</v>
      </c>
      <c r="Y71" s="2"/>
      <c r="Z71" s="6">
        <f t="shared" si="47"/>
        <v>0.2333913043478261</v>
      </c>
    </row>
    <row r="72" spans="1:26" s="24" customFormat="1" hidden="1" outlineLevel="2" x14ac:dyDescent="0.3">
      <c r="A72" s="27"/>
      <c r="B72" s="11" t="str">
        <f>CONCATENATE("          ", "6372", " - ", "COMPUTER HARDWARE MAINTENANCE")</f>
        <v xml:space="preserve">          6372 - COMPUTER HARDWARE MAINTENANCE</v>
      </c>
      <c r="C72" s="11"/>
      <c r="D72" s="7"/>
      <c r="E72" s="2"/>
      <c r="F72" s="6">
        <f t="shared" si="40"/>
        <v>0</v>
      </c>
      <c r="G72" s="2"/>
      <c r="H72" s="7">
        <v>3750</v>
      </c>
      <c r="I72" s="2"/>
      <c r="J72" s="6">
        <f t="shared" si="41"/>
        <v>0</v>
      </c>
      <c r="K72" s="2"/>
      <c r="L72" s="7">
        <f t="shared" si="42"/>
        <v>-3750</v>
      </c>
      <c r="M72" s="2"/>
      <c r="N72" s="6">
        <f t="shared" si="43"/>
        <v>-1</v>
      </c>
      <c r="O72" s="11"/>
      <c r="P72" s="7"/>
      <c r="Q72" s="2"/>
      <c r="R72" s="6">
        <f t="shared" si="44"/>
        <v>0</v>
      </c>
      <c r="S72" s="2"/>
      <c r="T72" s="7">
        <v>22870</v>
      </c>
      <c r="U72" s="2"/>
      <c r="V72" s="6">
        <f t="shared" si="45"/>
        <v>0</v>
      </c>
      <c r="W72" s="2"/>
      <c r="X72" s="7">
        <f t="shared" si="46"/>
        <v>-22870</v>
      </c>
      <c r="Y72" s="2"/>
      <c r="Z72" s="6">
        <f t="shared" si="47"/>
        <v>-1</v>
      </c>
    </row>
    <row r="73" spans="1:26" s="24" customFormat="1" hidden="1" outlineLevel="2" x14ac:dyDescent="0.3">
      <c r="A73" s="27"/>
      <c r="B73" s="11" t="str">
        <f>CONCATENATE("          ", "6373", " - ", "MAINTENANCE CONTRACTS")</f>
        <v xml:space="preserve">          6373 - MAINTENANCE CONTRACTS</v>
      </c>
      <c r="C73" s="11"/>
      <c r="D73" s="7">
        <v>69.040000000000006</v>
      </c>
      <c r="E73" s="2"/>
      <c r="F73" s="6">
        <f t="shared" si="40"/>
        <v>0</v>
      </c>
      <c r="G73" s="2"/>
      <c r="H73" s="7">
        <v>200</v>
      </c>
      <c r="I73" s="2"/>
      <c r="J73" s="6">
        <f t="shared" si="41"/>
        <v>0</v>
      </c>
      <c r="K73" s="2"/>
      <c r="L73" s="7">
        <f t="shared" si="42"/>
        <v>-130.95999999999998</v>
      </c>
      <c r="M73" s="2"/>
      <c r="N73" s="6">
        <f t="shared" si="43"/>
        <v>-0.65479999999999994</v>
      </c>
      <c r="O73" s="11"/>
      <c r="P73" s="7">
        <v>8457.31</v>
      </c>
      <c r="Q73" s="2"/>
      <c r="R73" s="6">
        <f t="shared" si="44"/>
        <v>0</v>
      </c>
      <c r="S73" s="2"/>
      <c r="T73" s="7">
        <v>1400</v>
      </c>
      <c r="U73" s="2"/>
      <c r="V73" s="6">
        <f t="shared" si="45"/>
        <v>0</v>
      </c>
      <c r="W73" s="2"/>
      <c r="X73" s="7">
        <f t="shared" si="46"/>
        <v>7057.3099999999995</v>
      </c>
      <c r="Y73" s="2"/>
      <c r="Z73" s="6">
        <f t="shared" si="47"/>
        <v>5.0409357142857143</v>
      </c>
    </row>
    <row r="74" spans="1:26" s="24" customFormat="1" hidden="1" outlineLevel="2" x14ac:dyDescent="0.3">
      <c r="A74" s="27"/>
      <c r="B74" s="11" t="str">
        <f>CONCATENATE("          ", "6375", " - ", "OUTSIDE REPAIRS &amp; MAINTENANCE")</f>
        <v xml:space="preserve">          6375 - OUTSIDE REPAIRS &amp; MAINTENANCE</v>
      </c>
      <c r="C74" s="11"/>
      <c r="D74" s="7">
        <v>4033.69</v>
      </c>
      <c r="E74" s="2"/>
      <c r="F74" s="6">
        <f t="shared" si="40"/>
        <v>0</v>
      </c>
      <c r="G74" s="2"/>
      <c r="H74" s="7"/>
      <c r="I74" s="2"/>
      <c r="J74" s="6">
        <f t="shared" si="41"/>
        <v>0</v>
      </c>
      <c r="K74" s="2"/>
      <c r="L74" s="7">
        <f t="shared" si="42"/>
        <v>4033.69</v>
      </c>
      <c r="M74" s="2"/>
      <c r="N74" s="6">
        <f t="shared" si="43"/>
        <v>0</v>
      </c>
      <c r="O74" s="11"/>
      <c r="P74" s="7">
        <v>14264.91</v>
      </c>
      <c r="Q74" s="2"/>
      <c r="R74" s="6">
        <f t="shared" si="44"/>
        <v>0</v>
      </c>
      <c r="S74" s="2"/>
      <c r="T74" s="7"/>
      <c r="U74" s="2"/>
      <c r="V74" s="6">
        <f t="shared" si="45"/>
        <v>0</v>
      </c>
      <c r="W74" s="2"/>
      <c r="X74" s="7">
        <f t="shared" si="46"/>
        <v>14264.91</v>
      </c>
      <c r="Y74" s="2"/>
      <c r="Z74" s="6">
        <f t="shared" si="47"/>
        <v>0</v>
      </c>
    </row>
    <row r="75" spans="1:26" s="28" customFormat="1" outlineLevel="1" collapsed="1" x14ac:dyDescent="0.3">
      <c r="A75" s="29"/>
      <c r="B75" s="14" t="str">
        <f>CONCATENATE("     ","Services                                          ")</f>
        <v xml:space="preserve">     Services                                          </v>
      </c>
      <c r="C75" s="14"/>
      <c r="D75" s="1">
        <f>SUM(OSRRefD22_16x_0)</f>
        <v>4067.35</v>
      </c>
      <c r="E75" s="1"/>
      <c r="F75" s="5">
        <f t="shared" ref="F75:F77" si="48">IF(D$12=0,0,D75/D$12)</f>
        <v>0</v>
      </c>
      <c r="G75" s="1"/>
      <c r="H75" s="1">
        <f>SUM(OSRRefH22_16x_0)</f>
        <v>4300</v>
      </c>
      <c r="I75" s="1"/>
      <c r="J75" s="5">
        <f t="shared" ref="J75:J77" si="49">IF(H$12=0,0,H75/H$12)</f>
        <v>0</v>
      </c>
      <c r="K75" s="1"/>
      <c r="L75" s="1">
        <f t="shared" ref="L75:L77" si="50">+D75-H75</f>
        <v>-232.65000000000009</v>
      </c>
      <c r="M75" s="1"/>
      <c r="N75" s="5">
        <f t="shared" ref="N75:N77" si="51">IF(H75=0,0,L75/H75)</f>
        <v>-5.4104651162790722E-2</v>
      </c>
      <c r="O75" s="14"/>
      <c r="P75" s="1">
        <f>SUM(OSRRefP22_16x_0)</f>
        <v>35387.17</v>
      </c>
      <c r="Q75" s="1"/>
      <c r="R75" s="5">
        <f t="shared" ref="R75:R77" si="52">IF(P$12=0,0,P75/P$12)</f>
        <v>0</v>
      </c>
      <c r="S75" s="1"/>
      <c r="T75" s="1">
        <f>SUM(OSRRefT22_16x_0)</f>
        <v>30100</v>
      </c>
      <c r="U75" s="1"/>
      <c r="V75" s="5">
        <f t="shared" ref="V75:V77" si="53">IF(T$12=0,0,T75/T$12)</f>
        <v>0</v>
      </c>
      <c r="W75" s="1"/>
      <c r="X75" s="1">
        <f t="shared" ref="X75:X77" si="54">+P75-T75</f>
        <v>5287.1699999999983</v>
      </c>
      <c r="Y75" s="1"/>
      <c r="Z75" s="5">
        <f t="shared" ref="Z75:Z77" si="55">IF(T75=0,0,X75/T75)</f>
        <v>0.17565348837209296</v>
      </c>
    </row>
    <row r="76" spans="1:26" s="24" customFormat="1" hidden="1" outlineLevel="2" x14ac:dyDescent="0.3">
      <c r="A76" s="27"/>
      <c r="B76" s="11" t="str">
        <f>CONCATENATE("          ", "6282", " - ", "JANITORIAL/EXTERMINATOR EXPENS")</f>
        <v xml:space="preserve">          6282 - JANITORIAL/EXTERMINATOR EXPENS</v>
      </c>
      <c r="C76" s="11"/>
      <c r="D76" s="7"/>
      <c r="E76" s="2"/>
      <c r="F76" s="6">
        <f t="shared" si="48"/>
        <v>0</v>
      </c>
      <c r="G76" s="2"/>
      <c r="H76" s="7">
        <v>4300</v>
      </c>
      <c r="I76" s="2"/>
      <c r="J76" s="6">
        <f t="shared" si="49"/>
        <v>0</v>
      </c>
      <c r="K76" s="2"/>
      <c r="L76" s="7">
        <f t="shared" si="50"/>
        <v>-4300</v>
      </c>
      <c r="M76" s="2"/>
      <c r="N76" s="6">
        <f t="shared" si="51"/>
        <v>-1</v>
      </c>
      <c r="O76" s="11"/>
      <c r="P76" s="7">
        <v>1495.08</v>
      </c>
      <c r="Q76" s="2"/>
      <c r="R76" s="6">
        <f t="shared" si="52"/>
        <v>0</v>
      </c>
      <c r="S76" s="2"/>
      <c r="T76" s="7">
        <v>30100</v>
      </c>
      <c r="U76" s="2"/>
      <c r="V76" s="6">
        <f t="shared" si="53"/>
        <v>0</v>
      </c>
      <c r="W76" s="2"/>
      <c r="X76" s="7">
        <f t="shared" si="54"/>
        <v>-28604.92</v>
      </c>
      <c r="Y76" s="2"/>
      <c r="Z76" s="6">
        <f t="shared" si="55"/>
        <v>-0.95032956810631219</v>
      </c>
    </row>
    <row r="77" spans="1:26" s="24" customFormat="1" hidden="1" outlineLevel="2" x14ac:dyDescent="0.3">
      <c r="A77" s="27"/>
      <c r="B77" s="11" t="str">
        <f>CONCATENATE("          ", "6285", " - ", "JANITORIAL SERVICES")</f>
        <v xml:space="preserve">          6285 - JANITORIAL SERVICES</v>
      </c>
      <c r="C77" s="11"/>
      <c r="D77" s="7">
        <v>4067.35</v>
      </c>
      <c r="E77" s="2"/>
      <c r="F77" s="6">
        <f t="shared" si="48"/>
        <v>0</v>
      </c>
      <c r="G77" s="2"/>
      <c r="H77" s="7"/>
      <c r="I77" s="2"/>
      <c r="J77" s="6">
        <f t="shared" si="49"/>
        <v>0</v>
      </c>
      <c r="K77" s="2"/>
      <c r="L77" s="7">
        <f t="shared" si="50"/>
        <v>4067.35</v>
      </c>
      <c r="M77" s="2"/>
      <c r="N77" s="6">
        <f t="shared" si="51"/>
        <v>0</v>
      </c>
      <c r="O77" s="11"/>
      <c r="P77" s="7">
        <v>33892.089999999997</v>
      </c>
      <c r="Q77" s="2"/>
      <c r="R77" s="6">
        <f t="shared" si="52"/>
        <v>0</v>
      </c>
      <c r="S77" s="2"/>
      <c r="T77" s="7"/>
      <c r="U77" s="2"/>
      <c r="V77" s="6">
        <f t="shared" si="53"/>
        <v>0</v>
      </c>
      <c r="W77" s="2"/>
      <c r="X77" s="7">
        <f t="shared" si="54"/>
        <v>33892.089999999997</v>
      </c>
      <c r="Y77" s="2"/>
      <c r="Z77" s="6">
        <f t="shared" si="55"/>
        <v>0</v>
      </c>
    </row>
    <row r="78" spans="1:26" s="28" customFormat="1" outlineLevel="1" collapsed="1" x14ac:dyDescent="0.3">
      <c r="A78" s="29"/>
      <c r="B78" s="14" t="str">
        <f>CONCATENATE("     ","Subscriptions &amp; Dues                              ")</f>
        <v xml:space="preserve">     Subscriptions &amp; Dues                              </v>
      </c>
      <c r="C78" s="14"/>
      <c r="D78" s="1">
        <f>SUM(OSRRefD22_17x_0)</f>
        <v>0</v>
      </c>
      <c r="E78" s="1"/>
      <c r="F78" s="5">
        <f t="shared" ref="F78:F86" si="56">IF(D$12=0,0,D78/D$12)</f>
        <v>0</v>
      </c>
      <c r="G78" s="1"/>
      <c r="H78" s="1">
        <f>SUM(OSRRefH22_17x_0)</f>
        <v>0</v>
      </c>
      <c r="I78" s="1"/>
      <c r="J78" s="5">
        <f t="shared" ref="J78:J86" si="57">IF(H$12=0,0,H78/H$12)</f>
        <v>0</v>
      </c>
      <c r="K78" s="1"/>
      <c r="L78" s="1">
        <f t="shared" ref="L78:L86" si="58">+D78-H78</f>
        <v>0</v>
      </c>
      <c r="M78" s="1"/>
      <c r="N78" s="5">
        <f t="shared" ref="N78:N86" si="59">IF(H78=0,0,L78/H78)</f>
        <v>0</v>
      </c>
      <c r="O78" s="14"/>
      <c r="P78" s="1">
        <f>SUM(OSRRefP22_17x_0)</f>
        <v>-120</v>
      </c>
      <c r="Q78" s="1"/>
      <c r="R78" s="5">
        <f t="shared" ref="R78:R86" si="60">IF(P$12=0,0,P78/P$12)</f>
        <v>0</v>
      </c>
      <c r="S78" s="1"/>
      <c r="T78" s="1">
        <f>SUM(OSRRefT22_17x_0)</f>
        <v>3000</v>
      </c>
      <c r="U78" s="1"/>
      <c r="V78" s="5">
        <f t="shared" ref="V78:V86" si="61">IF(T$12=0,0,T78/T$12)</f>
        <v>0</v>
      </c>
      <c r="W78" s="1"/>
      <c r="X78" s="1">
        <f t="shared" ref="X78:X86" si="62">+P78-T78</f>
        <v>-3120</v>
      </c>
      <c r="Y78" s="1"/>
      <c r="Z78" s="5">
        <f t="shared" ref="Z78:Z86" si="63">IF(T78=0,0,X78/T78)</f>
        <v>-1.04</v>
      </c>
    </row>
    <row r="79" spans="1:26" s="24" customFormat="1" hidden="1" outlineLevel="2" x14ac:dyDescent="0.3">
      <c r="A79" s="27"/>
      <c r="B79" s="11" t="str">
        <f>CONCATENATE("          ", "6258", " - ", "MEMBERSHIP DUES")</f>
        <v xml:space="preserve">          6258 - MEMBERSHIP DUES</v>
      </c>
      <c r="C79" s="11"/>
      <c r="D79" s="7"/>
      <c r="E79" s="2"/>
      <c r="F79" s="6">
        <f t="shared" si="56"/>
        <v>0</v>
      </c>
      <c r="G79" s="2"/>
      <c r="H79" s="7"/>
      <c r="I79" s="2"/>
      <c r="J79" s="6">
        <f t="shared" si="57"/>
        <v>0</v>
      </c>
      <c r="K79" s="2"/>
      <c r="L79" s="7">
        <f t="shared" si="58"/>
        <v>0</v>
      </c>
      <c r="M79" s="2"/>
      <c r="N79" s="6">
        <f t="shared" si="59"/>
        <v>0</v>
      </c>
      <c r="O79" s="11"/>
      <c r="P79" s="7">
        <v>-120</v>
      </c>
      <c r="Q79" s="2"/>
      <c r="R79" s="6">
        <f t="shared" si="60"/>
        <v>0</v>
      </c>
      <c r="S79" s="2"/>
      <c r="T79" s="7">
        <v>3000</v>
      </c>
      <c r="U79" s="2"/>
      <c r="V79" s="6">
        <f t="shared" si="61"/>
        <v>0</v>
      </c>
      <c r="W79" s="2"/>
      <c r="X79" s="7">
        <f t="shared" si="62"/>
        <v>-3120</v>
      </c>
      <c r="Y79" s="2"/>
      <c r="Z79" s="6">
        <f t="shared" si="63"/>
        <v>-1.04</v>
      </c>
    </row>
    <row r="80" spans="1:26" s="28" customFormat="1" outlineLevel="1" collapsed="1" x14ac:dyDescent="0.3">
      <c r="A80" s="29"/>
      <c r="B80" s="14" t="str">
        <f>CONCATENATE("     ","Supplies                                          ")</f>
        <v xml:space="preserve">     Supplies                                          </v>
      </c>
      <c r="C80" s="14"/>
      <c r="D80" s="1">
        <f>SUM(OSRRefD22_18x_0)</f>
        <v>2958.84</v>
      </c>
      <c r="E80" s="1"/>
      <c r="F80" s="5">
        <f t="shared" si="56"/>
        <v>0</v>
      </c>
      <c r="G80" s="1"/>
      <c r="H80" s="1">
        <f>SUM(OSRRefH22_18x_0)</f>
        <v>5500</v>
      </c>
      <c r="I80" s="1"/>
      <c r="J80" s="5">
        <f t="shared" si="57"/>
        <v>0</v>
      </c>
      <c r="K80" s="1"/>
      <c r="L80" s="1">
        <f t="shared" si="58"/>
        <v>-2541.16</v>
      </c>
      <c r="M80" s="1"/>
      <c r="N80" s="5">
        <f t="shared" si="59"/>
        <v>-0.46202909090909089</v>
      </c>
      <c r="O80" s="14"/>
      <c r="P80" s="1">
        <f>SUM(OSRRefP22_18x_0)</f>
        <v>22443.57</v>
      </c>
      <c r="Q80" s="1"/>
      <c r="R80" s="5">
        <f t="shared" si="60"/>
        <v>0</v>
      </c>
      <c r="S80" s="1"/>
      <c r="T80" s="1">
        <f>SUM(OSRRefT22_18x_0)</f>
        <v>37900</v>
      </c>
      <c r="U80" s="1"/>
      <c r="V80" s="5">
        <f t="shared" si="61"/>
        <v>0</v>
      </c>
      <c r="W80" s="1"/>
      <c r="X80" s="1">
        <f t="shared" si="62"/>
        <v>-15456.43</v>
      </c>
      <c r="Y80" s="1"/>
      <c r="Z80" s="5">
        <f t="shared" si="63"/>
        <v>-0.4078213720316623</v>
      </c>
    </row>
    <row r="81" spans="1:26" s="24" customFormat="1" hidden="1" outlineLevel="2" x14ac:dyDescent="0.3">
      <c r="A81" s="27"/>
      <c r="B81" s="11" t="str">
        <f>CONCATENATE("          ", "6234", " - ", "EXPENDABLE SUPPLIES &amp; EQUIPMEN")</f>
        <v xml:space="preserve">          6234 - EXPENDABLE SUPPLIES &amp; EQUIPMEN</v>
      </c>
      <c r="C81" s="11"/>
      <c r="D81" s="7"/>
      <c r="E81" s="2"/>
      <c r="F81" s="6">
        <f t="shared" si="56"/>
        <v>0</v>
      </c>
      <c r="G81" s="2"/>
      <c r="H81" s="7">
        <v>300</v>
      </c>
      <c r="I81" s="2"/>
      <c r="J81" s="6">
        <f t="shared" si="57"/>
        <v>0</v>
      </c>
      <c r="K81" s="2"/>
      <c r="L81" s="7">
        <f t="shared" si="58"/>
        <v>-300</v>
      </c>
      <c r="M81" s="2"/>
      <c r="N81" s="6">
        <f t="shared" si="59"/>
        <v>-1</v>
      </c>
      <c r="O81" s="11"/>
      <c r="P81" s="7">
        <v>3896.02</v>
      </c>
      <c r="Q81" s="2"/>
      <c r="R81" s="6">
        <f t="shared" si="60"/>
        <v>0</v>
      </c>
      <c r="S81" s="2"/>
      <c r="T81" s="7">
        <v>1500</v>
      </c>
      <c r="U81" s="2"/>
      <c r="V81" s="6">
        <f t="shared" si="61"/>
        <v>0</v>
      </c>
      <c r="W81" s="2"/>
      <c r="X81" s="7">
        <f t="shared" si="62"/>
        <v>2396.02</v>
      </c>
      <c r="Y81" s="2"/>
      <c r="Z81" s="6">
        <f t="shared" si="63"/>
        <v>1.5973466666666667</v>
      </c>
    </row>
    <row r="82" spans="1:26" s="24" customFormat="1" hidden="1" outlineLevel="2" x14ac:dyDescent="0.3">
      <c r="A82" s="27"/>
      <c r="B82" s="11" t="str">
        <f>CONCATENATE("          ", "6235", " - ", "COVID-19 EXPENSES")</f>
        <v xml:space="preserve">          6235 - COVID-19 EXPENSES</v>
      </c>
      <c r="C82" s="11"/>
      <c r="D82" s="7"/>
      <c r="E82" s="2"/>
      <c r="F82" s="6">
        <f t="shared" si="56"/>
        <v>0</v>
      </c>
      <c r="G82" s="2"/>
      <c r="H82" s="7">
        <v>100</v>
      </c>
      <c r="I82" s="2"/>
      <c r="J82" s="6">
        <f t="shared" si="57"/>
        <v>0</v>
      </c>
      <c r="K82" s="2"/>
      <c r="L82" s="7">
        <f t="shared" si="58"/>
        <v>-100</v>
      </c>
      <c r="M82" s="2"/>
      <c r="N82" s="6">
        <f t="shared" si="59"/>
        <v>-1</v>
      </c>
      <c r="O82" s="11"/>
      <c r="P82" s="7">
        <v>3430.32</v>
      </c>
      <c r="Q82" s="2"/>
      <c r="R82" s="6">
        <f t="shared" si="60"/>
        <v>0</v>
      </c>
      <c r="S82" s="2"/>
      <c r="T82" s="7">
        <v>700</v>
      </c>
      <c r="U82" s="2"/>
      <c r="V82" s="6">
        <f t="shared" si="61"/>
        <v>0</v>
      </c>
      <c r="W82" s="2"/>
      <c r="X82" s="7">
        <f t="shared" si="62"/>
        <v>2730.32</v>
      </c>
      <c r="Y82" s="2"/>
      <c r="Z82" s="6">
        <f t="shared" si="63"/>
        <v>3.9004571428571433</v>
      </c>
    </row>
    <row r="83" spans="1:26" s="24" customFormat="1" hidden="1" outlineLevel="2" x14ac:dyDescent="0.3">
      <c r="A83" s="27"/>
      <c r="B83" s="11" t="str">
        <f>CONCATENATE("          ", "6237", " - ", "JANITORIAL SUPPLIES")</f>
        <v xml:space="preserve">          6237 - JANITORIAL SUPPLIES</v>
      </c>
      <c r="C83" s="11"/>
      <c r="D83" s="7">
        <v>665.03</v>
      </c>
      <c r="E83" s="2"/>
      <c r="F83" s="6">
        <f t="shared" si="56"/>
        <v>0</v>
      </c>
      <c r="G83" s="2"/>
      <c r="H83" s="7"/>
      <c r="I83" s="2"/>
      <c r="J83" s="6">
        <f t="shared" si="57"/>
        <v>0</v>
      </c>
      <c r="K83" s="2"/>
      <c r="L83" s="7">
        <f t="shared" si="58"/>
        <v>665.03</v>
      </c>
      <c r="M83" s="2"/>
      <c r="N83" s="6">
        <f t="shared" si="59"/>
        <v>0</v>
      </c>
      <c r="O83" s="11"/>
      <c r="P83" s="7">
        <v>4454</v>
      </c>
      <c r="Q83" s="2"/>
      <c r="R83" s="6">
        <f t="shared" si="60"/>
        <v>0</v>
      </c>
      <c r="S83" s="2"/>
      <c r="T83" s="7"/>
      <c r="U83" s="2"/>
      <c r="V83" s="6">
        <f t="shared" si="61"/>
        <v>0</v>
      </c>
      <c r="W83" s="2"/>
      <c r="X83" s="7">
        <f t="shared" si="62"/>
        <v>4454</v>
      </c>
      <c r="Y83" s="2"/>
      <c r="Z83" s="6">
        <f t="shared" si="63"/>
        <v>0</v>
      </c>
    </row>
    <row r="84" spans="1:26" s="24" customFormat="1" hidden="1" outlineLevel="2" x14ac:dyDescent="0.3">
      <c r="A84" s="27"/>
      <c r="B84" s="11" t="str">
        <f>CONCATENATE("          ", "6241", " - ", "OFFICE EXPENSE")</f>
        <v xml:space="preserve">          6241 - OFFICE EXPENSE</v>
      </c>
      <c r="C84" s="11"/>
      <c r="D84" s="7">
        <v>289.45</v>
      </c>
      <c r="E84" s="2"/>
      <c r="F84" s="6">
        <f t="shared" si="56"/>
        <v>0</v>
      </c>
      <c r="G84" s="2"/>
      <c r="H84" s="7">
        <v>100</v>
      </c>
      <c r="I84" s="2"/>
      <c r="J84" s="6">
        <f t="shared" si="57"/>
        <v>0</v>
      </c>
      <c r="K84" s="2"/>
      <c r="L84" s="7">
        <f t="shared" si="58"/>
        <v>189.45</v>
      </c>
      <c r="M84" s="2"/>
      <c r="N84" s="6">
        <f t="shared" si="59"/>
        <v>1.8944999999999999</v>
      </c>
      <c r="O84" s="11"/>
      <c r="P84" s="7">
        <v>1333.6</v>
      </c>
      <c r="Q84" s="2"/>
      <c r="R84" s="6">
        <f t="shared" si="60"/>
        <v>0</v>
      </c>
      <c r="S84" s="2"/>
      <c r="T84" s="7">
        <v>700</v>
      </c>
      <c r="U84" s="2"/>
      <c r="V84" s="6">
        <f t="shared" si="61"/>
        <v>0</v>
      </c>
      <c r="W84" s="2"/>
      <c r="X84" s="7">
        <f t="shared" si="62"/>
        <v>633.59999999999991</v>
      </c>
      <c r="Y84" s="2"/>
      <c r="Z84" s="6">
        <f t="shared" si="63"/>
        <v>0.90514285714285703</v>
      </c>
    </row>
    <row r="85" spans="1:26" s="24" customFormat="1" hidden="1" outlineLevel="2" x14ac:dyDescent="0.3">
      <c r="A85" s="27"/>
      <c r="B85" s="11" t="str">
        <f>CONCATENATE("          ", "6245", " - ", "PRINTING")</f>
        <v xml:space="preserve">          6245 - PRINTING</v>
      </c>
      <c r="C85" s="11"/>
      <c r="D85" s="7">
        <v>613.14</v>
      </c>
      <c r="E85" s="2"/>
      <c r="F85" s="6">
        <f t="shared" si="56"/>
        <v>0</v>
      </c>
      <c r="G85" s="2"/>
      <c r="H85" s="7"/>
      <c r="I85" s="2"/>
      <c r="J85" s="6">
        <f t="shared" si="57"/>
        <v>0</v>
      </c>
      <c r="K85" s="2"/>
      <c r="L85" s="7">
        <f t="shared" si="58"/>
        <v>613.14</v>
      </c>
      <c r="M85" s="2"/>
      <c r="N85" s="6">
        <f t="shared" si="59"/>
        <v>0</v>
      </c>
      <c r="O85" s="11"/>
      <c r="P85" s="7">
        <v>1618.44</v>
      </c>
      <c r="Q85" s="2"/>
      <c r="R85" s="6">
        <f t="shared" si="60"/>
        <v>0</v>
      </c>
      <c r="S85" s="2"/>
      <c r="T85" s="7"/>
      <c r="U85" s="2"/>
      <c r="V85" s="6">
        <f t="shared" si="61"/>
        <v>0</v>
      </c>
      <c r="W85" s="2"/>
      <c r="X85" s="7">
        <f t="shared" si="62"/>
        <v>1618.44</v>
      </c>
      <c r="Y85" s="2"/>
      <c r="Z85" s="6">
        <f t="shared" si="63"/>
        <v>0</v>
      </c>
    </row>
    <row r="86" spans="1:26" s="24" customFormat="1" hidden="1" outlineLevel="2" x14ac:dyDescent="0.3">
      <c r="A86" s="27"/>
      <c r="B86" s="11" t="str">
        <f>CONCATENATE("          ", "6247", " - ", "STORE SUPPLIES")</f>
        <v xml:space="preserve">          6247 - STORE SUPPLIES</v>
      </c>
      <c r="C86" s="11"/>
      <c r="D86" s="7">
        <v>1391.22</v>
      </c>
      <c r="E86" s="2"/>
      <c r="F86" s="6">
        <f t="shared" si="56"/>
        <v>0</v>
      </c>
      <c r="G86" s="2"/>
      <c r="H86" s="7">
        <v>5000</v>
      </c>
      <c r="I86" s="2"/>
      <c r="J86" s="6">
        <f t="shared" si="57"/>
        <v>0</v>
      </c>
      <c r="K86" s="2"/>
      <c r="L86" s="7">
        <f t="shared" si="58"/>
        <v>-3608.7799999999997</v>
      </c>
      <c r="M86" s="2"/>
      <c r="N86" s="6">
        <f t="shared" si="59"/>
        <v>-0.72175599999999995</v>
      </c>
      <c r="O86" s="11"/>
      <c r="P86" s="7">
        <v>7711.19</v>
      </c>
      <c r="Q86" s="2"/>
      <c r="R86" s="6">
        <f t="shared" si="60"/>
        <v>0</v>
      </c>
      <c r="S86" s="2"/>
      <c r="T86" s="7">
        <v>35000</v>
      </c>
      <c r="U86" s="2"/>
      <c r="V86" s="6">
        <f t="shared" si="61"/>
        <v>0</v>
      </c>
      <c r="W86" s="2"/>
      <c r="X86" s="7">
        <f t="shared" si="62"/>
        <v>-27288.81</v>
      </c>
      <c r="Y86" s="2"/>
      <c r="Z86" s="6">
        <f t="shared" si="63"/>
        <v>-0.77968028571428571</v>
      </c>
    </row>
    <row r="87" spans="1:26" s="28" customFormat="1" outlineLevel="1" collapsed="1" x14ac:dyDescent="0.3">
      <c r="A87" s="29"/>
      <c r="B87" s="14" t="str">
        <f>CONCATENATE("     ","Telephone/Data Lines                              ")</f>
        <v xml:space="preserve">     Telephone/Data Lines                              </v>
      </c>
      <c r="C87" s="14"/>
      <c r="D87" s="1">
        <f>SUM(OSRRefD22_19x_0)</f>
        <v>563.20000000000005</v>
      </c>
      <c r="E87" s="1"/>
      <c r="F87" s="5">
        <f t="shared" ref="F87:F93" si="64">IF(D$12=0,0,D87/D$12)</f>
        <v>0</v>
      </c>
      <c r="G87" s="1"/>
      <c r="H87" s="1">
        <f>SUM(OSRRefH22_19x_0)</f>
        <v>600</v>
      </c>
      <c r="I87" s="1"/>
      <c r="J87" s="5">
        <f t="shared" ref="J87:J93" si="65">IF(H$12=0,0,H87/H$12)</f>
        <v>0</v>
      </c>
      <c r="K87" s="1"/>
      <c r="L87" s="1">
        <f t="shared" ref="L87:L93" si="66">+D87-H87</f>
        <v>-36.799999999999955</v>
      </c>
      <c r="M87" s="1"/>
      <c r="N87" s="5">
        <f t="shared" ref="N87:N93" si="67">IF(H87=0,0,L87/H87)</f>
        <v>-6.1333333333333261E-2</v>
      </c>
      <c r="O87" s="14"/>
      <c r="P87" s="1">
        <f>SUM(OSRRefP22_19x_0)</f>
        <v>4202.32</v>
      </c>
      <c r="Q87" s="1"/>
      <c r="R87" s="5">
        <f t="shared" ref="R87:R93" si="68">IF(P$12=0,0,P87/P$12)</f>
        <v>0</v>
      </c>
      <c r="S87" s="1"/>
      <c r="T87" s="1">
        <f>SUM(OSRRefT22_19x_0)</f>
        <v>4200</v>
      </c>
      <c r="U87" s="1"/>
      <c r="V87" s="5">
        <f t="shared" ref="V87:V93" si="69">IF(T$12=0,0,T87/T$12)</f>
        <v>0</v>
      </c>
      <c r="W87" s="1"/>
      <c r="X87" s="1">
        <f t="shared" ref="X87:X93" si="70">+P87-T87</f>
        <v>2.319999999999709</v>
      </c>
      <c r="Y87" s="1"/>
      <c r="Z87" s="5">
        <f t="shared" ref="Z87:Z93" si="71">IF(T87=0,0,X87/T87)</f>
        <v>5.5238095238088313E-4</v>
      </c>
    </row>
    <row r="88" spans="1:26" s="24" customFormat="1" hidden="1" outlineLevel="2" x14ac:dyDescent="0.3">
      <c r="A88" s="27"/>
      <c r="B88" s="11" t="str">
        <f>CONCATENATE("          ", "6309", " - ", "TELEPHONE")</f>
        <v xml:space="preserve">          6309 - TELEPHONE</v>
      </c>
      <c r="C88" s="11"/>
      <c r="D88" s="7">
        <v>563.20000000000005</v>
      </c>
      <c r="E88" s="2"/>
      <c r="F88" s="6">
        <f t="shared" si="64"/>
        <v>0</v>
      </c>
      <c r="G88" s="2"/>
      <c r="H88" s="7">
        <v>600</v>
      </c>
      <c r="I88" s="2"/>
      <c r="J88" s="6">
        <f t="shared" si="65"/>
        <v>0</v>
      </c>
      <c r="K88" s="2"/>
      <c r="L88" s="7">
        <f t="shared" si="66"/>
        <v>-36.799999999999955</v>
      </c>
      <c r="M88" s="2"/>
      <c r="N88" s="6">
        <f t="shared" si="67"/>
        <v>-6.1333333333333261E-2</v>
      </c>
      <c r="O88" s="11"/>
      <c r="P88" s="7">
        <v>4202.32</v>
      </c>
      <c r="Q88" s="2"/>
      <c r="R88" s="6">
        <f t="shared" si="68"/>
        <v>0</v>
      </c>
      <c r="S88" s="2"/>
      <c r="T88" s="7">
        <v>4200</v>
      </c>
      <c r="U88" s="2"/>
      <c r="V88" s="6">
        <f t="shared" si="69"/>
        <v>0</v>
      </c>
      <c r="W88" s="2"/>
      <c r="X88" s="7">
        <f t="shared" si="70"/>
        <v>2.319999999999709</v>
      </c>
      <c r="Y88" s="2"/>
      <c r="Z88" s="6">
        <f t="shared" si="71"/>
        <v>5.5238095238088313E-4</v>
      </c>
    </row>
    <row r="89" spans="1:26" s="28" customFormat="1" outlineLevel="1" collapsed="1" x14ac:dyDescent="0.3">
      <c r="A89" s="29"/>
      <c r="B89" s="14" t="str">
        <f>CONCATENATE("     ","Training                                          ")</f>
        <v xml:space="preserve">     Training                                          </v>
      </c>
      <c r="C89" s="14"/>
      <c r="D89" s="1">
        <f>SUM(OSRRefD22_20x_0)</f>
        <v>0</v>
      </c>
      <c r="E89" s="1"/>
      <c r="F89" s="5">
        <f t="shared" si="64"/>
        <v>0</v>
      </c>
      <c r="G89" s="1"/>
      <c r="H89" s="1">
        <f>SUM(OSRRefH22_20x_0)</f>
        <v>0</v>
      </c>
      <c r="I89" s="1"/>
      <c r="J89" s="5">
        <f t="shared" si="65"/>
        <v>0</v>
      </c>
      <c r="K89" s="1"/>
      <c r="L89" s="1">
        <f t="shared" si="66"/>
        <v>0</v>
      </c>
      <c r="M89" s="1"/>
      <c r="N89" s="5">
        <f t="shared" si="67"/>
        <v>0</v>
      </c>
      <c r="O89" s="14"/>
      <c r="P89" s="1">
        <f>SUM(OSRRefP22_20x_0)</f>
        <v>595</v>
      </c>
      <c r="Q89" s="1"/>
      <c r="R89" s="5">
        <f t="shared" si="68"/>
        <v>0</v>
      </c>
      <c r="S89" s="1"/>
      <c r="T89" s="1">
        <f>SUM(OSRRefT22_20x_0)</f>
        <v>0</v>
      </c>
      <c r="U89" s="1"/>
      <c r="V89" s="5">
        <f t="shared" si="69"/>
        <v>0</v>
      </c>
      <c r="W89" s="1"/>
      <c r="X89" s="1">
        <f t="shared" si="70"/>
        <v>595</v>
      </c>
      <c r="Y89" s="1"/>
      <c r="Z89" s="5">
        <f t="shared" si="71"/>
        <v>0</v>
      </c>
    </row>
    <row r="90" spans="1:26" s="24" customFormat="1" hidden="1" outlineLevel="2" x14ac:dyDescent="0.3">
      <c r="A90" s="27"/>
      <c r="B90" s="11" t="str">
        <f>CONCATENATE("          ", "6376", " - ", "TRAINING")</f>
        <v xml:space="preserve">          6376 - TRAINING</v>
      </c>
      <c r="C90" s="11"/>
      <c r="D90" s="7"/>
      <c r="E90" s="2"/>
      <c r="F90" s="6">
        <f t="shared" si="64"/>
        <v>0</v>
      </c>
      <c r="G90" s="2"/>
      <c r="H90" s="7"/>
      <c r="I90" s="2"/>
      <c r="J90" s="6">
        <f t="shared" si="65"/>
        <v>0</v>
      </c>
      <c r="K90" s="2"/>
      <c r="L90" s="7">
        <f t="shared" si="66"/>
        <v>0</v>
      </c>
      <c r="M90" s="2"/>
      <c r="N90" s="6">
        <f t="shared" si="67"/>
        <v>0</v>
      </c>
      <c r="O90" s="11"/>
      <c r="P90" s="7">
        <v>595</v>
      </c>
      <c r="Q90" s="2"/>
      <c r="R90" s="6">
        <f t="shared" si="68"/>
        <v>0</v>
      </c>
      <c r="S90" s="2"/>
      <c r="T90" s="7"/>
      <c r="U90" s="2"/>
      <c r="V90" s="6">
        <f t="shared" si="69"/>
        <v>0</v>
      </c>
      <c r="W90" s="2"/>
      <c r="X90" s="7">
        <f t="shared" si="70"/>
        <v>595</v>
      </c>
      <c r="Y90" s="2"/>
      <c r="Z90" s="6">
        <f t="shared" si="71"/>
        <v>0</v>
      </c>
    </row>
    <row r="91" spans="1:26" s="28" customFormat="1" outlineLevel="1" collapsed="1" x14ac:dyDescent="0.3">
      <c r="A91" s="29"/>
      <c r="B91" s="14" t="str">
        <f>CONCATENATE("     ","Travel                                            ")</f>
        <v xml:space="preserve">     Travel                                            </v>
      </c>
      <c r="C91" s="14"/>
      <c r="D91" s="1">
        <f>SUM(OSRRefD22_21x_0)</f>
        <v>0</v>
      </c>
      <c r="E91" s="1"/>
      <c r="F91" s="5">
        <f t="shared" si="64"/>
        <v>0</v>
      </c>
      <c r="G91" s="1"/>
      <c r="H91" s="1">
        <f>SUM(OSRRefH22_21x_0)</f>
        <v>125</v>
      </c>
      <c r="I91" s="1"/>
      <c r="J91" s="5">
        <f t="shared" si="65"/>
        <v>0</v>
      </c>
      <c r="K91" s="1"/>
      <c r="L91" s="1">
        <f t="shared" si="66"/>
        <v>-125</v>
      </c>
      <c r="M91" s="1"/>
      <c r="N91" s="5">
        <f t="shared" si="67"/>
        <v>-1</v>
      </c>
      <c r="O91" s="14"/>
      <c r="P91" s="1">
        <f>SUM(OSRRefP22_21x_0)</f>
        <v>642.08000000000004</v>
      </c>
      <c r="Q91" s="1"/>
      <c r="R91" s="5">
        <f t="shared" si="68"/>
        <v>0</v>
      </c>
      <c r="S91" s="1"/>
      <c r="T91" s="1">
        <f>SUM(OSRRefT22_21x_0)</f>
        <v>875</v>
      </c>
      <c r="U91" s="1"/>
      <c r="V91" s="5">
        <f t="shared" si="69"/>
        <v>0</v>
      </c>
      <c r="W91" s="1"/>
      <c r="X91" s="1">
        <f t="shared" si="70"/>
        <v>-232.91999999999996</v>
      </c>
      <c r="Y91" s="1"/>
      <c r="Z91" s="5">
        <f t="shared" si="71"/>
        <v>-0.26619428571428566</v>
      </c>
    </row>
    <row r="92" spans="1:26" s="24" customFormat="1" hidden="1" outlineLevel="2" x14ac:dyDescent="0.3">
      <c r="A92" s="27"/>
      <c r="B92" s="11" t="str">
        <f>CONCATENATE("          ", "6292", " - ", "TRAVEL/CONFERENCE")</f>
        <v xml:space="preserve">          6292 - TRAVEL/CONFERENCE</v>
      </c>
      <c r="C92" s="11"/>
      <c r="D92" s="7"/>
      <c r="E92" s="2"/>
      <c r="F92" s="6">
        <f t="shared" si="64"/>
        <v>0</v>
      </c>
      <c r="G92" s="2"/>
      <c r="H92" s="7">
        <v>125</v>
      </c>
      <c r="I92" s="2"/>
      <c r="J92" s="6">
        <f t="shared" si="65"/>
        <v>0</v>
      </c>
      <c r="K92" s="2"/>
      <c r="L92" s="7">
        <f t="shared" si="66"/>
        <v>-125</v>
      </c>
      <c r="M92" s="2"/>
      <c r="N92" s="6">
        <f t="shared" si="67"/>
        <v>-1</v>
      </c>
      <c r="O92" s="11"/>
      <c r="P92" s="7">
        <v>495</v>
      </c>
      <c r="Q92" s="2"/>
      <c r="R92" s="6">
        <f t="shared" si="68"/>
        <v>0</v>
      </c>
      <c r="S92" s="2"/>
      <c r="T92" s="7">
        <v>875</v>
      </c>
      <c r="U92" s="2"/>
      <c r="V92" s="6">
        <f t="shared" si="69"/>
        <v>0</v>
      </c>
      <c r="W92" s="2"/>
      <c r="X92" s="7">
        <f t="shared" si="70"/>
        <v>-380</v>
      </c>
      <c r="Y92" s="2"/>
      <c r="Z92" s="6">
        <f t="shared" si="71"/>
        <v>-0.43428571428571427</v>
      </c>
    </row>
    <row r="93" spans="1:26" s="24" customFormat="1" hidden="1" outlineLevel="2" x14ac:dyDescent="0.3">
      <c r="A93" s="27"/>
      <c r="B93" s="11" t="str">
        <f>CONCATENATE("          ", "6298", " - ", "VEHICLE MILEAGE")</f>
        <v xml:space="preserve">          6298 - VEHICLE MILEAGE</v>
      </c>
      <c r="C93" s="11"/>
      <c r="D93" s="7"/>
      <c r="E93" s="2"/>
      <c r="F93" s="6">
        <f t="shared" si="64"/>
        <v>0</v>
      </c>
      <c r="G93" s="2"/>
      <c r="H93" s="7"/>
      <c r="I93" s="2"/>
      <c r="J93" s="6">
        <f t="shared" si="65"/>
        <v>0</v>
      </c>
      <c r="K93" s="2"/>
      <c r="L93" s="7">
        <f t="shared" si="66"/>
        <v>0</v>
      </c>
      <c r="M93" s="2"/>
      <c r="N93" s="6">
        <f t="shared" si="67"/>
        <v>0</v>
      </c>
      <c r="O93" s="11"/>
      <c r="P93" s="7">
        <v>147.08000000000001</v>
      </c>
      <c r="Q93" s="2"/>
      <c r="R93" s="6">
        <f t="shared" si="68"/>
        <v>0</v>
      </c>
      <c r="S93" s="2"/>
      <c r="T93" s="7"/>
      <c r="U93" s="2"/>
      <c r="V93" s="6">
        <f t="shared" si="69"/>
        <v>0</v>
      </c>
      <c r="W93" s="2"/>
      <c r="X93" s="7">
        <f t="shared" si="70"/>
        <v>147.08000000000001</v>
      </c>
      <c r="Y93" s="2"/>
      <c r="Z93" s="6">
        <f t="shared" si="71"/>
        <v>0</v>
      </c>
    </row>
    <row r="94" spans="1:26" s="28" customFormat="1" outlineLevel="1" collapsed="1" x14ac:dyDescent="0.3">
      <c r="A94" s="29"/>
      <c r="B94" s="14" t="str">
        <f>CONCATENATE("     ","Utilities                                         ")</f>
        <v xml:space="preserve">     Utilities                                         </v>
      </c>
      <c r="C94" s="14"/>
      <c r="D94" s="1">
        <f>SUM(OSRRefD22_22x_0)</f>
        <v>6000</v>
      </c>
      <c r="E94" s="1"/>
      <c r="F94" s="5">
        <f t="shared" ref="F94:F95" si="72">IF(D$12=0,0,D94/D$12)</f>
        <v>0</v>
      </c>
      <c r="G94" s="1"/>
      <c r="H94" s="1">
        <f>SUM(OSRRefH22_22x_0)</f>
        <v>6000</v>
      </c>
      <c r="I94" s="1"/>
      <c r="J94" s="5">
        <f t="shared" ref="J94:J95" si="73">IF(H$12=0,0,H94/H$12)</f>
        <v>0</v>
      </c>
      <c r="K94" s="1"/>
      <c r="L94" s="1">
        <f t="shared" ref="L94:L95" si="74">+D94-H94</f>
        <v>0</v>
      </c>
      <c r="M94" s="1"/>
      <c r="N94" s="5">
        <f t="shared" ref="N94:N95" si="75">IF(H94=0,0,L94/H94)</f>
        <v>0</v>
      </c>
      <c r="O94" s="14"/>
      <c r="P94" s="1">
        <f>SUM(OSRRefP22_22x_0)</f>
        <v>36000</v>
      </c>
      <c r="Q94" s="1"/>
      <c r="R94" s="5">
        <f t="shared" ref="R94:R95" si="76">IF(P$12=0,0,P94/P$12)</f>
        <v>0</v>
      </c>
      <c r="S94" s="1"/>
      <c r="T94" s="1">
        <f>SUM(OSRRefT22_22x_0)</f>
        <v>42000</v>
      </c>
      <c r="U94" s="1"/>
      <c r="V94" s="5">
        <f t="shared" ref="V94:V95" si="77">IF(T$12=0,0,T94/T$12)</f>
        <v>0</v>
      </c>
      <c r="W94" s="1"/>
      <c r="X94" s="1">
        <f t="shared" ref="X94:X95" si="78">+P94-T94</f>
        <v>-6000</v>
      </c>
      <c r="Y94" s="1"/>
      <c r="Z94" s="5">
        <f t="shared" ref="Z94:Z95" si="79">IF(T94=0,0,X94/T94)</f>
        <v>-0.14285714285714285</v>
      </c>
    </row>
    <row r="95" spans="1:26" s="24" customFormat="1" hidden="1" outlineLevel="2" x14ac:dyDescent="0.3">
      <c r="A95" s="27"/>
      <c r="B95" s="11" t="str">
        <f>CONCATENATE("          ", "6274", " - ", "UTILITIES")</f>
        <v xml:space="preserve">          6274 - UTILITIES</v>
      </c>
      <c r="C95" s="11"/>
      <c r="D95" s="7">
        <v>6000</v>
      </c>
      <c r="E95" s="2"/>
      <c r="F95" s="6">
        <f t="shared" si="72"/>
        <v>0</v>
      </c>
      <c r="G95" s="2"/>
      <c r="H95" s="7">
        <v>6000</v>
      </c>
      <c r="I95" s="2"/>
      <c r="J95" s="6">
        <f t="shared" si="73"/>
        <v>0</v>
      </c>
      <c r="K95" s="2"/>
      <c r="L95" s="7">
        <f t="shared" si="74"/>
        <v>0</v>
      </c>
      <c r="M95" s="2"/>
      <c r="N95" s="6">
        <f t="shared" si="75"/>
        <v>0</v>
      </c>
      <c r="O95" s="11"/>
      <c r="P95" s="7">
        <v>36000</v>
      </c>
      <c r="Q95" s="2"/>
      <c r="R95" s="6">
        <f t="shared" si="76"/>
        <v>0</v>
      </c>
      <c r="S95" s="2"/>
      <c r="T95" s="7">
        <v>42000</v>
      </c>
      <c r="U95" s="2"/>
      <c r="V95" s="6">
        <f t="shared" si="77"/>
        <v>0</v>
      </c>
      <c r="W95" s="2"/>
      <c r="X95" s="7">
        <f t="shared" si="78"/>
        <v>-6000</v>
      </c>
      <c r="Y95" s="2"/>
      <c r="Z95" s="6">
        <f t="shared" si="79"/>
        <v>-0.14285714285714285</v>
      </c>
    </row>
    <row r="96" spans="1:26" s="55" customFormat="1" x14ac:dyDescent="0.3">
      <c r="A96" s="36"/>
      <c r="B96" s="36"/>
      <c r="C96" s="36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6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collapsed="1" x14ac:dyDescent="0.3">
      <c r="A97" s="10"/>
      <c r="B97" s="25" t="s">
        <v>293</v>
      </c>
      <c r="C97" s="10"/>
      <c r="D97" s="4">
        <f>SUM(OSRRefD25x_0)</f>
        <v>3278.81</v>
      </c>
      <c r="E97" s="4"/>
      <c r="F97" s="12">
        <f t="shared" ref="F97:F99" si="80">IF(D$12=0,0,D97/D$12)</f>
        <v>0</v>
      </c>
      <c r="G97" s="4"/>
      <c r="H97" s="4">
        <f>SUM(OSRRefH25x_0)</f>
        <v>3300</v>
      </c>
      <c r="I97" s="4"/>
      <c r="J97" s="12">
        <f t="shared" ref="J97:J99" si="81">IF(H$12=0,0,H97/H$12)</f>
        <v>0</v>
      </c>
      <c r="K97" s="4"/>
      <c r="L97" s="4">
        <f t="shared" ref="L97:L99" si="82">+D97-H97</f>
        <v>-21.190000000000055</v>
      </c>
      <c r="M97" s="4"/>
      <c r="N97" s="12">
        <f t="shared" ref="N97:N99" si="83">IF(H97=0,0,L97/H97)</f>
        <v>-6.4212121212121375E-3</v>
      </c>
      <c r="O97" s="10"/>
      <c r="P97" s="4">
        <f>SUM(OSRRefP25x_0)</f>
        <v>148031.69</v>
      </c>
      <c r="Q97" s="4"/>
      <c r="R97" s="12">
        <f t="shared" ref="R97:R99" si="84">IF(P$12=0,0,P97/P$12)</f>
        <v>0</v>
      </c>
      <c r="S97" s="4"/>
      <c r="T97" s="4">
        <f>SUM(OSRRefT25x_0)</f>
        <v>96500</v>
      </c>
      <c r="U97" s="4"/>
      <c r="V97" s="12">
        <f t="shared" ref="V97:V99" si="85">IF(T$12=0,0,T97/T$12)</f>
        <v>0</v>
      </c>
      <c r="W97" s="4"/>
      <c r="X97" s="4">
        <f t="shared" ref="X97:X99" si="86">+P97-T97</f>
        <v>51531.69</v>
      </c>
      <c r="Y97" s="4"/>
      <c r="Z97" s="12">
        <f t="shared" ref="Z97:Z99" si="87">IF(T97=0,0,X97/T97)</f>
        <v>0.53400715025906742</v>
      </c>
    </row>
    <row r="98" spans="1:26" s="24" customFormat="1" hidden="1" outlineLevel="1" x14ac:dyDescent="0.3">
      <c r="A98" s="44"/>
      <c r="B98" s="11" t="str">
        <f>CONCATENATE("          ", "9150", " - ", "MISC. INCOME")</f>
        <v xml:space="preserve">          9150 - MISC. INCOME</v>
      </c>
      <c r="C98" s="11"/>
      <c r="D98" s="2">
        <f>--3278.81</f>
        <v>3278.81</v>
      </c>
      <c r="E98" s="2"/>
      <c r="F98" s="19">
        <f t="shared" si="80"/>
        <v>0</v>
      </c>
      <c r="G98" s="2"/>
      <c r="H98" s="2">
        <v>3300</v>
      </c>
      <c r="I98" s="2"/>
      <c r="J98" s="19">
        <f t="shared" si="81"/>
        <v>0</v>
      </c>
      <c r="K98" s="2"/>
      <c r="L98" s="2">
        <f t="shared" si="82"/>
        <v>-21.190000000000055</v>
      </c>
      <c r="M98" s="2"/>
      <c r="N98" s="19">
        <f t="shared" si="83"/>
        <v>-6.4212121212121375E-3</v>
      </c>
      <c r="O98" s="11"/>
      <c r="P98" s="2">
        <f>--148031.69</f>
        <v>148031.69</v>
      </c>
      <c r="Q98" s="2"/>
      <c r="R98" s="19">
        <f t="shared" si="84"/>
        <v>0</v>
      </c>
      <c r="S98" s="2"/>
      <c r="T98" s="2">
        <v>10500</v>
      </c>
      <c r="U98" s="2"/>
      <c r="V98" s="19">
        <f t="shared" si="85"/>
        <v>0</v>
      </c>
      <c r="W98" s="2"/>
      <c r="X98" s="2">
        <f t="shared" si="86"/>
        <v>137531.69</v>
      </c>
      <c r="Y98" s="2"/>
      <c r="Z98" s="19">
        <f t="shared" si="87"/>
        <v>13.09825619047619</v>
      </c>
    </row>
    <row r="99" spans="1:26" s="24" customFormat="1" hidden="1" outlineLevel="1" x14ac:dyDescent="0.3">
      <c r="A99" s="44"/>
      <c r="B99" s="11" t="str">
        <f>CONCATENATE("          ", "9151", " - ", "MISC. INCOME")</f>
        <v xml:space="preserve">          9151 - MISC. INCOME</v>
      </c>
      <c r="C99" s="11"/>
      <c r="D99" s="2">
        <f>0</f>
        <v>0</v>
      </c>
      <c r="E99" s="2"/>
      <c r="F99" s="19">
        <f t="shared" si="80"/>
        <v>0</v>
      </c>
      <c r="G99" s="2"/>
      <c r="H99" s="2"/>
      <c r="I99" s="2"/>
      <c r="J99" s="19">
        <f t="shared" si="81"/>
        <v>0</v>
      </c>
      <c r="K99" s="2"/>
      <c r="L99" s="2">
        <f t="shared" si="82"/>
        <v>0</v>
      </c>
      <c r="M99" s="2"/>
      <c r="N99" s="19">
        <f t="shared" si="83"/>
        <v>0</v>
      </c>
      <c r="O99" s="11"/>
      <c r="P99" s="2">
        <f>0</f>
        <v>0</v>
      </c>
      <c r="Q99" s="2"/>
      <c r="R99" s="19">
        <f t="shared" si="84"/>
        <v>0</v>
      </c>
      <c r="S99" s="2"/>
      <c r="T99" s="2">
        <v>86000</v>
      </c>
      <c r="U99" s="2"/>
      <c r="V99" s="19">
        <f t="shared" si="85"/>
        <v>0</v>
      </c>
      <c r="W99" s="2"/>
      <c r="X99" s="2">
        <f t="shared" si="86"/>
        <v>-86000</v>
      </c>
      <c r="Y99" s="2"/>
      <c r="Z99" s="19">
        <f t="shared" si="87"/>
        <v>-1</v>
      </c>
    </row>
    <row r="100" spans="1:26" x14ac:dyDescent="0.3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3">
      <c r="A101" s="10"/>
      <c r="B101" s="26" t="s">
        <v>277</v>
      </c>
      <c r="C101" s="26"/>
      <c r="D101" s="21">
        <f>+D17-D19+D97</f>
        <v>-147304.95000000007</v>
      </c>
      <c r="E101" s="13"/>
      <c r="F101" s="22">
        <f>IF(D$12=0,0,D101/D$12)</f>
        <v>0</v>
      </c>
      <c r="G101" s="13"/>
      <c r="H101" s="21">
        <f>+H17-H19+H97</f>
        <v>-191858.94616613461</v>
      </c>
      <c r="I101" s="13"/>
      <c r="J101" s="22">
        <f>IF(H$12=0,0,H101/H$12)</f>
        <v>0</v>
      </c>
      <c r="K101" s="15"/>
      <c r="L101" s="21">
        <f>+D101-H101</f>
        <v>44553.996166134544</v>
      </c>
      <c r="M101" s="15"/>
      <c r="N101" s="22">
        <f>IF(H101=0,0,L101/H101)</f>
        <v>-0.23222266699804719</v>
      </c>
      <c r="O101" s="25"/>
      <c r="P101" s="21">
        <f>+P17-P19+P97</f>
        <v>-864921.12999999989</v>
      </c>
      <c r="Q101" s="13"/>
      <c r="R101" s="22">
        <f>IF(P$12=0,0,P101/P$12)</f>
        <v>0</v>
      </c>
      <c r="S101" s="13"/>
      <c r="T101" s="21">
        <f>+T17-T19+T97</f>
        <v>-902071.11862013466</v>
      </c>
      <c r="U101" s="13"/>
      <c r="V101" s="22">
        <f>IF(T$12=0,0,T101/T$12)</f>
        <v>0</v>
      </c>
      <c r="W101" s="15"/>
      <c r="X101" s="21">
        <f>+P101-T101</f>
        <v>37149.988620134769</v>
      </c>
      <c r="Y101" s="15"/>
      <c r="Z101" s="22">
        <f>IF(T101=0,0,X101/T101)</f>
        <v>-4.1182993062633191E-2</v>
      </c>
    </row>
    <row r="102" spans="1:26" x14ac:dyDescent="0.3">
      <c r="A102" s="9"/>
      <c r="B102" s="10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3">
      <c r="A103" s="52"/>
      <c r="B103" s="10" t="s">
        <v>128</v>
      </c>
      <c r="C103" s="10"/>
      <c r="D103" s="4"/>
      <c r="E103" s="4"/>
      <c r="F103" s="12">
        <f>IF(D$12=0,0,D103/D$12)</f>
        <v>0</v>
      </c>
      <c r="G103" s="4"/>
      <c r="H103" s="4"/>
      <c r="I103" s="4"/>
      <c r="J103" s="12">
        <f>IF(H$12=0,0,H103/H$12)</f>
        <v>0</v>
      </c>
      <c r="K103" s="4"/>
      <c r="L103" s="4">
        <f>+D103-H103</f>
        <v>0</v>
      </c>
      <c r="M103" s="4"/>
      <c r="N103" s="12">
        <f>IF(H103=0,0,L103/H103)</f>
        <v>0</v>
      </c>
      <c r="O103" s="10"/>
      <c r="P103" s="4"/>
      <c r="Q103" s="4"/>
      <c r="R103" s="12">
        <f>IF(P$12=0,0,P103/P$12)</f>
        <v>0</v>
      </c>
      <c r="S103" s="4"/>
      <c r="T103" s="4"/>
      <c r="U103" s="4"/>
      <c r="V103" s="12">
        <f>IF(T$12=0,0,T103/T$12)</f>
        <v>0</v>
      </c>
      <c r="W103" s="4"/>
      <c r="X103" s="4">
        <f>+P103-T103</f>
        <v>0</v>
      </c>
      <c r="Y103" s="4"/>
      <c r="Z103" s="12">
        <f>IF(T103=0,0,X103/T103)</f>
        <v>0</v>
      </c>
    </row>
    <row r="104" spans="1:26" x14ac:dyDescent="0.3">
      <c r="A104" s="9"/>
      <c r="B104" s="10"/>
      <c r="C104" s="10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0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" thickBot="1" x14ac:dyDescent="0.35">
      <c r="A105" s="10"/>
      <c r="B105" s="26" t="s">
        <v>126</v>
      </c>
      <c r="C105" s="26"/>
      <c r="D105" s="32">
        <f>+D101-D103</f>
        <v>-147304.95000000007</v>
      </c>
      <c r="E105" s="13"/>
      <c r="F105" s="31">
        <f>IF(D$12=0,0,D105/D$12)</f>
        <v>0</v>
      </c>
      <c r="G105" s="13"/>
      <c r="H105" s="32">
        <f>+H101-H103</f>
        <v>-191858.94616613461</v>
      </c>
      <c r="I105" s="13"/>
      <c r="J105" s="31">
        <f>IF(H$12=0,0,H105/H$12)</f>
        <v>0</v>
      </c>
      <c r="K105" s="15"/>
      <c r="L105" s="32">
        <f>D105-H105</f>
        <v>44553.996166134544</v>
      </c>
      <c r="M105" s="15"/>
      <c r="N105" s="31">
        <f>IF(H105=0,0,L105/H105)</f>
        <v>-0.23222266699804719</v>
      </c>
      <c r="O105" s="25"/>
      <c r="P105" s="32">
        <f>+P101-P103</f>
        <v>-864921.12999999989</v>
      </c>
      <c r="Q105" s="13"/>
      <c r="R105" s="31">
        <f>IF(P$12=0,0,P105/P$12)</f>
        <v>0</v>
      </c>
      <c r="S105" s="13"/>
      <c r="T105" s="32">
        <f>+T101-T103</f>
        <v>-902071.11862013466</v>
      </c>
      <c r="U105" s="13"/>
      <c r="V105" s="31">
        <f>IF(T$12=0,0,T105/T$12)</f>
        <v>0</v>
      </c>
      <c r="W105" s="15"/>
      <c r="X105" s="32">
        <f>P105-T105</f>
        <v>37149.988620134769</v>
      </c>
      <c r="Y105" s="15"/>
      <c r="Z105" s="31">
        <f>IF(T105=0,0,X105/T105)</f>
        <v>-4.1182993062633191E-2</v>
      </c>
    </row>
    <row r="106" spans="1:26" ht="15" thickTop="1" x14ac:dyDescent="0.3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x14ac:dyDescent="0.3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" thickBot="1" x14ac:dyDescent="0.35">
      <c r="A108" s="10"/>
      <c r="B108" s="26" t="s">
        <v>294</v>
      </c>
      <c r="C108" s="26"/>
      <c r="D108" s="34">
        <f>SUM(D105:D107)</f>
        <v>-147304.95000000007</v>
      </c>
      <c r="E108" s="13"/>
      <c r="F108" s="35">
        <f>IF(D$12=0,0,D108/D$12)</f>
        <v>0</v>
      </c>
      <c r="G108" s="13"/>
      <c r="H108" s="34">
        <f>SUM(H105:H107)</f>
        <v>-191858.94616613461</v>
      </c>
      <c r="I108" s="13"/>
      <c r="J108" s="35">
        <f>IF(H$12=0,0,H108/H$12)</f>
        <v>0</v>
      </c>
      <c r="K108" s="15"/>
      <c r="L108" s="34">
        <f>+D108-H108</f>
        <v>44553.996166134544</v>
      </c>
      <c r="M108" s="15"/>
      <c r="N108" s="35">
        <f>IF(H108=0,0,L108/H108)</f>
        <v>-0.23222266699804719</v>
      </c>
      <c r="O108" s="25"/>
      <c r="P108" s="34">
        <f>SUM(P105:P107)</f>
        <v>-864921.12999999989</v>
      </c>
      <c r="Q108" s="13"/>
      <c r="R108" s="35">
        <f>IF(P$12=0,0,P108/P$12)</f>
        <v>0</v>
      </c>
      <c r="S108" s="13"/>
      <c r="T108" s="34">
        <f>SUM(T105:T107)</f>
        <v>-902071.11862013466</v>
      </c>
      <c r="U108" s="13"/>
      <c r="V108" s="35">
        <f>IF(T$12=0,0,T108/T$12)</f>
        <v>0</v>
      </c>
      <c r="W108" s="15"/>
      <c r="X108" s="34">
        <f>+P108-T108</f>
        <v>37149.988620134769</v>
      </c>
      <c r="Y108" s="15"/>
      <c r="Z108" s="35">
        <f>IF(T108=0,0,X108/T108)</f>
        <v>-4.1182993062633191E-2</v>
      </c>
    </row>
    <row r="109" spans="1:26" ht="15" thickTop="1" x14ac:dyDescent="0.3">
      <c r="A109" s="9"/>
      <c r="C109" s="9"/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  <row r="110" spans="1:26" x14ac:dyDescent="0.3">
      <c r="A110" s="9"/>
      <c r="B110" s="53">
        <v>44604.019995405091</v>
      </c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  <row r="111" spans="1:26" x14ac:dyDescent="0.3">
      <c r="A111" s="9"/>
      <c r="B111" s="63" t="s">
        <v>56</v>
      </c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  <row r="112" spans="1:26" x14ac:dyDescent="0.3">
      <c r="A112" s="9"/>
      <c r="B112" s="58"/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  <row r="113" spans="4:24" x14ac:dyDescent="0.3">
      <c r="D113" s="17"/>
      <c r="E113" s="17"/>
      <c r="G113" s="17"/>
      <c r="H113" s="17"/>
      <c r="I113" s="17"/>
      <c r="J113" s="43"/>
      <c r="K113" s="17"/>
      <c r="L113" s="17"/>
      <c r="M113" s="17"/>
      <c r="P113" s="17"/>
      <c r="Q113" s="17"/>
      <c r="R113" s="43"/>
      <c r="S113" s="17"/>
      <c r="T113" s="17"/>
      <c r="U113" s="17"/>
      <c r="V113" s="43"/>
      <c r="W113" s="17"/>
      <c r="X113" s="17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outlinePr summaryBelow="0" summaryRight="0"/>
  </sheetPr>
  <dimension ref="A2:Z10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21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550348.06999999995</v>
      </c>
      <c r="E12" s="4"/>
      <c r="F12" s="12"/>
      <c r="G12" s="4"/>
      <c r="H12" s="4">
        <f>SUM(OSRRefH13x_0)</f>
        <v>1590260</v>
      </c>
      <c r="I12" s="4"/>
      <c r="J12" s="12"/>
      <c r="K12" s="4"/>
      <c r="L12" s="4">
        <f t="shared" ref="L12:L17" si="0">+D12-H12</f>
        <v>-1039911.93</v>
      </c>
      <c r="M12" s="4"/>
      <c r="N12" s="12">
        <f t="shared" ref="N12:N17" si="1">IF(H12=0,0,L12/H12)</f>
        <v>-0.65392572912605484</v>
      </c>
      <c r="O12" s="10"/>
      <c r="P12" s="4">
        <f>SUM(OSRRefP13x_0)</f>
        <v>1949957.94</v>
      </c>
      <c r="Q12" s="4"/>
      <c r="R12" s="12"/>
      <c r="S12" s="4"/>
      <c r="T12" s="4">
        <f>SUM(OSRRefT13x_0)</f>
        <v>4458909</v>
      </c>
      <c r="U12" s="4"/>
      <c r="V12" s="12"/>
      <c r="W12" s="4"/>
      <c r="X12" s="4">
        <f t="shared" ref="X12:X17" si="2">+P12-T12</f>
        <v>-2508951.06</v>
      </c>
      <c r="Y12" s="4"/>
      <c r="Z12" s="12">
        <f t="shared" ref="Z12:Z17" si="3">IF(T12=0,0,X12/T12)</f>
        <v>-0.56268272350927095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--459128.6</f>
        <v>459128.6</v>
      </c>
      <c r="E13" s="2"/>
      <c r="F13" s="19"/>
      <c r="G13" s="2"/>
      <c r="H13" s="2">
        <v>1590260</v>
      </c>
      <c r="I13" s="2"/>
      <c r="J13" s="19"/>
      <c r="K13" s="2"/>
      <c r="L13" s="2">
        <f t="shared" si="0"/>
        <v>-1131131.3999999999</v>
      </c>
      <c r="M13" s="2"/>
      <c r="N13" s="19">
        <f t="shared" si="1"/>
        <v>-0.71128708513073324</v>
      </c>
      <c r="O13" s="11"/>
      <c r="P13" s="2">
        <f>--1463962.66</f>
        <v>1463962.66</v>
      </c>
      <c r="Q13" s="2"/>
      <c r="R13" s="19"/>
      <c r="S13" s="2"/>
      <c r="T13" s="2">
        <v>4458909</v>
      </c>
      <c r="U13" s="2"/>
      <c r="V13" s="19"/>
      <c r="W13" s="2"/>
      <c r="X13" s="2">
        <f t="shared" si="2"/>
        <v>-2994946.34</v>
      </c>
      <c r="Y13" s="2"/>
      <c r="Z13" s="19">
        <f t="shared" si="3"/>
        <v>-0.67167693711623178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--110754.22</f>
        <v>110754.22</v>
      </c>
      <c r="E14" s="2"/>
      <c r="F14" s="19"/>
      <c r="G14" s="2"/>
      <c r="H14" s="2">
        <v>0</v>
      </c>
      <c r="I14" s="2"/>
      <c r="J14" s="19"/>
      <c r="K14" s="2"/>
      <c r="L14" s="2">
        <f t="shared" si="0"/>
        <v>110754.22</v>
      </c>
      <c r="M14" s="2"/>
      <c r="N14" s="19">
        <f t="shared" si="1"/>
        <v>0</v>
      </c>
      <c r="O14" s="11"/>
      <c r="P14" s="2">
        <f>--562061.72</f>
        <v>562061.72</v>
      </c>
      <c r="Q14" s="2"/>
      <c r="R14" s="19"/>
      <c r="S14" s="2"/>
      <c r="T14" s="2">
        <v>0</v>
      </c>
      <c r="U14" s="2"/>
      <c r="V14" s="19"/>
      <c r="W14" s="2"/>
      <c r="X14" s="2">
        <f t="shared" si="2"/>
        <v>562061.72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-17245.44</f>
        <v>-17245.439999999999</v>
      </c>
      <c r="E15" s="2"/>
      <c r="F15" s="19"/>
      <c r="G15" s="2"/>
      <c r="H15" s="2"/>
      <c r="I15" s="2"/>
      <c r="J15" s="19"/>
      <c r="K15" s="2"/>
      <c r="L15" s="2">
        <f t="shared" si="0"/>
        <v>-17245.439999999999</v>
      </c>
      <c r="M15" s="2"/>
      <c r="N15" s="19">
        <f t="shared" si="1"/>
        <v>0</v>
      </c>
      <c r="O15" s="11"/>
      <c r="P15" s="2">
        <f>-46638.46</f>
        <v>-46638.46</v>
      </c>
      <c r="Q15" s="2"/>
      <c r="R15" s="19"/>
      <c r="S15" s="2"/>
      <c r="T15" s="2"/>
      <c r="U15" s="2"/>
      <c r="V15" s="19"/>
      <c r="W15" s="2"/>
      <c r="X15" s="2">
        <f t="shared" si="2"/>
        <v>-46638.46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"4300", " - ", "NON-TAX RETURNS")</f>
        <v xml:space="preserve">          4300 - NON-TAX RETURNS</v>
      </c>
      <c r="C16" s="11"/>
      <c r="D16" s="2">
        <f>-498.15</f>
        <v>-498.15</v>
      </c>
      <c r="E16" s="2"/>
      <c r="F16" s="19"/>
      <c r="G16" s="2"/>
      <c r="H16" s="2"/>
      <c r="I16" s="2"/>
      <c r="J16" s="19"/>
      <c r="K16" s="2"/>
      <c r="L16" s="2">
        <f t="shared" si="0"/>
        <v>-498.15</v>
      </c>
      <c r="M16" s="2"/>
      <c r="N16" s="19">
        <f t="shared" si="1"/>
        <v>0</v>
      </c>
      <c r="O16" s="11"/>
      <c r="P16" s="2">
        <f>-26401.29</f>
        <v>-26401.29</v>
      </c>
      <c r="Q16" s="2"/>
      <c r="R16" s="19"/>
      <c r="S16" s="2"/>
      <c r="T16" s="2"/>
      <c r="U16" s="2"/>
      <c r="V16" s="19"/>
      <c r="W16" s="2"/>
      <c r="X16" s="2">
        <f t="shared" si="2"/>
        <v>-26401.29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"4500", " - ", "SALES DISCOUNT")</f>
        <v xml:space="preserve">          4500 - SALES DISCOUNT</v>
      </c>
      <c r="C17" s="11"/>
      <c r="D17" s="2">
        <f>-1791.16</f>
        <v>-1791.16</v>
      </c>
      <c r="E17" s="2"/>
      <c r="F17" s="19"/>
      <c r="G17" s="2"/>
      <c r="H17" s="2"/>
      <c r="I17" s="2"/>
      <c r="J17" s="19"/>
      <c r="K17" s="2"/>
      <c r="L17" s="2">
        <f t="shared" si="0"/>
        <v>-1791.16</v>
      </c>
      <c r="M17" s="2"/>
      <c r="N17" s="19">
        <f t="shared" si="1"/>
        <v>0</v>
      </c>
      <c r="O17" s="11"/>
      <c r="P17" s="2">
        <f>-3026.69</f>
        <v>-3026.69</v>
      </c>
      <c r="Q17" s="2"/>
      <c r="R17" s="19"/>
      <c r="S17" s="2"/>
      <c r="T17" s="2"/>
      <c r="U17" s="2"/>
      <c r="V17" s="19"/>
      <c r="W17" s="2"/>
      <c r="X17" s="2">
        <f t="shared" si="2"/>
        <v>-3026.69</v>
      </c>
      <c r="Y17" s="2"/>
      <c r="Z17" s="19">
        <f t="shared" si="3"/>
        <v>0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365470.27</v>
      </c>
      <c r="E19" s="4"/>
      <c r="F19" s="12">
        <f t="shared" ref="F19:F29" si="4">IF(D$12=0,0,D19/D$12)</f>
        <v>0.66407113956082386</v>
      </c>
      <c r="G19" s="4"/>
      <c r="H19" s="4">
        <f>SUM(OSRRefH16x_0)</f>
        <v>1150318</v>
      </c>
      <c r="I19" s="4"/>
      <c r="J19" s="12">
        <f t="shared" ref="J19:J29" si="5">IF(H$12=0,0,H19/H$12)</f>
        <v>0.7233521562511791</v>
      </c>
      <c r="K19" s="4"/>
      <c r="L19" s="4">
        <f t="shared" ref="L19:L29" si="6">+D19-H19</f>
        <v>-784847.73</v>
      </c>
      <c r="M19" s="4"/>
      <c r="N19" s="12">
        <f t="shared" ref="N19:N29" si="7">IF(H19=0,0,L19/H19)</f>
        <v>-0.6822876195973635</v>
      </c>
      <c r="O19" s="10"/>
      <c r="P19" s="4">
        <f>SUM(OSRRefP16x_0)</f>
        <v>1506341.9499999997</v>
      </c>
      <c r="Q19" s="4"/>
      <c r="R19" s="12">
        <f t="shared" ref="R19:R29" si="8">IF(P$12=0,0,P19/P$12)</f>
        <v>0.77249971350664093</v>
      </c>
      <c r="S19" s="4"/>
      <c r="T19" s="4">
        <f>SUM(OSRRefT16x_0)</f>
        <v>3225236</v>
      </c>
      <c r="U19" s="4"/>
      <c r="V19" s="12">
        <f t="shared" ref="V19:V29" si="9">IF(T$12=0,0,T19/T$12)</f>
        <v>0.72332402388117811</v>
      </c>
      <c r="W19" s="4"/>
      <c r="X19" s="4">
        <f t="shared" ref="X19:X29" si="10">+P19-T19</f>
        <v>-1718894.0500000003</v>
      </c>
      <c r="Y19" s="4"/>
      <c r="Z19" s="12">
        <f t="shared" ref="Z19:Z29" si="11">IF(T19=0,0,X19/T19)</f>
        <v>-0.53295140262604046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2">
        <v>297701.7</v>
      </c>
      <c r="E20" s="2"/>
      <c r="F20" s="19">
        <f t="shared" si="4"/>
        <v>0.54093348596643587</v>
      </c>
      <c r="G20" s="2"/>
      <c r="H20" s="2">
        <v>1150318</v>
      </c>
      <c r="I20" s="2"/>
      <c r="J20" s="19">
        <f t="shared" si="5"/>
        <v>0.7233521562511791</v>
      </c>
      <c r="K20" s="2"/>
      <c r="L20" s="2">
        <f t="shared" si="6"/>
        <v>-852616.3</v>
      </c>
      <c r="M20" s="2"/>
      <c r="N20" s="19">
        <f t="shared" si="7"/>
        <v>-0.74120052020397842</v>
      </c>
      <c r="O20" s="11"/>
      <c r="P20" s="2">
        <v>1702142.74</v>
      </c>
      <c r="Q20" s="2"/>
      <c r="R20" s="19">
        <f t="shared" si="8"/>
        <v>0.87291254087254833</v>
      </c>
      <c r="S20" s="2"/>
      <c r="T20" s="2">
        <v>3225236</v>
      </c>
      <c r="U20" s="2"/>
      <c r="V20" s="19">
        <f t="shared" si="9"/>
        <v>0.72332402388117811</v>
      </c>
      <c r="W20" s="2"/>
      <c r="X20" s="2">
        <f t="shared" si="10"/>
        <v>-1523093.26</v>
      </c>
      <c r="Y20" s="2"/>
      <c r="Z20" s="19">
        <f t="shared" si="11"/>
        <v>-0.47224242194989763</v>
      </c>
    </row>
    <row r="21" spans="1:26" s="24" customFormat="1" hidden="1" outlineLevel="1" x14ac:dyDescent="0.3">
      <c r="A21" s="44"/>
      <c r="B21" s="11" t="str">
        <f>CONCATENATE("          ", "5001", " - ", "PURCHASES @ COST-NEW TEXT")</f>
        <v xml:space="preserve">          5001 - PURCHASES @ COST-NEW TEXT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"5002", " - ", "PURCHASES @ COST-USED TEXT")</f>
        <v xml:space="preserve">          5002 - PURCHASES @ COST-USED TEXT</v>
      </c>
      <c r="C22" s="11"/>
      <c r="D22" s="2"/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"5004", " - ", "PURCHASES @ COST-DIGITAL TEXT")</f>
        <v xml:space="preserve">          5004 - PURCHASES @ COST-DIGITAL TEXT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"5200", " - ", "PURCHASES OFFSET")</f>
        <v xml:space="preserve">          5200 - PURCHASES OFFSET</v>
      </c>
      <c r="C24" s="11"/>
      <c r="D24" s="2">
        <v>-271779.8</v>
      </c>
      <c r="E24" s="2"/>
      <c r="F24" s="19">
        <f t="shared" si="4"/>
        <v>-0.49383256672454584</v>
      </c>
      <c r="G24" s="2"/>
      <c r="H24" s="2"/>
      <c r="I24" s="2"/>
      <c r="J24" s="19">
        <f t="shared" si="5"/>
        <v>0</v>
      </c>
      <c r="K24" s="2"/>
      <c r="L24" s="2">
        <f t="shared" si="6"/>
        <v>-271779.8</v>
      </c>
      <c r="M24" s="2"/>
      <c r="N24" s="19">
        <f t="shared" si="7"/>
        <v>0</v>
      </c>
      <c r="O24" s="11"/>
      <c r="P24" s="2">
        <v>-1462359.61</v>
      </c>
      <c r="Q24" s="2"/>
      <c r="R24" s="19">
        <f t="shared" si="8"/>
        <v>-0.74994418084730596</v>
      </c>
      <c r="S24" s="2"/>
      <c r="T24" s="2"/>
      <c r="U24" s="2"/>
      <c r="V24" s="19">
        <f t="shared" si="9"/>
        <v>0</v>
      </c>
      <c r="W24" s="2"/>
      <c r="X24" s="2">
        <f t="shared" si="10"/>
        <v>-1462359.61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"5300", " - ", "COG$ OFFSET")</f>
        <v xml:space="preserve">          5300 - COG$ OFFSET</v>
      </c>
      <c r="C25" s="11"/>
      <c r="D25" s="2">
        <v>328221.40000000002</v>
      </c>
      <c r="E25" s="2"/>
      <c r="F25" s="19">
        <f t="shared" si="4"/>
        <v>0.59638875448404871</v>
      </c>
      <c r="G25" s="2"/>
      <c r="H25" s="2"/>
      <c r="I25" s="2"/>
      <c r="J25" s="19">
        <f t="shared" si="5"/>
        <v>0</v>
      </c>
      <c r="K25" s="2"/>
      <c r="L25" s="2">
        <f t="shared" si="6"/>
        <v>328221.40000000002</v>
      </c>
      <c r="M25" s="2"/>
      <c r="N25" s="19">
        <f t="shared" si="7"/>
        <v>0</v>
      </c>
      <c r="O25" s="11"/>
      <c r="P25" s="2">
        <v>1217890.17</v>
      </c>
      <c r="Q25" s="2"/>
      <c r="R25" s="19">
        <f t="shared" si="8"/>
        <v>0.62457253308755978</v>
      </c>
      <c r="S25" s="2"/>
      <c r="T25" s="2"/>
      <c r="U25" s="2"/>
      <c r="V25" s="19">
        <f t="shared" si="9"/>
        <v>0</v>
      </c>
      <c r="W25" s="2"/>
      <c r="X25" s="2">
        <f t="shared" si="10"/>
        <v>1217890.17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"5500", " - ", "FREIGHT-IN")</f>
        <v xml:space="preserve">          5500 - FREIGHT-IN</v>
      </c>
      <c r="C26" s="11"/>
      <c r="D26" s="2">
        <v>11326.97</v>
      </c>
      <c r="E26" s="2"/>
      <c r="F26" s="19">
        <f t="shared" si="4"/>
        <v>2.0581465834885185E-2</v>
      </c>
      <c r="G26" s="2"/>
      <c r="H26" s="2"/>
      <c r="I26" s="2"/>
      <c r="J26" s="19">
        <f t="shared" si="5"/>
        <v>0</v>
      </c>
      <c r="K26" s="2"/>
      <c r="L26" s="2">
        <f t="shared" si="6"/>
        <v>11326.97</v>
      </c>
      <c r="M26" s="2"/>
      <c r="N26" s="19">
        <f t="shared" si="7"/>
        <v>0</v>
      </c>
      <c r="O26" s="11"/>
      <c r="P26" s="2">
        <v>48668.65</v>
      </c>
      <c r="Q26" s="2"/>
      <c r="R26" s="19">
        <f t="shared" si="8"/>
        <v>2.4958820393838854E-2</v>
      </c>
      <c r="S26" s="2"/>
      <c r="T26" s="2"/>
      <c r="U26" s="2"/>
      <c r="V26" s="19">
        <f t="shared" si="9"/>
        <v>0</v>
      </c>
      <c r="W26" s="2"/>
      <c r="X26" s="2">
        <f t="shared" si="10"/>
        <v>48668.65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"5501", " - ", "FREIGHT-IN-NEW TEXT")</f>
        <v xml:space="preserve">          5501 - FREIGHT-IN-NEW TEXT</v>
      </c>
      <c r="C27" s="11"/>
      <c r="D27" s="2"/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"5502", " - ", "FREIGHT-IN-USED TEXT")</f>
        <v xml:space="preserve">          5502 - FREIGHT-IN-USED TEXT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s="24" customFormat="1" hidden="1" outlineLevel="1" x14ac:dyDescent="0.3">
      <c r="A29" s="44"/>
      <c r="B29" s="11" t="str">
        <f>CONCATENATE("          ", "5518", " - ", "FREIGHT-IN-STUDY GUIDES")</f>
        <v xml:space="preserve">          5518 - FREIGHT-IN-STUDY GUIDES</v>
      </c>
      <c r="C29" s="11"/>
      <c r="D29" s="2"/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3">
      <c r="A31" s="10"/>
      <c r="B31" s="26" t="s">
        <v>108</v>
      </c>
      <c r="C31" s="26"/>
      <c r="D31" s="21">
        <f>D12-D19</f>
        <v>184877.79999999993</v>
      </c>
      <c r="E31" s="13"/>
      <c r="F31" s="22">
        <f>IF(D$12=0,0,D31/D$12)</f>
        <v>0.33592886043917614</v>
      </c>
      <c r="G31" s="13"/>
      <c r="H31" s="21">
        <f>H12-H19</f>
        <v>439942</v>
      </c>
      <c r="I31" s="13"/>
      <c r="J31" s="22">
        <f>IF(H$12=0,0,H31/H$12)</f>
        <v>0.27664784374882095</v>
      </c>
      <c r="K31" s="15"/>
      <c r="L31" s="21">
        <f>+D31-H31</f>
        <v>-255064.20000000007</v>
      </c>
      <c r="M31" s="15"/>
      <c r="N31" s="22">
        <f>IF(H31=0,0,L31/H31)</f>
        <v>-0.57976778757199832</v>
      </c>
      <c r="O31" s="25"/>
      <c r="P31" s="21">
        <f>P12-P19</f>
        <v>443615.99000000022</v>
      </c>
      <c r="Q31" s="13"/>
      <c r="R31" s="22">
        <f>IF(P$12=0,0,P31/P$12)</f>
        <v>0.22750028649335904</v>
      </c>
      <c r="S31" s="13"/>
      <c r="T31" s="21">
        <f>T12-T19</f>
        <v>1233673</v>
      </c>
      <c r="U31" s="13"/>
      <c r="V31" s="22">
        <f>IF(T$12=0,0,T31/T$12)</f>
        <v>0.27667597611882189</v>
      </c>
      <c r="W31" s="15"/>
      <c r="X31" s="21">
        <f>+P31-T31</f>
        <v>-790057.00999999978</v>
      </c>
      <c r="Y31" s="15"/>
      <c r="Z31" s="22">
        <f>IF(T31=0,0,X31/T31)</f>
        <v>-0.64041039238112507</v>
      </c>
    </row>
    <row r="32" spans="1:26" x14ac:dyDescent="0.3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3">
      <c r="A33" s="10"/>
      <c r="B33" s="25" t="s">
        <v>295</v>
      </c>
      <c r="C33" s="10"/>
      <c r="D33" s="20">
        <f>SUM(OSRRefD22x_0)</f>
        <v>52742.58</v>
      </c>
      <c r="E33" s="20"/>
      <c r="F33" s="33">
        <f t="shared" ref="F33:F44" si="12">IF(D$12=0,0,D33/D$12)</f>
        <v>9.5834950416015821E-2</v>
      </c>
      <c r="G33" s="20"/>
      <c r="H33" s="20">
        <f>SUM(OSRRefH22x_0)</f>
        <v>80345.474916237188</v>
      </c>
      <c r="I33" s="20"/>
      <c r="J33" s="33">
        <f t="shared" ref="J33:J44" si="13">IF(H$12=0,0,H33/H$12)</f>
        <v>5.0523483528628774E-2</v>
      </c>
      <c r="K33" s="4"/>
      <c r="L33" s="20">
        <f t="shared" ref="L33:L44" si="14">+D33-H33</f>
        <v>-27602.894916237186</v>
      </c>
      <c r="M33" s="4"/>
      <c r="N33" s="33">
        <f t="shared" ref="N33:N44" si="15">IF(H33=0,0,L33/H33)</f>
        <v>-0.34355257648316989</v>
      </c>
      <c r="O33" s="10"/>
      <c r="P33" s="20">
        <f>SUM(OSRRefP22x_0)</f>
        <v>332260.56000000006</v>
      </c>
      <c r="Q33" s="20"/>
      <c r="R33" s="33">
        <f t="shared" ref="R33:R44" si="16">IF(P$12=0,0,P33/P$12)</f>
        <v>0.1703937060303978</v>
      </c>
      <c r="S33" s="20"/>
      <c r="T33" s="20">
        <f>SUM(OSRRefT22x_0)</f>
        <v>403353.97246967041</v>
      </c>
      <c r="U33" s="20"/>
      <c r="V33" s="33">
        <f t="shared" ref="V33:V44" si="17">IF(T$12=0,0,T33/T$12)</f>
        <v>9.0460238697329415E-2</v>
      </c>
      <c r="W33" s="4"/>
      <c r="X33" s="20">
        <f t="shared" ref="X33:X44" si="18">+P33-T33</f>
        <v>-71093.412469670351</v>
      </c>
      <c r="Y33" s="4"/>
      <c r="Z33" s="33">
        <f t="shared" ref="Z33:Z44" si="19">IF(T33=0,0,X33/T33)</f>
        <v>-0.17625563976568029</v>
      </c>
    </row>
    <row r="34" spans="1:26" s="28" customFormat="1" outlineLevel="1" collapsed="1" x14ac:dyDescent="0.3">
      <c r="A34" s="29"/>
      <c r="B34" s="14" t="str">
        <f>CONCATENATE("     ","*Benefits                                         ")</f>
        <v xml:space="preserve">     *Benefits                                         </v>
      </c>
      <c r="C34" s="14"/>
      <c r="D34" s="1">
        <f>SUM(OSRRefD22_0x_0)</f>
        <v>16187.02</v>
      </c>
      <c r="E34" s="1"/>
      <c r="F34" s="5">
        <f t="shared" si="12"/>
        <v>2.9412331726719785E-2</v>
      </c>
      <c r="G34" s="1"/>
      <c r="H34" s="1">
        <f>SUM(OSRRefH22_0x_0)</f>
        <v>17653.470484669899</v>
      </c>
      <c r="I34" s="1"/>
      <c r="J34" s="5">
        <f t="shared" si="13"/>
        <v>1.1100996368310778E-2</v>
      </c>
      <c r="K34" s="1"/>
      <c r="L34" s="1">
        <f t="shared" si="14"/>
        <v>-1466.4504846698983</v>
      </c>
      <c r="M34" s="1"/>
      <c r="N34" s="5">
        <f t="shared" si="15"/>
        <v>-8.3068679665188189E-2</v>
      </c>
      <c r="O34" s="14"/>
      <c r="P34" s="1">
        <f>SUM(OSRRefP22_0x_0)</f>
        <v>93152.080000000016</v>
      </c>
      <c r="Q34" s="1"/>
      <c r="R34" s="5">
        <f t="shared" si="16"/>
        <v>4.7771327826691495E-2</v>
      </c>
      <c r="S34" s="1"/>
      <c r="T34" s="1">
        <f>SUM(OSRRefT22_0x_0)</f>
        <v>105233.12499395337</v>
      </c>
      <c r="U34" s="1"/>
      <c r="V34" s="5">
        <f t="shared" si="17"/>
        <v>2.3600644236954234E-2</v>
      </c>
      <c r="W34" s="1"/>
      <c r="X34" s="1">
        <f t="shared" si="18"/>
        <v>-12081.044993953357</v>
      </c>
      <c r="Y34" s="1"/>
      <c r="Z34" s="5">
        <f t="shared" si="19"/>
        <v>-0.11480268208938513</v>
      </c>
    </row>
    <row r="35" spans="1:26" s="24" customFormat="1" hidden="1" outlineLevel="2" x14ac:dyDescent="0.3">
      <c r="A35" s="27"/>
      <c r="B35" s="11" t="str">
        <f>CONCATENATE("          ", "6111", " - ", "F.I.C.A.")</f>
        <v xml:space="preserve">          6111 - F.I.C.A.</v>
      </c>
      <c r="C35" s="11"/>
      <c r="D35" s="7">
        <v>1970.39</v>
      </c>
      <c r="E35" s="2"/>
      <c r="F35" s="6">
        <f t="shared" si="12"/>
        <v>3.580261487970695E-3</v>
      </c>
      <c r="G35" s="2"/>
      <c r="H35" s="7">
        <v>3418.4145399747099</v>
      </c>
      <c r="I35" s="2"/>
      <c r="J35" s="6">
        <f t="shared" si="13"/>
        <v>2.1495947454974094E-3</v>
      </c>
      <c r="K35" s="2"/>
      <c r="L35" s="7">
        <f t="shared" si="14"/>
        <v>-1448.0245399747098</v>
      </c>
      <c r="M35" s="2"/>
      <c r="N35" s="6">
        <f t="shared" si="15"/>
        <v>-0.42359536066840581</v>
      </c>
      <c r="O35" s="11"/>
      <c r="P35" s="7">
        <v>14850.68</v>
      </c>
      <c r="Q35" s="2"/>
      <c r="R35" s="6">
        <f t="shared" si="16"/>
        <v>7.6158976023862346E-3</v>
      </c>
      <c r="S35" s="2"/>
      <c r="T35" s="7">
        <v>17259.265402843201</v>
      </c>
      <c r="U35" s="2"/>
      <c r="V35" s="6">
        <f t="shared" si="17"/>
        <v>3.8707373043143966E-3</v>
      </c>
      <c r="W35" s="2"/>
      <c r="X35" s="7">
        <f t="shared" si="18"/>
        <v>-2408.5854028432004</v>
      </c>
      <c r="Y35" s="2"/>
      <c r="Z35" s="6">
        <f t="shared" si="19"/>
        <v>-0.13955318182003404</v>
      </c>
    </row>
    <row r="36" spans="1:26" s="24" customFormat="1" hidden="1" outlineLevel="2" x14ac:dyDescent="0.3">
      <c r="A36" s="27"/>
      <c r="B36" s="11" t="str">
        <f>CONCATENATE("          ", "6112", " - ", "COMPENSATION INSURANCE")</f>
        <v xml:space="preserve">          6112 - COMPENSATION INSURANCE</v>
      </c>
      <c r="C36" s="11"/>
      <c r="D36" s="7">
        <v>363.33</v>
      </c>
      <c r="E36" s="2"/>
      <c r="F36" s="6">
        <f t="shared" si="12"/>
        <v>6.6018220069346298E-4</v>
      </c>
      <c r="G36" s="2"/>
      <c r="H36" s="7">
        <v>934.83843435000006</v>
      </c>
      <c r="I36" s="2"/>
      <c r="J36" s="6">
        <f t="shared" si="13"/>
        <v>5.8785257401305446E-4</v>
      </c>
      <c r="K36" s="2"/>
      <c r="L36" s="7">
        <f t="shared" si="14"/>
        <v>-571.50843435000002</v>
      </c>
      <c r="M36" s="2"/>
      <c r="N36" s="6">
        <f t="shared" si="15"/>
        <v>-0.61134460603063889</v>
      </c>
      <c r="O36" s="11"/>
      <c r="P36" s="7">
        <v>2912.05</v>
      </c>
      <c r="Q36" s="2"/>
      <c r="R36" s="6">
        <f t="shared" si="16"/>
        <v>1.4933911856580867E-3</v>
      </c>
      <c r="S36" s="2"/>
      <c r="T36" s="7">
        <v>4358.4804449699996</v>
      </c>
      <c r="U36" s="2"/>
      <c r="V36" s="6">
        <f t="shared" si="17"/>
        <v>9.7747687718453087E-4</v>
      </c>
      <c r="W36" s="2"/>
      <c r="X36" s="7">
        <f t="shared" si="18"/>
        <v>-1446.4304449699994</v>
      </c>
      <c r="Y36" s="2"/>
      <c r="Z36" s="6">
        <f t="shared" si="19"/>
        <v>-0.3318657645095745</v>
      </c>
    </row>
    <row r="37" spans="1:26" s="24" customFormat="1" hidden="1" outlineLevel="2" x14ac:dyDescent="0.3">
      <c r="A37" s="27"/>
      <c r="B37" s="11" t="str">
        <f>CONCATENATE("          ", "6113", " - ", "GROUP INSURANCE")</f>
        <v xml:space="preserve">          6113 - GROUP INSURANCE</v>
      </c>
      <c r="C37" s="11"/>
      <c r="D37" s="7">
        <v>4452.97</v>
      </c>
      <c r="E37" s="2"/>
      <c r="F37" s="6">
        <f t="shared" si="12"/>
        <v>8.091188545459968E-3</v>
      </c>
      <c r="G37" s="2"/>
      <c r="H37" s="7">
        <v>5620</v>
      </c>
      <c r="I37" s="2"/>
      <c r="J37" s="6">
        <f t="shared" si="13"/>
        <v>3.5340133060002767E-3</v>
      </c>
      <c r="K37" s="2"/>
      <c r="L37" s="7">
        <f t="shared" si="14"/>
        <v>-1167.0299999999997</v>
      </c>
      <c r="M37" s="2"/>
      <c r="N37" s="6">
        <f t="shared" si="15"/>
        <v>-0.2076565836298932</v>
      </c>
      <c r="O37" s="11"/>
      <c r="P37" s="7">
        <v>32072.38</v>
      </c>
      <c r="Q37" s="2"/>
      <c r="R37" s="6">
        <f t="shared" si="16"/>
        <v>1.6447729123839461E-2</v>
      </c>
      <c r="S37" s="2"/>
      <c r="T37" s="7">
        <v>38116</v>
      </c>
      <c r="U37" s="2"/>
      <c r="V37" s="6">
        <f t="shared" si="17"/>
        <v>8.5482794109500784E-3</v>
      </c>
      <c r="W37" s="2"/>
      <c r="X37" s="7">
        <f t="shared" si="18"/>
        <v>-6043.619999999999</v>
      </c>
      <c r="Y37" s="2"/>
      <c r="Z37" s="6">
        <f t="shared" si="19"/>
        <v>-0.15855861055724627</v>
      </c>
    </row>
    <row r="38" spans="1:26" s="24" customFormat="1" hidden="1" outlineLevel="2" x14ac:dyDescent="0.3">
      <c r="A38" s="27"/>
      <c r="B38" s="11" t="str">
        <f>CONCATENATE("          ", "6114", " - ", "STATE UNEMPLOYMENT INSURANCE")</f>
        <v xml:space="preserve">          6114 - STATE UNEMPLOYMENT INSURANCE</v>
      </c>
      <c r="C38" s="11"/>
      <c r="D38" s="7">
        <v>72.17</v>
      </c>
      <c r="E38" s="2"/>
      <c r="F38" s="6">
        <f t="shared" si="12"/>
        <v>1.311351923156558E-4</v>
      </c>
      <c r="G38" s="2"/>
      <c r="H38" s="7">
        <v>125.843635393269</v>
      </c>
      <c r="I38" s="2"/>
      <c r="J38" s="6">
        <f t="shared" si="13"/>
        <v>7.9134000347911036E-5</v>
      </c>
      <c r="K38" s="2"/>
      <c r="L38" s="7">
        <f t="shared" si="14"/>
        <v>-53.673635393268995</v>
      </c>
      <c r="M38" s="2"/>
      <c r="N38" s="6">
        <f t="shared" si="15"/>
        <v>-0.42651052812909945</v>
      </c>
      <c r="O38" s="11"/>
      <c r="P38" s="7">
        <v>577.72</v>
      </c>
      <c r="Q38" s="2"/>
      <c r="R38" s="6">
        <f t="shared" si="16"/>
        <v>2.9627305704860488E-4</v>
      </c>
      <c r="S38" s="2"/>
      <c r="T38" s="7">
        <v>586.71852143826902</v>
      </c>
      <c r="U38" s="2"/>
      <c r="V38" s="6">
        <f t="shared" si="17"/>
        <v>1.3158342577484065E-4</v>
      </c>
      <c r="W38" s="2"/>
      <c r="X38" s="7">
        <f t="shared" si="18"/>
        <v>-8.9985214382689946</v>
      </c>
      <c r="Y38" s="2"/>
      <c r="Z38" s="6">
        <f t="shared" si="19"/>
        <v>-1.5337033193038146E-2</v>
      </c>
    </row>
    <row r="39" spans="1:26" s="24" customFormat="1" hidden="1" outlineLevel="2" x14ac:dyDescent="0.3">
      <c r="A39" s="27"/>
      <c r="B39" s="11" t="str">
        <f>CONCATENATE("          ", "6115", " - ", "P.E.R.S.")</f>
        <v xml:space="preserve">          6115 - P.E.R.S.</v>
      </c>
      <c r="C39" s="11"/>
      <c r="D39" s="7">
        <v>1671.39</v>
      </c>
      <c r="E39" s="2"/>
      <c r="F39" s="6">
        <f t="shared" si="12"/>
        <v>3.0369689494868226E-3</v>
      </c>
      <c r="G39" s="2"/>
      <c r="H39" s="7">
        <v>2080.8534770576898</v>
      </c>
      <c r="I39" s="2"/>
      <c r="J39" s="6">
        <f t="shared" si="13"/>
        <v>1.3084989102773697E-3</v>
      </c>
      <c r="K39" s="2"/>
      <c r="L39" s="7">
        <f t="shared" si="14"/>
        <v>-409.46347705768972</v>
      </c>
      <c r="M39" s="2"/>
      <c r="N39" s="6">
        <f t="shared" si="15"/>
        <v>-0.19677669839428955</v>
      </c>
      <c r="O39" s="11"/>
      <c r="P39" s="7">
        <v>12246.12</v>
      </c>
      <c r="Q39" s="2"/>
      <c r="R39" s="6">
        <f t="shared" si="16"/>
        <v>6.280196997479854E-3</v>
      </c>
      <c r="S39" s="2"/>
      <c r="T39" s="7">
        <v>12901.291557757701</v>
      </c>
      <c r="U39" s="2"/>
      <c r="V39" s="6">
        <f t="shared" si="17"/>
        <v>2.893374042340335E-3</v>
      </c>
      <c r="W39" s="2"/>
      <c r="X39" s="7">
        <f t="shared" si="18"/>
        <v>-655.1715577576997</v>
      </c>
      <c r="Y39" s="2"/>
      <c r="Z39" s="6">
        <f t="shared" si="19"/>
        <v>-5.0783408376174337E-2</v>
      </c>
    </row>
    <row r="40" spans="1:26" s="24" customFormat="1" hidden="1" outlineLevel="2" x14ac:dyDescent="0.3">
      <c r="A40" s="27"/>
      <c r="B40" s="11" t="str">
        <f>CONCATENATE("          ", "6116", " - ", "EDUCATIONAL BENEFITS")</f>
        <v xml:space="preserve">          6116 - EDUCATIONAL BENEFITS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3">
      <c r="A41" s="27"/>
      <c r="B41" s="11" t="str">
        <f>CONCATENATE("          ", "6117", " - ", "RETIREMENT STAFF HOURLY")</f>
        <v xml:space="preserve">          6117 - RETIREMENT STAFF HOURLY</v>
      </c>
      <c r="C41" s="11"/>
      <c r="D41" s="7">
        <v>459.29</v>
      </c>
      <c r="E41" s="2"/>
      <c r="F41" s="6">
        <f t="shared" si="12"/>
        <v>8.3454458194066178E-4</v>
      </c>
      <c r="G41" s="2"/>
      <c r="H41" s="7"/>
      <c r="I41" s="2"/>
      <c r="J41" s="6">
        <f t="shared" si="13"/>
        <v>0</v>
      </c>
      <c r="K41" s="2"/>
      <c r="L41" s="7">
        <f t="shared" si="14"/>
        <v>459.29</v>
      </c>
      <c r="M41" s="2"/>
      <c r="N41" s="6">
        <f t="shared" si="15"/>
        <v>0</v>
      </c>
      <c r="O41" s="11"/>
      <c r="P41" s="7">
        <v>2267.2399999999998</v>
      </c>
      <c r="Q41" s="2"/>
      <c r="R41" s="6">
        <f t="shared" si="16"/>
        <v>1.1627122582961967E-3</v>
      </c>
      <c r="S41" s="2"/>
      <c r="T41" s="7"/>
      <c r="U41" s="2"/>
      <c r="V41" s="6">
        <f t="shared" si="17"/>
        <v>0</v>
      </c>
      <c r="W41" s="2"/>
      <c r="X41" s="7">
        <f t="shared" si="18"/>
        <v>2267.2399999999998</v>
      </c>
      <c r="Y41" s="2"/>
      <c r="Z41" s="6">
        <f t="shared" si="19"/>
        <v>0</v>
      </c>
    </row>
    <row r="42" spans="1:26" s="24" customFormat="1" hidden="1" outlineLevel="2" x14ac:dyDescent="0.3">
      <c r="A42" s="27"/>
      <c r="B42" s="11" t="str">
        <f>CONCATENATE("          ", "6118", " - ", "VACATION")</f>
        <v xml:space="preserve">          6118 - VACATION</v>
      </c>
      <c r="C42" s="11"/>
      <c r="D42" s="7">
        <v>2447.1999999999998</v>
      </c>
      <c r="E42" s="2"/>
      <c r="F42" s="6">
        <f t="shared" si="12"/>
        <v>4.4466404688218494E-3</v>
      </c>
      <c r="G42" s="2"/>
      <c r="H42" s="7">
        <v>2111.4919273750002</v>
      </c>
      <c r="I42" s="2"/>
      <c r="J42" s="6">
        <f t="shared" si="13"/>
        <v>1.327765225419114E-3</v>
      </c>
      <c r="K42" s="2"/>
      <c r="L42" s="7">
        <f t="shared" si="14"/>
        <v>335.70807262499966</v>
      </c>
      <c r="M42" s="2"/>
      <c r="N42" s="6">
        <f t="shared" si="15"/>
        <v>0.15899093350659921</v>
      </c>
      <c r="O42" s="11"/>
      <c r="P42" s="7">
        <v>11680.88</v>
      </c>
      <c r="Q42" s="2"/>
      <c r="R42" s="6">
        <f t="shared" si="16"/>
        <v>5.9903240784773028E-3</v>
      </c>
      <c r="S42" s="2"/>
      <c r="T42" s="7">
        <v>13091.249949724999</v>
      </c>
      <c r="U42" s="2"/>
      <c r="V42" s="6">
        <f t="shared" si="17"/>
        <v>2.935976031294875E-3</v>
      </c>
      <c r="W42" s="2"/>
      <c r="X42" s="7">
        <f t="shared" si="18"/>
        <v>-1410.369949725</v>
      </c>
      <c r="Y42" s="2"/>
      <c r="Z42" s="6">
        <f t="shared" si="19"/>
        <v>-0.10773378822811544</v>
      </c>
    </row>
    <row r="43" spans="1:26" s="24" customFormat="1" hidden="1" outlineLevel="2" x14ac:dyDescent="0.3">
      <c r="A43" s="27"/>
      <c r="B43" s="11" t="str">
        <f>CONCATENATE("          ", "6119", " - ", "SICK LEAVE")</f>
        <v xml:space="preserve">          6119 - SICK LEAVE</v>
      </c>
      <c r="C43" s="11"/>
      <c r="D43" s="7">
        <v>3712.89</v>
      </c>
      <c r="E43" s="2"/>
      <c r="F43" s="6">
        <f t="shared" si="12"/>
        <v>6.7464395759578117E-3</v>
      </c>
      <c r="G43" s="2"/>
      <c r="H43" s="7">
        <v>2312.0284705192298</v>
      </c>
      <c r="I43" s="2"/>
      <c r="J43" s="6">
        <f t="shared" si="13"/>
        <v>1.45386821684456E-3</v>
      </c>
      <c r="K43" s="2"/>
      <c r="L43" s="7">
        <f t="shared" si="14"/>
        <v>1400.8615294807701</v>
      </c>
      <c r="M43" s="2"/>
      <c r="N43" s="6">
        <f t="shared" si="15"/>
        <v>0.60590150482280525</v>
      </c>
      <c r="O43" s="11"/>
      <c r="P43" s="7">
        <v>10765.91</v>
      </c>
      <c r="Q43" s="2"/>
      <c r="R43" s="6">
        <f t="shared" si="16"/>
        <v>5.521098573028709E-3</v>
      </c>
      <c r="S43" s="2"/>
      <c r="T43" s="7">
        <v>11570.119117219199</v>
      </c>
      <c r="U43" s="2"/>
      <c r="V43" s="6">
        <f t="shared" si="17"/>
        <v>2.5948318562274311E-3</v>
      </c>
      <c r="W43" s="2"/>
      <c r="X43" s="7">
        <f t="shared" si="18"/>
        <v>-804.20911721919947</v>
      </c>
      <c r="Y43" s="2"/>
      <c r="Z43" s="6">
        <f t="shared" si="19"/>
        <v>-6.950741898779049E-2</v>
      </c>
    </row>
    <row r="44" spans="1:26" s="24" customFormat="1" hidden="1" outlineLevel="2" x14ac:dyDescent="0.3">
      <c r="A44" s="27"/>
      <c r="B44" s="11" t="str">
        <f>CONCATENATE("          ", "6156", " - ", "EMPLOYEE MEALS")</f>
        <v xml:space="preserve">          6156 - EMPLOYEE MEALS</v>
      </c>
      <c r="C44" s="11"/>
      <c r="D44" s="7">
        <v>1037.3900000000001</v>
      </c>
      <c r="E44" s="2"/>
      <c r="F44" s="6">
        <f t="shared" si="12"/>
        <v>1.8849707240728584E-3</v>
      </c>
      <c r="G44" s="2"/>
      <c r="H44" s="7">
        <v>1050</v>
      </c>
      <c r="I44" s="2"/>
      <c r="J44" s="6">
        <f t="shared" si="13"/>
        <v>6.6026938991108368E-4</v>
      </c>
      <c r="K44" s="2"/>
      <c r="L44" s="7">
        <f t="shared" si="14"/>
        <v>-12.6099999999999</v>
      </c>
      <c r="M44" s="2"/>
      <c r="N44" s="6">
        <f t="shared" si="15"/>
        <v>-1.2009523809523715E-2</v>
      </c>
      <c r="O44" s="11"/>
      <c r="P44" s="7">
        <v>5779.1</v>
      </c>
      <c r="Q44" s="2"/>
      <c r="R44" s="6">
        <f t="shared" si="16"/>
        <v>2.9637049504770345E-3</v>
      </c>
      <c r="S44" s="2"/>
      <c r="T44" s="7">
        <v>7350</v>
      </c>
      <c r="U44" s="2"/>
      <c r="V44" s="6">
        <f t="shared" si="17"/>
        <v>1.6483852888677477E-3</v>
      </c>
      <c r="W44" s="2"/>
      <c r="X44" s="7">
        <f t="shared" si="18"/>
        <v>-1570.8999999999996</v>
      </c>
      <c r="Y44" s="2"/>
      <c r="Z44" s="6">
        <f t="shared" si="19"/>
        <v>-0.21372789115646254</v>
      </c>
    </row>
    <row r="45" spans="1:26" s="28" customFormat="1" outlineLevel="1" collapsed="1" x14ac:dyDescent="0.3">
      <c r="A45" s="29"/>
      <c r="B45" s="14" t="str">
        <f>CONCATENATE("     ","*Payroll                                          ")</f>
        <v xml:space="preserve">     *Payroll                                          </v>
      </c>
      <c r="C45" s="14"/>
      <c r="D45" s="1">
        <f>SUM(OSRRefD22_1x_0)</f>
        <v>32963.040000000001</v>
      </c>
      <c r="E45" s="1"/>
      <c r="F45" s="5">
        <f t="shared" ref="F45:F55" si="20">IF(D$12=0,0,D45/D$12)</f>
        <v>5.9894895243295762E-2</v>
      </c>
      <c r="G45" s="1"/>
      <c r="H45" s="1">
        <f>SUM(OSRRefH22_1x_0)</f>
        <v>56812.0044315673</v>
      </c>
      <c r="I45" s="1"/>
      <c r="J45" s="5">
        <f t="shared" ref="J45:J55" si="21">IF(H$12=0,0,H45/H$12)</f>
        <v>3.5724978576815933E-2</v>
      </c>
      <c r="K45" s="1"/>
      <c r="L45" s="1">
        <f t="shared" ref="L45:L55" si="22">+D45-H45</f>
        <v>-23848.964431567299</v>
      </c>
      <c r="M45" s="1"/>
      <c r="N45" s="5">
        <f t="shared" ref="N45:N55" si="23">IF(H45=0,0,L45/H45)</f>
        <v>-0.41978741412467652</v>
      </c>
      <c r="O45" s="14"/>
      <c r="P45" s="1">
        <f>SUM(OSRRefP22_1x_0)</f>
        <v>208144.95</v>
      </c>
      <c r="Q45" s="1"/>
      <c r="R45" s="5">
        <f t="shared" ref="R45:R55" si="24">IF(P$12=0,0,P45/P$12)</f>
        <v>0.10674330237092192</v>
      </c>
      <c r="S45" s="1"/>
      <c r="T45" s="1">
        <f>SUM(OSRRefT22_1x_0)</f>
        <v>260085.84747571702</v>
      </c>
      <c r="U45" s="1"/>
      <c r="V45" s="5">
        <f t="shared" ref="V45:V55" si="25">IF(T$12=0,0,T45/T$12)</f>
        <v>5.8329480928118745E-2</v>
      </c>
      <c r="W45" s="1"/>
      <c r="X45" s="1">
        <f t="shared" ref="X45:X55" si="26">+P45-T45</f>
        <v>-51940.897475717007</v>
      </c>
      <c r="Y45" s="1"/>
      <c r="Z45" s="5">
        <f t="shared" ref="Z45:Z55" si="27">IF(T45=0,0,X45/T45)</f>
        <v>-0.19970674290751819</v>
      </c>
    </row>
    <row r="46" spans="1:26" s="24" customFormat="1" hidden="1" outlineLevel="2" x14ac:dyDescent="0.3">
      <c r="A46" s="27"/>
      <c r="B46" s="11" t="str">
        <f>CONCATENATE("          ", "6001", " - ", "ADMINISTRATIVE SALARIES")</f>
        <v xml:space="preserve">          6001 - ADMINISTRATIVE SALARIES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3">
      <c r="A47" s="27"/>
      <c r="B47" s="11" t="str">
        <f>CONCATENATE("          ", "6002", " - ", "STAFF SALARIES")</f>
        <v xml:space="preserve">          6002 - STAFF SALARIES</v>
      </c>
      <c r="C47" s="11"/>
      <c r="D47" s="7">
        <v>20995.06</v>
      </c>
      <c r="E47" s="2"/>
      <c r="F47" s="6">
        <f t="shared" si="20"/>
        <v>3.8148693789368616E-2</v>
      </c>
      <c r="G47" s="2"/>
      <c r="H47" s="7">
        <v>21617.1259715673</v>
      </c>
      <c r="I47" s="2"/>
      <c r="J47" s="6">
        <f t="shared" si="21"/>
        <v>1.3593453882740747E-2</v>
      </c>
      <c r="K47" s="2"/>
      <c r="L47" s="7">
        <f t="shared" si="22"/>
        <v>-622.06597156729913</v>
      </c>
      <c r="M47" s="2"/>
      <c r="N47" s="6">
        <f t="shared" si="23"/>
        <v>-2.8776534511826119E-2</v>
      </c>
      <c r="O47" s="11"/>
      <c r="P47" s="7">
        <v>123203.56</v>
      </c>
      <c r="Q47" s="2"/>
      <c r="R47" s="6">
        <f t="shared" si="24"/>
        <v>6.3182675622223933E-2</v>
      </c>
      <c r="S47" s="2"/>
      <c r="T47" s="7">
        <v>134026.18102371701</v>
      </c>
      <c r="U47" s="2"/>
      <c r="V47" s="6">
        <f t="shared" si="25"/>
        <v>3.0058066003077661E-2</v>
      </c>
      <c r="W47" s="2"/>
      <c r="X47" s="7">
        <f t="shared" si="26"/>
        <v>-10822.621023717016</v>
      </c>
      <c r="Y47" s="2"/>
      <c r="Z47" s="6">
        <f t="shared" si="27"/>
        <v>-8.0750051527632996E-2</v>
      </c>
    </row>
    <row r="48" spans="1:26" s="24" customFormat="1" hidden="1" outlineLevel="2" x14ac:dyDescent="0.3">
      <c r="A48" s="27"/>
      <c r="B48" s="11" t="str">
        <f>CONCATENATE("          ", "6003", " - ", "STAFF HOURLY-9 MONTH")</f>
        <v xml:space="preserve">          6003 - STAFF HOURLY-9 MONTH</v>
      </c>
      <c r="C48" s="11"/>
      <c r="D48" s="7"/>
      <c r="E48" s="2"/>
      <c r="F48" s="6">
        <f t="shared" si="20"/>
        <v>0</v>
      </c>
      <c r="G48" s="2"/>
      <c r="H48" s="7">
        <v>0</v>
      </c>
      <c r="I48" s="2"/>
      <c r="J48" s="6">
        <f t="shared" si="21"/>
        <v>0</v>
      </c>
      <c r="K48" s="2"/>
      <c r="L48" s="7">
        <f t="shared" si="22"/>
        <v>0</v>
      </c>
      <c r="M48" s="2"/>
      <c r="N48" s="6">
        <f t="shared" si="23"/>
        <v>0</v>
      </c>
      <c r="O48" s="11"/>
      <c r="P48" s="7"/>
      <c r="Q48" s="2"/>
      <c r="R48" s="6">
        <f t="shared" si="24"/>
        <v>0</v>
      </c>
      <c r="S48" s="2"/>
      <c r="T48" s="7">
        <v>0</v>
      </c>
      <c r="U48" s="2"/>
      <c r="V48" s="6">
        <f t="shared" si="25"/>
        <v>0</v>
      </c>
      <c r="W48" s="2"/>
      <c r="X48" s="7">
        <f t="shared" si="26"/>
        <v>0</v>
      </c>
      <c r="Y48" s="2"/>
      <c r="Z48" s="6">
        <f t="shared" si="27"/>
        <v>0</v>
      </c>
    </row>
    <row r="49" spans="1:26" s="24" customFormat="1" hidden="1" outlineLevel="2" x14ac:dyDescent="0.3">
      <c r="A49" s="27"/>
      <c r="B49" s="11" t="str">
        <f>CONCATENATE("          ", "6004", " - ", "STAFF HOURLY")</f>
        <v xml:space="preserve">          6004 - STAFF HOURLY</v>
      </c>
      <c r="C49" s="11"/>
      <c r="D49" s="7">
        <v>6871.75</v>
      </c>
      <c r="E49" s="2"/>
      <c r="F49" s="6">
        <f t="shared" si="20"/>
        <v>1.2486188967647331E-2</v>
      </c>
      <c r="G49" s="2"/>
      <c r="H49" s="7">
        <v>7410.7284600000003</v>
      </c>
      <c r="I49" s="2"/>
      <c r="J49" s="6">
        <f t="shared" si="21"/>
        <v>4.660073484838957E-3</v>
      </c>
      <c r="K49" s="2"/>
      <c r="L49" s="7">
        <f t="shared" si="22"/>
        <v>-538.97846000000027</v>
      </c>
      <c r="M49" s="2"/>
      <c r="N49" s="6">
        <f t="shared" si="23"/>
        <v>-7.2729484410227641E-2</v>
      </c>
      <c r="O49" s="11"/>
      <c r="P49" s="7">
        <v>42434.879999999997</v>
      </c>
      <c r="Q49" s="2"/>
      <c r="R49" s="6">
        <f t="shared" si="24"/>
        <v>2.1761946311518902E-2</v>
      </c>
      <c r="S49" s="2"/>
      <c r="T49" s="7">
        <v>45946.516452000003</v>
      </c>
      <c r="U49" s="2"/>
      <c r="V49" s="6">
        <f t="shared" si="25"/>
        <v>1.0304430176081189E-2</v>
      </c>
      <c r="W49" s="2"/>
      <c r="X49" s="7">
        <f t="shared" si="26"/>
        <v>-3511.6364520000061</v>
      </c>
      <c r="Y49" s="2"/>
      <c r="Z49" s="6">
        <f t="shared" si="27"/>
        <v>-7.6428785535212179E-2</v>
      </c>
    </row>
    <row r="50" spans="1:26" s="24" customFormat="1" hidden="1" outlineLevel="2" x14ac:dyDescent="0.3">
      <c r="A50" s="27"/>
      <c r="B50" s="11" t="str">
        <f>CONCATENATE("          ", "6005", " - ", "TEMPORARY WAGES-HOURLY")</f>
        <v xml:space="preserve">          6005 - TEMPORARY WAGES-HOURLY</v>
      </c>
      <c r="C50" s="11"/>
      <c r="D50" s="7"/>
      <c r="E50" s="2"/>
      <c r="F50" s="6">
        <f t="shared" si="20"/>
        <v>0</v>
      </c>
      <c r="G50" s="2"/>
      <c r="H50" s="7">
        <v>3009.34</v>
      </c>
      <c r="I50" s="2"/>
      <c r="J50" s="6">
        <f t="shared" si="21"/>
        <v>1.8923572246047817E-3</v>
      </c>
      <c r="K50" s="2"/>
      <c r="L50" s="7">
        <f t="shared" si="22"/>
        <v>-3009.34</v>
      </c>
      <c r="M50" s="2"/>
      <c r="N50" s="6">
        <f t="shared" si="23"/>
        <v>-1</v>
      </c>
      <c r="O50" s="11"/>
      <c r="P50" s="7">
        <v>14698.31</v>
      </c>
      <c r="Q50" s="2"/>
      <c r="R50" s="6">
        <f t="shared" si="24"/>
        <v>7.5377574554249104E-3</v>
      </c>
      <c r="S50" s="2"/>
      <c r="T50" s="7">
        <v>25378.34</v>
      </c>
      <c r="U50" s="2"/>
      <c r="V50" s="6">
        <f t="shared" si="25"/>
        <v>5.6916030356304647E-3</v>
      </c>
      <c r="W50" s="2"/>
      <c r="X50" s="7">
        <f t="shared" si="26"/>
        <v>-10680.03</v>
      </c>
      <c r="Y50" s="2"/>
      <c r="Z50" s="6">
        <f t="shared" si="27"/>
        <v>-0.42083248943784346</v>
      </c>
    </row>
    <row r="51" spans="1:26" s="24" customFormat="1" hidden="1" outlineLevel="2" x14ac:dyDescent="0.3">
      <c r="A51" s="27"/>
      <c r="B51" s="11" t="str">
        <f>CONCATENATE("          ", "6006", " - ", "TEMPORARY PART TIME")</f>
        <v xml:space="preserve">          6006 - TEMPORARY PART TIME</v>
      </c>
      <c r="C51" s="11"/>
      <c r="D51" s="7"/>
      <c r="E51" s="2"/>
      <c r="F51" s="6">
        <f t="shared" si="20"/>
        <v>0</v>
      </c>
      <c r="G51" s="2"/>
      <c r="H51" s="7">
        <v>0</v>
      </c>
      <c r="I51" s="2"/>
      <c r="J51" s="6">
        <f t="shared" si="21"/>
        <v>0</v>
      </c>
      <c r="K51" s="2"/>
      <c r="L51" s="7">
        <f t="shared" si="22"/>
        <v>0</v>
      </c>
      <c r="M51" s="2"/>
      <c r="N51" s="6">
        <f t="shared" si="23"/>
        <v>0</v>
      </c>
      <c r="O51" s="11"/>
      <c r="P51" s="7"/>
      <c r="Q51" s="2"/>
      <c r="R51" s="6">
        <f t="shared" si="24"/>
        <v>0</v>
      </c>
      <c r="S51" s="2"/>
      <c r="T51" s="7">
        <v>0</v>
      </c>
      <c r="U51" s="2"/>
      <c r="V51" s="6">
        <f t="shared" si="25"/>
        <v>0</v>
      </c>
      <c r="W51" s="2"/>
      <c r="X51" s="7">
        <f t="shared" si="26"/>
        <v>0</v>
      </c>
      <c r="Y51" s="2"/>
      <c r="Z51" s="6">
        <f t="shared" si="27"/>
        <v>0</v>
      </c>
    </row>
    <row r="52" spans="1:26" s="24" customFormat="1" hidden="1" outlineLevel="2" x14ac:dyDescent="0.3">
      <c r="A52" s="27"/>
      <c r="B52" s="11" t="str">
        <f>CONCATENATE("          ", "6007", " - ", "STUDENT HOURLY")</f>
        <v xml:space="preserve">          6007 - STUDENT HOURLY</v>
      </c>
      <c r="C52" s="11"/>
      <c r="D52" s="7">
        <v>5096.2299999999996</v>
      </c>
      <c r="E52" s="2"/>
      <c r="F52" s="6">
        <f t="shared" si="20"/>
        <v>9.26001248627982E-3</v>
      </c>
      <c r="G52" s="2"/>
      <c r="H52" s="7">
        <v>12526.25</v>
      </c>
      <c r="I52" s="2"/>
      <c r="J52" s="6">
        <f t="shared" si="21"/>
        <v>7.8768566146416308E-3</v>
      </c>
      <c r="K52" s="2"/>
      <c r="L52" s="7">
        <f t="shared" si="22"/>
        <v>-7430.02</v>
      </c>
      <c r="M52" s="2"/>
      <c r="N52" s="6">
        <f t="shared" si="23"/>
        <v>-0.59315597245783858</v>
      </c>
      <c r="O52" s="11"/>
      <c r="P52" s="7">
        <v>23841.72</v>
      </c>
      <c r="Q52" s="2"/>
      <c r="R52" s="6">
        <f t="shared" si="24"/>
        <v>1.2226786799309119E-2</v>
      </c>
      <c r="S52" s="2"/>
      <c r="T52" s="7">
        <v>26246.25</v>
      </c>
      <c r="U52" s="2"/>
      <c r="V52" s="6">
        <f t="shared" si="25"/>
        <v>5.8862493044823296E-3</v>
      </c>
      <c r="W52" s="2"/>
      <c r="X52" s="7">
        <f t="shared" si="26"/>
        <v>-2404.5299999999988</v>
      </c>
      <c r="Y52" s="2"/>
      <c r="Z52" s="6">
        <f t="shared" si="27"/>
        <v>-9.1614230604372016E-2</v>
      </c>
    </row>
    <row r="53" spans="1:26" s="24" customFormat="1" hidden="1" outlineLevel="2" x14ac:dyDescent="0.3">
      <c r="A53" s="27"/>
      <c r="B53" s="11" t="str">
        <f>CONCATENATE("          ", "6008", " - ", "STUDENT HOURLY-FICA EXEMPT")</f>
        <v xml:space="preserve">          6008 - STUDENT HOURLY-FICA EXEMPT</v>
      </c>
      <c r="C53" s="11"/>
      <c r="D53" s="7"/>
      <c r="E53" s="2"/>
      <c r="F53" s="6">
        <f t="shared" si="20"/>
        <v>0</v>
      </c>
      <c r="G53" s="2"/>
      <c r="H53" s="7">
        <v>12248.56</v>
      </c>
      <c r="I53" s="2"/>
      <c r="J53" s="6">
        <f t="shared" si="21"/>
        <v>7.7022373699898129E-3</v>
      </c>
      <c r="K53" s="2"/>
      <c r="L53" s="7">
        <f t="shared" si="22"/>
        <v>-12248.56</v>
      </c>
      <c r="M53" s="2"/>
      <c r="N53" s="6">
        <f t="shared" si="23"/>
        <v>-1</v>
      </c>
      <c r="O53" s="11"/>
      <c r="P53" s="7">
        <v>3966.48</v>
      </c>
      <c r="Q53" s="2"/>
      <c r="R53" s="6">
        <f t="shared" si="24"/>
        <v>2.0341361824450428E-3</v>
      </c>
      <c r="S53" s="2"/>
      <c r="T53" s="7">
        <v>28488.560000000001</v>
      </c>
      <c r="U53" s="2"/>
      <c r="V53" s="6">
        <f t="shared" si="25"/>
        <v>6.3891324088470973E-3</v>
      </c>
      <c r="W53" s="2"/>
      <c r="X53" s="7">
        <f t="shared" si="26"/>
        <v>-24522.080000000002</v>
      </c>
      <c r="Y53" s="2"/>
      <c r="Z53" s="6">
        <f t="shared" si="27"/>
        <v>-0.86076937549669064</v>
      </c>
    </row>
    <row r="54" spans="1:26" s="24" customFormat="1" hidden="1" outlineLevel="2" x14ac:dyDescent="0.3">
      <c r="A54" s="27"/>
      <c r="B54" s="11" t="str">
        <f>CONCATENATE("          ", "6009", " - ", "TEMPORARY-SEASONAL")</f>
        <v xml:space="preserve">          6009 - TEMPORARY-SEASONAL</v>
      </c>
      <c r="C54" s="11"/>
      <c r="D54" s="7"/>
      <c r="E54" s="2"/>
      <c r="F54" s="6">
        <f t="shared" si="20"/>
        <v>0</v>
      </c>
      <c r="G54" s="2"/>
      <c r="H54" s="7">
        <v>0</v>
      </c>
      <c r="I54" s="2"/>
      <c r="J54" s="6">
        <f t="shared" si="21"/>
        <v>0</v>
      </c>
      <c r="K54" s="2"/>
      <c r="L54" s="7">
        <f t="shared" si="22"/>
        <v>0</v>
      </c>
      <c r="M54" s="2"/>
      <c r="N54" s="6">
        <f t="shared" si="23"/>
        <v>0</v>
      </c>
      <c r="O54" s="11"/>
      <c r="P54" s="7"/>
      <c r="Q54" s="2"/>
      <c r="R54" s="6">
        <f t="shared" si="24"/>
        <v>0</v>
      </c>
      <c r="S54" s="2"/>
      <c r="T54" s="7">
        <v>0</v>
      </c>
      <c r="U54" s="2"/>
      <c r="V54" s="6">
        <f t="shared" si="25"/>
        <v>0</v>
      </c>
      <c r="W54" s="2"/>
      <c r="X54" s="7">
        <f t="shared" si="26"/>
        <v>0</v>
      </c>
      <c r="Y54" s="2"/>
      <c r="Z54" s="6">
        <f t="shared" si="27"/>
        <v>0</v>
      </c>
    </row>
    <row r="55" spans="1:26" s="24" customFormat="1" hidden="1" outlineLevel="2" x14ac:dyDescent="0.3">
      <c r="A55" s="27"/>
      <c r="B55" s="11" t="str">
        <f>CONCATENATE("          ", "6010", " - ", "GRATUITY")</f>
        <v xml:space="preserve">          6010 - GRATUITY</v>
      </c>
      <c r="C55" s="11"/>
      <c r="D55" s="7"/>
      <c r="E55" s="2"/>
      <c r="F55" s="6">
        <f t="shared" si="20"/>
        <v>0</v>
      </c>
      <c r="G55" s="2"/>
      <c r="H55" s="7">
        <v>0</v>
      </c>
      <c r="I55" s="2"/>
      <c r="J55" s="6">
        <f t="shared" si="21"/>
        <v>0</v>
      </c>
      <c r="K55" s="2"/>
      <c r="L55" s="7">
        <f t="shared" si="22"/>
        <v>0</v>
      </c>
      <c r="M55" s="2"/>
      <c r="N55" s="6">
        <f t="shared" si="23"/>
        <v>0</v>
      </c>
      <c r="O55" s="11"/>
      <c r="P55" s="7"/>
      <c r="Q55" s="2"/>
      <c r="R55" s="6">
        <f t="shared" si="24"/>
        <v>0</v>
      </c>
      <c r="S55" s="2"/>
      <c r="T55" s="7">
        <v>0</v>
      </c>
      <c r="U55" s="2"/>
      <c r="V55" s="6">
        <f t="shared" si="25"/>
        <v>0</v>
      </c>
      <c r="W55" s="2"/>
      <c r="X55" s="7">
        <f t="shared" si="26"/>
        <v>0</v>
      </c>
      <c r="Y55" s="2"/>
      <c r="Z55" s="6">
        <f t="shared" si="27"/>
        <v>0</v>
      </c>
    </row>
    <row r="56" spans="1:26" s="28" customFormat="1" outlineLevel="1" collapsed="1" x14ac:dyDescent="0.3">
      <c r="A56" s="29"/>
      <c r="B56" s="14" t="str">
        <f>CONCATENATE("     ","Advertising/Promo                                 ")</f>
        <v xml:space="preserve">     Advertising/Promo                                 </v>
      </c>
      <c r="C56" s="14"/>
      <c r="D56" s="1">
        <f>SUM(OSRRefD22_2x_0)</f>
        <v>0</v>
      </c>
      <c r="E56" s="1"/>
      <c r="F56" s="5">
        <f t="shared" ref="F56:F66" si="28">IF(D$12=0,0,D56/D$12)</f>
        <v>0</v>
      </c>
      <c r="G56" s="1"/>
      <c r="H56" s="1">
        <f>SUM(OSRRefH22_2x_0)</f>
        <v>400</v>
      </c>
      <c r="I56" s="1"/>
      <c r="J56" s="5">
        <f t="shared" ref="J56:J66" si="29">IF(H$12=0,0,H56/H$12)</f>
        <v>2.5153119615660332E-4</v>
      </c>
      <c r="K56" s="1"/>
      <c r="L56" s="1">
        <f t="shared" ref="L56:L66" si="30">+D56-H56</f>
        <v>-400</v>
      </c>
      <c r="M56" s="1"/>
      <c r="N56" s="5">
        <f t="shared" ref="N56:N66" si="31">IF(H56=0,0,L56/H56)</f>
        <v>-1</v>
      </c>
      <c r="O56" s="14"/>
      <c r="P56" s="1">
        <f>SUM(OSRRefP22_2x_0)</f>
        <v>797.25</v>
      </c>
      <c r="Q56" s="1"/>
      <c r="R56" s="5">
        <f t="shared" ref="R56:R66" si="32">IF(P$12=0,0,P56/P$12)</f>
        <v>4.0885497253340759E-4</v>
      </c>
      <c r="S56" s="1"/>
      <c r="T56" s="1">
        <f>SUM(OSRRefT22_2x_0)</f>
        <v>2700</v>
      </c>
      <c r="U56" s="1"/>
      <c r="V56" s="5">
        <f t="shared" ref="V56:V66" si="33">IF(T$12=0,0,T56/T$12)</f>
        <v>6.0552928978815218E-4</v>
      </c>
      <c r="W56" s="1"/>
      <c r="X56" s="1">
        <f t="shared" ref="X56:X66" si="34">+P56-T56</f>
        <v>-1902.75</v>
      </c>
      <c r="Y56" s="1"/>
      <c r="Z56" s="5">
        <f t="shared" ref="Z56:Z66" si="35">IF(T56=0,0,X56/T56)</f>
        <v>-0.70472222222222225</v>
      </c>
    </row>
    <row r="57" spans="1:26" s="24" customFormat="1" hidden="1" outlineLevel="2" x14ac:dyDescent="0.3">
      <c r="A57" s="27"/>
      <c r="B57" s="11" t="str">
        <f>CONCATENATE("          ", "6362", " - ", "ADVERTISING EXPENSE")</f>
        <v xml:space="preserve">          6362 - ADVERTISING EXPENSE</v>
      </c>
      <c r="C57" s="11"/>
      <c r="D57" s="7"/>
      <c r="E57" s="2"/>
      <c r="F57" s="6">
        <f t="shared" si="28"/>
        <v>0</v>
      </c>
      <c r="G57" s="2"/>
      <c r="H57" s="7">
        <v>400</v>
      </c>
      <c r="I57" s="2"/>
      <c r="J57" s="6">
        <f t="shared" si="29"/>
        <v>2.5153119615660332E-4</v>
      </c>
      <c r="K57" s="2"/>
      <c r="L57" s="7">
        <f t="shared" si="30"/>
        <v>-400</v>
      </c>
      <c r="M57" s="2"/>
      <c r="N57" s="6">
        <f t="shared" si="31"/>
        <v>-1</v>
      </c>
      <c r="O57" s="11"/>
      <c r="P57" s="7">
        <v>797.25</v>
      </c>
      <c r="Q57" s="2"/>
      <c r="R57" s="6">
        <f t="shared" si="32"/>
        <v>4.0885497253340759E-4</v>
      </c>
      <c r="S57" s="2"/>
      <c r="T57" s="7">
        <v>2700</v>
      </c>
      <c r="U57" s="2"/>
      <c r="V57" s="6">
        <f t="shared" si="33"/>
        <v>6.0552928978815218E-4</v>
      </c>
      <c r="W57" s="2"/>
      <c r="X57" s="7">
        <f t="shared" si="34"/>
        <v>-1902.75</v>
      </c>
      <c r="Y57" s="2"/>
      <c r="Z57" s="6">
        <f t="shared" si="35"/>
        <v>-0.70472222222222225</v>
      </c>
    </row>
    <row r="58" spans="1:26" s="28" customFormat="1" outlineLevel="1" collapsed="1" x14ac:dyDescent="0.3">
      <c r="A58" s="29"/>
      <c r="B58" s="14" t="str">
        <f>CONCATENATE("     ","Discounts and Markdowns                           ")</f>
        <v xml:space="preserve">     Discounts and Markdowns                           </v>
      </c>
      <c r="C58" s="14"/>
      <c r="D58" s="1">
        <f>SUM(OSRRefD22_3x_0)</f>
        <v>1.35</v>
      </c>
      <c r="E58" s="1"/>
      <c r="F58" s="5">
        <f t="shared" si="28"/>
        <v>2.4529930667332045E-6</v>
      </c>
      <c r="G58" s="1"/>
      <c r="H58" s="1">
        <f>SUM(OSRRefH22_3x_0)</f>
        <v>0</v>
      </c>
      <c r="I58" s="1"/>
      <c r="J58" s="5">
        <f t="shared" si="29"/>
        <v>0</v>
      </c>
      <c r="K58" s="1"/>
      <c r="L58" s="1">
        <f t="shared" si="30"/>
        <v>1.35</v>
      </c>
      <c r="M58" s="1"/>
      <c r="N58" s="5">
        <f t="shared" si="31"/>
        <v>0</v>
      </c>
      <c r="O58" s="14"/>
      <c r="P58" s="1">
        <f>SUM(OSRRefP22_3x_0)</f>
        <v>1.35</v>
      </c>
      <c r="Q58" s="1"/>
      <c r="R58" s="5">
        <f t="shared" si="32"/>
        <v>6.9232262517416156E-7</v>
      </c>
      <c r="S58" s="1"/>
      <c r="T58" s="1">
        <f>SUM(OSRRefT22_3x_0)</f>
        <v>0</v>
      </c>
      <c r="U58" s="1"/>
      <c r="V58" s="5">
        <f t="shared" si="33"/>
        <v>0</v>
      </c>
      <c r="W58" s="1"/>
      <c r="X58" s="1">
        <f t="shared" si="34"/>
        <v>1.35</v>
      </c>
      <c r="Y58" s="1"/>
      <c r="Z58" s="5">
        <f t="shared" si="35"/>
        <v>0</v>
      </c>
    </row>
    <row r="59" spans="1:26" s="24" customFormat="1" hidden="1" outlineLevel="2" x14ac:dyDescent="0.3">
      <c r="A59" s="27"/>
      <c r="B59" s="11" t="str">
        <f>CONCATENATE("          ", "6382", " - ", "DISCOUNTS/MARK DOWNS")</f>
        <v xml:space="preserve">          6382 - DISCOUNTS/MARK DOWNS</v>
      </c>
      <c r="C59" s="11"/>
      <c r="D59" s="7">
        <v>1.35</v>
      </c>
      <c r="E59" s="2"/>
      <c r="F59" s="6">
        <f t="shared" si="28"/>
        <v>2.4529930667332045E-6</v>
      </c>
      <c r="G59" s="2"/>
      <c r="H59" s="7"/>
      <c r="I59" s="2"/>
      <c r="J59" s="6">
        <f t="shared" si="29"/>
        <v>0</v>
      </c>
      <c r="K59" s="2"/>
      <c r="L59" s="7">
        <f t="shared" si="30"/>
        <v>1.35</v>
      </c>
      <c r="M59" s="2"/>
      <c r="N59" s="6">
        <f t="shared" si="31"/>
        <v>0</v>
      </c>
      <c r="O59" s="11"/>
      <c r="P59" s="7">
        <v>1.35</v>
      </c>
      <c r="Q59" s="2"/>
      <c r="R59" s="6">
        <f t="shared" si="32"/>
        <v>6.9232262517416156E-7</v>
      </c>
      <c r="S59" s="2"/>
      <c r="T59" s="7"/>
      <c r="U59" s="2"/>
      <c r="V59" s="6">
        <f t="shared" si="33"/>
        <v>0</v>
      </c>
      <c r="W59" s="2"/>
      <c r="X59" s="7">
        <f t="shared" si="34"/>
        <v>1.35</v>
      </c>
      <c r="Y59" s="2"/>
      <c r="Z59" s="6">
        <f t="shared" si="35"/>
        <v>0</v>
      </c>
    </row>
    <row r="60" spans="1:26" s="28" customFormat="1" outlineLevel="1" collapsed="1" x14ac:dyDescent="0.3">
      <c r="A60" s="29"/>
      <c r="B60" s="14" t="str">
        <f>CONCATENATE("     ","Employees' Appreciation                           ")</f>
        <v xml:space="preserve">     Employees' Appreciation                           </v>
      </c>
      <c r="C60" s="14"/>
      <c r="D60" s="1">
        <f>SUM(OSRRefD22_4x_0)</f>
        <v>0</v>
      </c>
      <c r="E60" s="1"/>
      <c r="F60" s="5">
        <f t="shared" si="28"/>
        <v>0</v>
      </c>
      <c r="G60" s="1"/>
      <c r="H60" s="1">
        <f>SUM(OSRRefH22_4x_0)</f>
        <v>50</v>
      </c>
      <c r="I60" s="1"/>
      <c r="J60" s="5">
        <f t="shared" si="29"/>
        <v>3.1441399519575415E-5</v>
      </c>
      <c r="K60" s="1"/>
      <c r="L60" s="1">
        <f t="shared" si="30"/>
        <v>-50</v>
      </c>
      <c r="M60" s="1"/>
      <c r="N60" s="5">
        <f t="shared" si="31"/>
        <v>-1</v>
      </c>
      <c r="O60" s="14"/>
      <c r="P60" s="1">
        <f>SUM(OSRRefP22_4x_0)</f>
        <v>0</v>
      </c>
      <c r="Q60" s="1"/>
      <c r="R60" s="5">
        <f t="shared" si="32"/>
        <v>0</v>
      </c>
      <c r="S60" s="1"/>
      <c r="T60" s="1">
        <f>SUM(OSRRefT22_4x_0)</f>
        <v>350</v>
      </c>
      <c r="U60" s="1"/>
      <c r="V60" s="5">
        <f t="shared" si="33"/>
        <v>7.8494537565130848E-5</v>
      </c>
      <c r="W60" s="1"/>
      <c r="X60" s="1">
        <f t="shared" si="34"/>
        <v>-350</v>
      </c>
      <c r="Y60" s="1"/>
      <c r="Z60" s="5">
        <f t="shared" si="35"/>
        <v>-1</v>
      </c>
    </row>
    <row r="61" spans="1:26" s="24" customFormat="1" hidden="1" outlineLevel="2" x14ac:dyDescent="0.3">
      <c r="A61" s="27"/>
      <c r="B61" s="11" t="str">
        <f>CONCATENATE("          ", "6277", " - ", "EMPLOYEE APPRECIATION")</f>
        <v xml:space="preserve">          6277 - EMPLOYEE APPRECIATION</v>
      </c>
      <c r="C61" s="11"/>
      <c r="D61" s="7"/>
      <c r="E61" s="2"/>
      <c r="F61" s="6">
        <f t="shared" si="28"/>
        <v>0</v>
      </c>
      <c r="G61" s="2"/>
      <c r="H61" s="7">
        <v>50</v>
      </c>
      <c r="I61" s="2"/>
      <c r="J61" s="6">
        <f t="shared" si="29"/>
        <v>3.1441399519575415E-5</v>
      </c>
      <c r="K61" s="2"/>
      <c r="L61" s="7">
        <f t="shared" si="30"/>
        <v>-50</v>
      </c>
      <c r="M61" s="2"/>
      <c r="N61" s="6">
        <f t="shared" si="31"/>
        <v>-1</v>
      </c>
      <c r="O61" s="11"/>
      <c r="P61" s="7"/>
      <c r="Q61" s="2"/>
      <c r="R61" s="6">
        <f t="shared" si="32"/>
        <v>0</v>
      </c>
      <c r="S61" s="2"/>
      <c r="T61" s="7">
        <v>350</v>
      </c>
      <c r="U61" s="2"/>
      <c r="V61" s="6">
        <f t="shared" si="33"/>
        <v>7.8494537565130848E-5</v>
      </c>
      <c r="W61" s="2"/>
      <c r="X61" s="7">
        <f t="shared" si="34"/>
        <v>-350</v>
      </c>
      <c r="Y61" s="2"/>
      <c r="Z61" s="6">
        <f t="shared" si="35"/>
        <v>-1</v>
      </c>
    </row>
    <row r="62" spans="1:26" s="28" customFormat="1" outlineLevel="1" collapsed="1" x14ac:dyDescent="0.3">
      <c r="A62" s="29"/>
      <c r="B62" s="14" t="str">
        <f>CONCATENATE("     ","Equipment Rental                                  ")</f>
        <v xml:space="preserve">     Equipment Rental                                  </v>
      </c>
      <c r="C62" s="14"/>
      <c r="D62" s="1">
        <f>SUM(OSRRefD22_5x_0)</f>
        <v>91.26</v>
      </c>
      <c r="E62" s="1"/>
      <c r="F62" s="5">
        <f t="shared" si="28"/>
        <v>1.6582233131116461E-4</v>
      </c>
      <c r="G62" s="1"/>
      <c r="H62" s="1">
        <f>SUM(OSRRefH22_5x_0)</f>
        <v>100</v>
      </c>
      <c r="I62" s="1"/>
      <c r="J62" s="5">
        <f t="shared" si="29"/>
        <v>6.2882799039150829E-5</v>
      </c>
      <c r="K62" s="1"/>
      <c r="L62" s="1">
        <f t="shared" si="30"/>
        <v>-8.7399999999999949</v>
      </c>
      <c r="M62" s="1"/>
      <c r="N62" s="5">
        <f t="shared" si="31"/>
        <v>-8.739999999999995E-2</v>
      </c>
      <c r="O62" s="14"/>
      <c r="P62" s="1">
        <f>SUM(OSRRefP22_5x_0)</f>
        <v>638.82000000000005</v>
      </c>
      <c r="Q62" s="1"/>
      <c r="R62" s="5">
        <f t="shared" si="32"/>
        <v>3.2760706623241321E-4</v>
      </c>
      <c r="S62" s="1"/>
      <c r="T62" s="1">
        <f>SUM(OSRRefT22_5x_0)</f>
        <v>700</v>
      </c>
      <c r="U62" s="1"/>
      <c r="V62" s="5">
        <f t="shared" si="33"/>
        <v>1.569890751302617E-4</v>
      </c>
      <c r="W62" s="1"/>
      <c r="X62" s="1">
        <f t="shared" si="34"/>
        <v>-61.17999999999995</v>
      </c>
      <c r="Y62" s="1"/>
      <c r="Z62" s="5">
        <f t="shared" si="35"/>
        <v>-8.7399999999999922E-2</v>
      </c>
    </row>
    <row r="63" spans="1:26" s="24" customFormat="1" hidden="1" outlineLevel="2" x14ac:dyDescent="0.3">
      <c r="A63" s="27"/>
      <c r="B63" s="11" t="str">
        <f>CONCATENATE("          ", "6351", " - ", "EQUIPMENT RENTAL")</f>
        <v xml:space="preserve">          6351 - EQUIPMENT RENTAL</v>
      </c>
      <c r="C63" s="11"/>
      <c r="D63" s="7">
        <v>91.26</v>
      </c>
      <c r="E63" s="2"/>
      <c r="F63" s="6">
        <f t="shared" si="28"/>
        <v>1.6582233131116461E-4</v>
      </c>
      <c r="G63" s="2"/>
      <c r="H63" s="7">
        <v>100</v>
      </c>
      <c r="I63" s="2"/>
      <c r="J63" s="6">
        <f t="shared" si="29"/>
        <v>6.2882799039150829E-5</v>
      </c>
      <c r="K63" s="2"/>
      <c r="L63" s="7">
        <f t="shared" si="30"/>
        <v>-8.7399999999999949</v>
      </c>
      <c r="M63" s="2"/>
      <c r="N63" s="6">
        <f t="shared" si="31"/>
        <v>-8.739999999999995E-2</v>
      </c>
      <c r="O63" s="11"/>
      <c r="P63" s="7">
        <v>638.82000000000005</v>
      </c>
      <c r="Q63" s="2"/>
      <c r="R63" s="6">
        <f t="shared" si="32"/>
        <v>3.2760706623241321E-4</v>
      </c>
      <c r="S63" s="2"/>
      <c r="T63" s="7">
        <v>700</v>
      </c>
      <c r="U63" s="2"/>
      <c r="V63" s="6">
        <f t="shared" si="33"/>
        <v>1.569890751302617E-4</v>
      </c>
      <c r="W63" s="2"/>
      <c r="X63" s="7">
        <f t="shared" si="34"/>
        <v>-61.17999999999995</v>
      </c>
      <c r="Y63" s="2"/>
      <c r="Z63" s="6">
        <f t="shared" si="35"/>
        <v>-8.7399999999999922E-2</v>
      </c>
    </row>
    <row r="64" spans="1:26" s="28" customFormat="1" outlineLevel="1" collapsed="1" x14ac:dyDescent="0.3">
      <c r="A64" s="29"/>
      <c r="B64" s="14" t="str">
        <f>CONCATENATE("     ","Freight out/Postage                               ")</f>
        <v xml:space="preserve">     Freight out/Postage                               </v>
      </c>
      <c r="C64" s="14"/>
      <c r="D64" s="1">
        <f>SUM(OSRRefD22_6x_0)</f>
        <v>1131.33</v>
      </c>
      <c r="E64" s="1"/>
      <c r="F64" s="5">
        <f t="shared" si="28"/>
        <v>2.0556627008794636E-3</v>
      </c>
      <c r="G64" s="1"/>
      <c r="H64" s="1">
        <f>SUM(OSRRefH22_6x_0)</f>
        <v>800</v>
      </c>
      <c r="I64" s="1"/>
      <c r="J64" s="5">
        <f t="shared" si="29"/>
        <v>5.0306239231320664E-4</v>
      </c>
      <c r="K64" s="1"/>
      <c r="L64" s="1">
        <f t="shared" si="30"/>
        <v>331.32999999999993</v>
      </c>
      <c r="M64" s="1"/>
      <c r="N64" s="5">
        <f t="shared" si="31"/>
        <v>0.41416249999999993</v>
      </c>
      <c r="O64" s="14"/>
      <c r="P64" s="1">
        <f>SUM(OSRRefP22_6x_0)</f>
        <v>5622.11</v>
      </c>
      <c r="Q64" s="1"/>
      <c r="R64" s="5">
        <f t="shared" si="32"/>
        <v>2.8831955216428924E-3</v>
      </c>
      <c r="S64" s="1"/>
      <c r="T64" s="1">
        <f>SUM(OSRRefT22_6x_0)</f>
        <v>8700</v>
      </c>
      <c r="U64" s="1"/>
      <c r="V64" s="5">
        <f t="shared" si="33"/>
        <v>1.9511499337618238E-3</v>
      </c>
      <c r="W64" s="1"/>
      <c r="X64" s="1">
        <f t="shared" si="34"/>
        <v>-3077.8900000000003</v>
      </c>
      <c r="Y64" s="1"/>
      <c r="Z64" s="5">
        <f t="shared" si="35"/>
        <v>-0.35378045977011496</v>
      </c>
    </row>
    <row r="65" spans="1:26" s="24" customFormat="1" hidden="1" outlineLevel="2" x14ac:dyDescent="0.3">
      <c r="A65" s="27"/>
      <c r="B65" s="11" t="str">
        <f>CONCATENATE("          ", "6305", " - ", "FREIGHT OUT")</f>
        <v xml:space="preserve">          6305 - FREIGHT OUT</v>
      </c>
      <c r="C65" s="11"/>
      <c r="D65" s="7">
        <v>1130.8</v>
      </c>
      <c r="E65" s="2"/>
      <c r="F65" s="6">
        <f t="shared" si="28"/>
        <v>2.054699673971783E-3</v>
      </c>
      <c r="G65" s="2"/>
      <c r="H65" s="7">
        <v>800</v>
      </c>
      <c r="I65" s="2"/>
      <c r="J65" s="6">
        <f t="shared" si="29"/>
        <v>5.0306239231320664E-4</v>
      </c>
      <c r="K65" s="2"/>
      <c r="L65" s="7">
        <f t="shared" si="30"/>
        <v>330.79999999999995</v>
      </c>
      <c r="M65" s="2"/>
      <c r="N65" s="6">
        <f t="shared" si="31"/>
        <v>0.41349999999999992</v>
      </c>
      <c r="O65" s="11"/>
      <c r="P65" s="7">
        <v>5621.58</v>
      </c>
      <c r="Q65" s="2"/>
      <c r="R65" s="6">
        <f t="shared" si="32"/>
        <v>2.882923720908565E-3</v>
      </c>
      <c r="S65" s="2"/>
      <c r="T65" s="7">
        <v>8700</v>
      </c>
      <c r="U65" s="2"/>
      <c r="V65" s="6">
        <f t="shared" si="33"/>
        <v>1.9511499337618238E-3</v>
      </c>
      <c r="W65" s="2"/>
      <c r="X65" s="7">
        <f t="shared" si="34"/>
        <v>-3078.42</v>
      </c>
      <c r="Y65" s="2"/>
      <c r="Z65" s="6">
        <f t="shared" si="35"/>
        <v>-0.35384137931034482</v>
      </c>
    </row>
    <row r="66" spans="1:26" s="24" customFormat="1" hidden="1" outlineLevel="2" x14ac:dyDescent="0.3">
      <c r="A66" s="27"/>
      <c r="B66" s="11" t="str">
        <f>CONCATENATE("          ", "6307", " - ", "POSTAGE")</f>
        <v xml:space="preserve">          6307 - POSTAGE</v>
      </c>
      <c r="C66" s="11"/>
      <c r="D66" s="7">
        <v>0.53</v>
      </c>
      <c r="E66" s="2"/>
      <c r="F66" s="6">
        <f t="shared" si="28"/>
        <v>9.6302690768044318E-7</v>
      </c>
      <c r="G66" s="2"/>
      <c r="H66" s="7"/>
      <c r="I66" s="2"/>
      <c r="J66" s="6">
        <f t="shared" si="29"/>
        <v>0</v>
      </c>
      <c r="K66" s="2"/>
      <c r="L66" s="7">
        <f t="shared" si="30"/>
        <v>0.53</v>
      </c>
      <c r="M66" s="2"/>
      <c r="N66" s="6">
        <f t="shared" si="31"/>
        <v>0</v>
      </c>
      <c r="O66" s="11"/>
      <c r="P66" s="7">
        <v>0.53</v>
      </c>
      <c r="Q66" s="2"/>
      <c r="R66" s="6">
        <f t="shared" si="32"/>
        <v>2.7180073432763377E-7</v>
      </c>
      <c r="S66" s="2"/>
      <c r="T66" s="7"/>
      <c r="U66" s="2"/>
      <c r="V66" s="6">
        <f t="shared" si="33"/>
        <v>0</v>
      </c>
      <c r="W66" s="2"/>
      <c r="X66" s="7">
        <f t="shared" si="34"/>
        <v>0.53</v>
      </c>
      <c r="Y66" s="2"/>
      <c r="Z66" s="6">
        <f t="shared" si="35"/>
        <v>0</v>
      </c>
    </row>
    <row r="67" spans="1:26" s="28" customFormat="1" outlineLevel="1" collapsed="1" x14ac:dyDescent="0.3">
      <c r="A67" s="29"/>
      <c r="B67" s="14" t="str">
        <f>CONCATENATE("     ","General                                           ")</f>
        <v xml:space="preserve">     General                                           </v>
      </c>
      <c r="C67" s="14"/>
      <c r="D67" s="1">
        <f>SUM(OSRRefD22_7x_0)</f>
        <v>0</v>
      </c>
      <c r="E67" s="1"/>
      <c r="F67" s="5">
        <f t="shared" ref="F67:F74" si="36">IF(D$12=0,0,D67/D$12)</f>
        <v>0</v>
      </c>
      <c r="G67" s="1"/>
      <c r="H67" s="1">
        <f>SUM(OSRRefH22_7x_0)</f>
        <v>0</v>
      </c>
      <c r="I67" s="1"/>
      <c r="J67" s="5">
        <f t="shared" ref="J67:J74" si="37">IF(H$12=0,0,H67/H$12)</f>
        <v>0</v>
      </c>
      <c r="K67" s="1"/>
      <c r="L67" s="1">
        <f t="shared" ref="L67:L74" si="38">+D67-H67</f>
        <v>0</v>
      </c>
      <c r="M67" s="1"/>
      <c r="N67" s="5">
        <f t="shared" ref="N67:N74" si="39">IF(H67=0,0,L67/H67)</f>
        <v>0</v>
      </c>
      <c r="O67" s="14"/>
      <c r="P67" s="1">
        <f>SUM(OSRRefP22_7x_0)</f>
        <v>0</v>
      </c>
      <c r="Q67" s="1"/>
      <c r="R67" s="5">
        <f t="shared" ref="R67:R74" si="40">IF(P$12=0,0,P67/P$12)</f>
        <v>0</v>
      </c>
      <c r="S67" s="1"/>
      <c r="T67" s="1">
        <f>SUM(OSRRefT22_7x_0)</f>
        <v>1375</v>
      </c>
      <c r="U67" s="1"/>
      <c r="V67" s="5">
        <f t="shared" ref="V67:V74" si="41">IF(T$12=0,0,T67/T$12)</f>
        <v>3.0837139757729974E-4</v>
      </c>
      <c r="W67" s="1"/>
      <c r="X67" s="1">
        <f t="shared" ref="X67:X74" si="42">+P67-T67</f>
        <v>-1375</v>
      </c>
      <c r="Y67" s="1"/>
      <c r="Z67" s="5">
        <f t="shared" ref="Z67:Z74" si="43">IF(T67=0,0,X67/T67)</f>
        <v>-1</v>
      </c>
    </row>
    <row r="68" spans="1:26" s="24" customFormat="1" hidden="1" outlineLevel="2" x14ac:dyDescent="0.3">
      <c r="A68" s="27"/>
      <c r="B68" s="11" t="str">
        <f>CONCATENATE("          ", "6279", " - ", "GENERAL EXPENSE")</f>
        <v xml:space="preserve">          6279 - GENERAL EXPENSE</v>
      </c>
      <c r="C68" s="11"/>
      <c r="D68" s="7"/>
      <c r="E68" s="2"/>
      <c r="F68" s="6">
        <f t="shared" si="36"/>
        <v>0</v>
      </c>
      <c r="G68" s="2"/>
      <c r="H68" s="7">
        <v>0</v>
      </c>
      <c r="I68" s="2"/>
      <c r="J68" s="6">
        <f t="shared" si="37"/>
        <v>0</v>
      </c>
      <c r="K68" s="2"/>
      <c r="L68" s="7">
        <f t="shared" si="38"/>
        <v>0</v>
      </c>
      <c r="M68" s="2"/>
      <c r="N68" s="6">
        <f t="shared" si="39"/>
        <v>0</v>
      </c>
      <c r="O68" s="11"/>
      <c r="P68" s="7"/>
      <c r="Q68" s="2"/>
      <c r="R68" s="6">
        <f t="shared" si="40"/>
        <v>0</v>
      </c>
      <c r="S68" s="2"/>
      <c r="T68" s="7">
        <v>1375</v>
      </c>
      <c r="U68" s="2"/>
      <c r="V68" s="6">
        <f t="shared" si="41"/>
        <v>3.0837139757729974E-4</v>
      </c>
      <c r="W68" s="2"/>
      <c r="X68" s="7">
        <f t="shared" si="42"/>
        <v>-1375</v>
      </c>
      <c r="Y68" s="2"/>
      <c r="Z68" s="6">
        <f t="shared" si="43"/>
        <v>-1</v>
      </c>
    </row>
    <row r="69" spans="1:26" s="28" customFormat="1" outlineLevel="1" collapsed="1" x14ac:dyDescent="0.3">
      <c r="A69" s="29"/>
      <c r="B69" s="14" t="str">
        <f>CONCATENATE("     ","Inventory Adjustment                              ")</f>
        <v xml:space="preserve">     Inventory Adjustment                              </v>
      </c>
      <c r="C69" s="14"/>
      <c r="D69" s="1">
        <f>SUM(OSRRefD22_8x_0)</f>
        <v>1000</v>
      </c>
      <c r="E69" s="1"/>
      <c r="F69" s="5">
        <f t="shared" si="36"/>
        <v>1.817031901283855E-3</v>
      </c>
      <c r="G69" s="1"/>
      <c r="H69" s="1">
        <f>SUM(OSRRefH22_8x_0)</f>
        <v>1000</v>
      </c>
      <c r="I69" s="1"/>
      <c r="J69" s="5">
        <f t="shared" si="37"/>
        <v>6.2882799039150827E-4</v>
      </c>
      <c r="K69" s="1"/>
      <c r="L69" s="1">
        <f t="shared" si="38"/>
        <v>0</v>
      </c>
      <c r="M69" s="1"/>
      <c r="N69" s="5">
        <f t="shared" si="39"/>
        <v>0</v>
      </c>
      <c r="O69" s="14"/>
      <c r="P69" s="1">
        <f>SUM(OSRRefP22_8x_0)</f>
        <v>11000</v>
      </c>
      <c r="Q69" s="1"/>
      <c r="R69" s="5">
        <f t="shared" si="40"/>
        <v>5.641147316233908E-3</v>
      </c>
      <c r="S69" s="1"/>
      <c r="T69" s="1">
        <f>SUM(OSRRefT22_8x_0)</f>
        <v>11000</v>
      </c>
      <c r="U69" s="1"/>
      <c r="V69" s="5">
        <f t="shared" si="41"/>
        <v>2.4669711806183979E-3</v>
      </c>
      <c r="W69" s="1"/>
      <c r="X69" s="1">
        <f t="shared" si="42"/>
        <v>0</v>
      </c>
      <c r="Y69" s="1"/>
      <c r="Z69" s="5">
        <f t="shared" si="43"/>
        <v>0</v>
      </c>
    </row>
    <row r="70" spans="1:26" s="24" customFormat="1" hidden="1" outlineLevel="2" x14ac:dyDescent="0.3">
      <c r="A70" s="27"/>
      <c r="B70" s="11" t="str">
        <f>CONCATENATE("          ", "6408", " - ", "INVENTORY ADJUSTMENT")</f>
        <v xml:space="preserve">          6408 - INVENTORY ADJUSTMENT</v>
      </c>
      <c r="C70" s="11"/>
      <c r="D70" s="7">
        <v>1000</v>
      </c>
      <c r="E70" s="2"/>
      <c r="F70" s="6">
        <f t="shared" si="36"/>
        <v>1.817031901283855E-3</v>
      </c>
      <c r="G70" s="2"/>
      <c r="H70" s="7">
        <v>1000</v>
      </c>
      <c r="I70" s="2"/>
      <c r="J70" s="6">
        <f t="shared" si="37"/>
        <v>6.2882799039150827E-4</v>
      </c>
      <c r="K70" s="2"/>
      <c r="L70" s="7">
        <f t="shared" si="38"/>
        <v>0</v>
      </c>
      <c r="M70" s="2"/>
      <c r="N70" s="6">
        <f t="shared" si="39"/>
        <v>0</v>
      </c>
      <c r="O70" s="11"/>
      <c r="P70" s="7">
        <v>11000</v>
      </c>
      <c r="Q70" s="2"/>
      <c r="R70" s="6">
        <f t="shared" si="40"/>
        <v>5.641147316233908E-3</v>
      </c>
      <c r="S70" s="2"/>
      <c r="T70" s="7">
        <v>11000</v>
      </c>
      <c r="U70" s="2"/>
      <c r="V70" s="6">
        <f t="shared" si="41"/>
        <v>2.4669711806183979E-3</v>
      </c>
      <c r="W70" s="2"/>
      <c r="X70" s="7">
        <f t="shared" si="42"/>
        <v>0</v>
      </c>
      <c r="Y70" s="2"/>
      <c r="Z70" s="6">
        <f t="shared" si="43"/>
        <v>0</v>
      </c>
    </row>
    <row r="71" spans="1:26" s="28" customFormat="1" outlineLevel="1" collapsed="1" x14ac:dyDescent="0.3">
      <c r="A71" s="29"/>
      <c r="B71" s="14" t="str">
        <f>CONCATENATE("     ","Repair and Maintenance                            ")</f>
        <v xml:space="preserve">     Repair and Maintenance                            </v>
      </c>
      <c r="C71" s="14"/>
      <c r="D71" s="1">
        <f>SUM(OSRRefD22_9x_0)</f>
        <v>9.94</v>
      </c>
      <c r="E71" s="1"/>
      <c r="F71" s="5">
        <f t="shared" si="36"/>
        <v>1.8061297098761519E-5</v>
      </c>
      <c r="G71" s="1"/>
      <c r="H71" s="1">
        <f>SUM(OSRRefH22_9x_0)</f>
        <v>80</v>
      </c>
      <c r="I71" s="1"/>
      <c r="J71" s="5">
        <f t="shared" si="37"/>
        <v>5.0306239231320662E-5</v>
      </c>
      <c r="K71" s="1"/>
      <c r="L71" s="1">
        <f t="shared" si="38"/>
        <v>-70.06</v>
      </c>
      <c r="M71" s="1"/>
      <c r="N71" s="5">
        <f t="shared" si="39"/>
        <v>-0.87575000000000003</v>
      </c>
      <c r="O71" s="14"/>
      <c r="P71" s="1">
        <f>SUM(OSRRefP22_9x_0)</f>
        <v>5879</v>
      </c>
      <c r="Q71" s="1"/>
      <c r="R71" s="5">
        <f t="shared" si="40"/>
        <v>3.0149368247399224E-3</v>
      </c>
      <c r="S71" s="1"/>
      <c r="T71" s="1">
        <f>SUM(OSRRefT22_9x_0)</f>
        <v>560</v>
      </c>
      <c r="U71" s="1"/>
      <c r="V71" s="5">
        <f t="shared" si="41"/>
        <v>1.2559126010420934E-4</v>
      </c>
      <c r="W71" s="1"/>
      <c r="X71" s="1">
        <f t="shared" si="42"/>
        <v>5319</v>
      </c>
      <c r="Y71" s="1"/>
      <c r="Z71" s="5">
        <f t="shared" si="43"/>
        <v>9.4982142857142851</v>
      </c>
    </row>
    <row r="72" spans="1:26" s="24" customFormat="1" hidden="1" outlineLevel="2" x14ac:dyDescent="0.3">
      <c r="A72" s="27"/>
      <c r="B72" s="11" t="str">
        <f>CONCATENATE("          ", "6371", " - ", "COMPUTER SOFTWARE MAINTENANCE")</f>
        <v xml:space="preserve">          6371 - COMPUTER SOFTWARE MAINTENANCE</v>
      </c>
      <c r="C72" s="11"/>
      <c r="D72" s="7"/>
      <c r="E72" s="2"/>
      <c r="F72" s="6">
        <f t="shared" si="36"/>
        <v>0</v>
      </c>
      <c r="G72" s="2"/>
      <c r="H72" s="7"/>
      <c r="I72" s="2"/>
      <c r="J72" s="6">
        <f t="shared" si="37"/>
        <v>0</v>
      </c>
      <c r="K72" s="2"/>
      <c r="L72" s="7">
        <f t="shared" si="38"/>
        <v>0</v>
      </c>
      <c r="M72" s="2"/>
      <c r="N72" s="6">
        <f t="shared" si="39"/>
        <v>0</v>
      </c>
      <c r="O72" s="11"/>
      <c r="P72" s="7">
        <v>5775</v>
      </c>
      <c r="Q72" s="2"/>
      <c r="R72" s="6">
        <f t="shared" si="40"/>
        <v>2.9616023410228018E-3</v>
      </c>
      <c r="S72" s="2"/>
      <c r="T72" s="7"/>
      <c r="U72" s="2"/>
      <c r="V72" s="6">
        <f t="shared" si="41"/>
        <v>0</v>
      </c>
      <c r="W72" s="2"/>
      <c r="X72" s="7">
        <f t="shared" si="42"/>
        <v>5775</v>
      </c>
      <c r="Y72" s="2"/>
      <c r="Z72" s="6">
        <f t="shared" si="43"/>
        <v>0</v>
      </c>
    </row>
    <row r="73" spans="1:26" s="24" customFormat="1" hidden="1" outlineLevel="2" x14ac:dyDescent="0.3">
      <c r="A73" s="27"/>
      <c r="B73" s="11" t="str">
        <f>CONCATENATE("          ", "6373", " - ", "MAINTENANCE CONTRACTS")</f>
        <v xml:space="preserve">          6373 - MAINTENANCE CONTRACTS</v>
      </c>
      <c r="C73" s="11"/>
      <c r="D73" s="7">
        <v>9.94</v>
      </c>
      <c r="E73" s="2"/>
      <c r="F73" s="6">
        <f t="shared" si="36"/>
        <v>1.8061297098761519E-5</v>
      </c>
      <c r="G73" s="2"/>
      <c r="H73" s="7">
        <v>40</v>
      </c>
      <c r="I73" s="2"/>
      <c r="J73" s="6">
        <f t="shared" si="37"/>
        <v>2.5153119615660331E-5</v>
      </c>
      <c r="K73" s="2"/>
      <c r="L73" s="7">
        <f t="shared" si="38"/>
        <v>-30.060000000000002</v>
      </c>
      <c r="M73" s="2"/>
      <c r="N73" s="6">
        <f t="shared" si="39"/>
        <v>-0.75150000000000006</v>
      </c>
      <c r="O73" s="11"/>
      <c r="P73" s="7">
        <v>104</v>
      </c>
      <c r="Q73" s="2"/>
      <c r="R73" s="6">
        <f t="shared" si="40"/>
        <v>5.3334483717120586E-5</v>
      </c>
      <c r="S73" s="2"/>
      <c r="T73" s="7">
        <v>280</v>
      </c>
      <c r="U73" s="2"/>
      <c r="V73" s="6">
        <f t="shared" si="41"/>
        <v>6.279563005210467E-5</v>
      </c>
      <c r="W73" s="2"/>
      <c r="X73" s="7">
        <f t="shared" si="42"/>
        <v>-176</v>
      </c>
      <c r="Y73" s="2"/>
      <c r="Z73" s="6">
        <f t="shared" si="43"/>
        <v>-0.62857142857142856</v>
      </c>
    </row>
    <row r="74" spans="1:26" s="24" customFormat="1" hidden="1" outlineLevel="2" x14ac:dyDescent="0.3">
      <c r="A74" s="27"/>
      <c r="B74" s="11" t="str">
        <f>CONCATENATE("          ", "6375", " - ", "OUTSIDE REPAIRS &amp; MAINTENANCE")</f>
        <v xml:space="preserve">          6375 - OUTSIDE REPAIRS &amp; MAINTENANCE</v>
      </c>
      <c r="C74" s="11"/>
      <c r="D74" s="7"/>
      <c r="E74" s="2"/>
      <c r="F74" s="6">
        <f t="shared" si="36"/>
        <v>0</v>
      </c>
      <c r="G74" s="2"/>
      <c r="H74" s="7">
        <v>40</v>
      </c>
      <c r="I74" s="2"/>
      <c r="J74" s="6">
        <f t="shared" si="37"/>
        <v>2.5153119615660331E-5</v>
      </c>
      <c r="K74" s="2"/>
      <c r="L74" s="7">
        <f t="shared" si="38"/>
        <v>-40</v>
      </c>
      <c r="M74" s="2"/>
      <c r="N74" s="6">
        <f t="shared" si="39"/>
        <v>-1</v>
      </c>
      <c r="O74" s="11"/>
      <c r="P74" s="7"/>
      <c r="Q74" s="2"/>
      <c r="R74" s="6">
        <f t="shared" si="40"/>
        <v>0</v>
      </c>
      <c r="S74" s="2"/>
      <c r="T74" s="7">
        <v>280</v>
      </c>
      <c r="U74" s="2"/>
      <c r="V74" s="6">
        <f t="shared" si="41"/>
        <v>6.279563005210467E-5</v>
      </c>
      <c r="W74" s="2"/>
      <c r="X74" s="7">
        <f t="shared" si="42"/>
        <v>-280</v>
      </c>
      <c r="Y74" s="2"/>
      <c r="Z74" s="6">
        <f t="shared" si="43"/>
        <v>-1</v>
      </c>
    </row>
    <row r="75" spans="1:26" s="28" customFormat="1" outlineLevel="1" collapsed="1" x14ac:dyDescent="0.3">
      <c r="A75" s="29"/>
      <c r="B75" s="14" t="str">
        <f>CONCATENATE("     ","Subscriptions &amp; Dues                              ")</f>
        <v xml:space="preserve">     Subscriptions &amp; Dues                              </v>
      </c>
      <c r="C75" s="14"/>
      <c r="D75" s="1">
        <f>SUM(OSRRefD22_10x_0)</f>
        <v>301.99</v>
      </c>
      <c r="E75" s="1"/>
      <c r="F75" s="5">
        <f t="shared" ref="F75:F77" si="44">IF(D$12=0,0,D75/D$12)</f>
        <v>5.4872546386871136E-4</v>
      </c>
      <c r="G75" s="1"/>
      <c r="H75" s="1">
        <f>SUM(OSRRefH22_10x_0)</f>
        <v>2200</v>
      </c>
      <c r="I75" s="1"/>
      <c r="J75" s="5">
        <f t="shared" ref="J75:J77" si="45">IF(H$12=0,0,H75/H$12)</f>
        <v>1.3834215788613182E-3</v>
      </c>
      <c r="K75" s="1"/>
      <c r="L75" s="1">
        <f t="shared" ref="L75:L77" si="46">+D75-H75</f>
        <v>-1898.01</v>
      </c>
      <c r="M75" s="1"/>
      <c r="N75" s="5">
        <f t="shared" ref="N75:N77" si="47">IF(H75=0,0,L75/H75)</f>
        <v>-0.86273181818181821</v>
      </c>
      <c r="O75" s="14"/>
      <c r="P75" s="1">
        <f>SUM(OSRRefP22_10x_0)</f>
        <v>1813.73</v>
      </c>
      <c r="Q75" s="1"/>
      <c r="R75" s="5">
        <f t="shared" ref="R75:R77" si="48">IF(P$12=0,0,P75/P$12)</f>
        <v>9.30138011079357E-4</v>
      </c>
      <c r="S75" s="1"/>
      <c r="T75" s="1">
        <f>SUM(OSRRefT22_10x_0)</f>
        <v>4000</v>
      </c>
      <c r="U75" s="1"/>
      <c r="V75" s="5">
        <f t="shared" ref="V75:V77" si="49">IF(T$12=0,0,T75/T$12)</f>
        <v>8.9708042931578103E-4</v>
      </c>
      <c r="W75" s="1"/>
      <c r="X75" s="1">
        <f t="shared" ref="X75:X77" si="50">+P75-T75</f>
        <v>-2186.27</v>
      </c>
      <c r="Y75" s="1"/>
      <c r="Z75" s="5">
        <f t="shared" ref="Z75:Z77" si="51">IF(T75=0,0,X75/T75)</f>
        <v>-0.54656749999999998</v>
      </c>
    </row>
    <row r="76" spans="1:26" s="24" customFormat="1" hidden="1" outlineLevel="2" x14ac:dyDescent="0.3">
      <c r="A76" s="27"/>
      <c r="B76" s="11" t="str">
        <f>CONCATENATE("          ", "6258", " - ", "MEMBERSHIP DUES")</f>
        <v xml:space="preserve">          6258 - MEMBERSHIP DUES</v>
      </c>
      <c r="C76" s="11"/>
      <c r="D76" s="7">
        <v>301.99</v>
      </c>
      <c r="E76" s="2"/>
      <c r="F76" s="6">
        <f t="shared" si="44"/>
        <v>5.4872546386871136E-4</v>
      </c>
      <c r="G76" s="2"/>
      <c r="H76" s="7">
        <v>300</v>
      </c>
      <c r="I76" s="2"/>
      <c r="J76" s="6">
        <f t="shared" si="45"/>
        <v>1.886483971174525E-4</v>
      </c>
      <c r="K76" s="2"/>
      <c r="L76" s="7">
        <f t="shared" si="46"/>
        <v>1.9900000000000091</v>
      </c>
      <c r="M76" s="2"/>
      <c r="N76" s="6">
        <f t="shared" si="47"/>
        <v>6.6333333333333635E-3</v>
      </c>
      <c r="O76" s="11"/>
      <c r="P76" s="7">
        <v>1813.73</v>
      </c>
      <c r="Q76" s="2"/>
      <c r="R76" s="6">
        <f t="shared" si="48"/>
        <v>9.30138011079357E-4</v>
      </c>
      <c r="S76" s="2"/>
      <c r="T76" s="7">
        <v>2100</v>
      </c>
      <c r="U76" s="2"/>
      <c r="V76" s="6">
        <f t="shared" si="49"/>
        <v>4.7096722539078506E-4</v>
      </c>
      <c r="W76" s="2"/>
      <c r="X76" s="7">
        <f t="shared" si="50"/>
        <v>-286.27</v>
      </c>
      <c r="Y76" s="2"/>
      <c r="Z76" s="6">
        <f t="shared" si="51"/>
        <v>-0.13631904761904762</v>
      </c>
    </row>
    <row r="77" spans="1:26" s="24" customFormat="1" hidden="1" outlineLevel="2" x14ac:dyDescent="0.3">
      <c r="A77" s="27"/>
      <c r="B77" s="11" t="str">
        <f>CONCATENATE("          ", "6275", " - ", "SUBSCRIPTIONS")</f>
        <v xml:space="preserve">          6275 - SUBSCRIPTIONS</v>
      </c>
      <c r="C77" s="11"/>
      <c r="D77" s="7"/>
      <c r="E77" s="2"/>
      <c r="F77" s="6">
        <f t="shared" si="44"/>
        <v>0</v>
      </c>
      <c r="G77" s="2"/>
      <c r="H77" s="7">
        <v>1900</v>
      </c>
      <c r="I77" s="2"/>
      <c r="J77" s="6">
        <f t="shared" si="45"/>
        <v>1.1947731817438657E-3</v>
      </c>
      <c r="K77" s="2"/>
      <c r="L77" s="7">
        <f t="shared" si="46"/>
        <v>-1900</v>
      </c>
      <c r="M77" s="2"/>
      <c r="N77" s="6">
        <f t="shared" si="47"/>
        <v>-1</v>
      </c>
      <c r="O77" s="11"/>
      <c r="P77" s="7"/>
      <c r="Q77" s="2"/>
      <c r="R77" s="6">
        <f t="shared" si="48"/>
        <v>0</v>
      </c>
      <c r="S77" s="2"/>
      <c r="T77" s="7">
        <v>1900</v>
      </c>
      <c r="U77" s="2"/>
      <c r="V77" s="6">
        <f t="shared" si="49"/>
        <v>4.2611320392499602E-4</v>
      </c>
      <c r="W77" s="2"/>
      <c r="X77" s="7">
        <f t="shared" si="50"/>
        <v>-1900</v>
      </c>
      <c r="Y77" s="2"/>
      <c r="Z77" s="6">
        <f t="shared" si="51"/>
        <v>-1</v>
      </c>
    </row>
    <row r="78" spans="1:26" s="28" customFormat="1" outlineLevel="1" collapsed="1" x14ac:dyDescent="0.3">
      <c r="A78" s="29"/>
      <c r="B78" s="14" t="str">
        <f>CONCATENATE("     ","Supplies                                          ")</f>
        <v xml:space="preserve">     Supplies                                          </v>
      </c>
      <c r="C78" s="14"/>
      <c r="D78" s="1">
        <f>SUM(OSRRefD22_11x_0)</f>
        <v>45</v>
      </c>
      <c r="E78" s="1"/>
      <c r="F78" s="5">
        <f t="shared" ref="F78:F80" si="52">IF(D$12=0,0,D78/D$12)</f>
        <v>8.1766435557773472E-5</v>
      </c>
      <c r="G78" s="1"/>
      <c r="H78" s="1">
        <f>SUM(OSRRefH22_11x_0)</f>
        <v>800</v>
      </c>
      <c r="I78" s="1"/>
      <c r="J78" s="5">
        <f t="shared" ref="J78:J80" si="53">IF(H$12=0,0,H78/H$12)</f>
        <v>5.0306239231320664E-4</v>
      </c>
      <c r="K78" s="1"/>
      <c r="L78" s="1">
        <f t="shared" ref="L78:L80" si="54">+D78-H78</f>
        <v>-755</v>
      </c>
      <c r="M78" s="1"/>
      <c r="N78" s="5">
        <f t="shared" ref="N78:N80" si="55">IF(H78=0,0,L78/H78)</f>
        <v>-0.94374999999999998</v>
      </c>
      <c r="O78" s="14"/>
      <c r="P78" s="1">
        <f>SUM(OSRRefP22_11x_0)</f>
        <v>1120.77</v>
      </c>
      <c r="Q78" s="1"/>
      <c r="R78" s="5">
        <f t="shared" ref="R78:R80" si="56">IF(P$12=0,0,P78/P$12)</f>
        <v>5.7476624341958884E-4</v>
      </c>
      <c r="S78" s="1"/>
      <c r="T78" s="1">
        <f>SUM(OSRRefT22_11x_0)</f>
        <v>5600</v>
      </c>
      <c r="U78" s="1"/>
      <c r="V78" s="5">
        <f t="shared" ref="V78:V80" si="57">IF(T$12=0,0,T78/T$12)</f>
        <v>1.2559126010420936E-3</v>
      </c>
      <c r="W78" s="1"/>
      <c r="X78" s="1">
        <f t="shared" ref="X78:X80" si="58">+P78-T78</f>
        <v>-4479.2299999999996</v>
      </c>
      <c r="Y78" s="1"/>
      <c r="Z78" s="5">
        <f t="shared" ref="Z78:Z80" si="59">IF(T78=0,0,X78/T78)</f>
        <v>-0.79986249999999992</v>
      </c>
    </row>
    <row r="79" spans="1:26" s="24" customFormat="1" hidden="1" outlineLevel="2" x14ac:dyDescent="0.3">
      <c r="A79" s="27"/>
      <c r="B79" s="11" t="str">
        <f>CONCATENATE("          ", "6241", " - ", "OFFICE EXPENSE")</f>
        <v xml:space="preserve">          6241 - OFFICE EXPENSE</v>
      </c>
      <c r="C79" s="11"/>
      <c r="D79" s="7">
        <v>45</v>
      </c>
      <c r="E79" s="2"/>
      <c r="F79" s="6">
        <f t="shared" si="52"/>
        <v>8.1766435557773472E-5</v>
      </c>
      <c r="G79" s="2"/>
      <c r="H79" s="7">
        <v>500</v>
      </c>
      <c r="I79" s="2"/>
      <c r="J79" s="6">
        <f t="shared" si="53"/>
        <v>3.1441399519575413E-4</v>
      </c>
      <c r="K79" s="2"/>
      <c r="L79" s="7">
        <f t="shared" si="54"/>
        <v>-455</v>
      </c>
      <c r="M79" s="2"/>
      <c r="N79" s="6">
        <f t="shared" si="55"/>
        <v>-0.91</v>
      </c>
      <c r="O79" s="11"/>
      <c r="P79" s="7">
        <v>1120.77</v>
      </c>
      <c r="Q79" s="2"/>
      <c r="R79" s="6">
        <f t="shared" si="56"/>
        <v>5.7476624341958884E-4</v>
      </c>
      <c r="S79" s="2"/>
      <c r="T79" s="7">
        <v>3100</v>
      </c>
      <c r="U79" s="2"/>
      <c r="V79" s="6">
        <f t="shared" si="57"/>
        <v>6.9523733271973037E-4</v>
      </c>
      <c r="W79" s="2"/>
      <c r="X79" s="7">
        <f t="shared" si="58"/>
        <v>-1979.23</v>
      </c>
      <c r="Y79" s="2"/>
      <c r="Z79" s="6">
        <f t="shared" si="59"/>
        <v>-0.6384612903225807</v>
      </c>
    </row>
    <row r="80" spans="1:26" s="24" customFormat="1" hidden="1" outlineLevel="2" x14ac:dyDescent="0.3">
      <c r="A80" s="27"/>
      <c r="B80" s="11" t="str">
        <f>CONCATENATE("          ", "6247", " - ", "STORE SUPPLIES")</f>
        <v xml:space="preserve">          6247 - STORE SUPPLIES</v>
      </c>
      <c r="C80" s="11"/>
      <c r="D80" s="7"/>
      <c r="E80" s="2"/>
      <c r="F80" s="6">
        <f t="shared" si="52"/>
        <v>0</v>
      </c>
      <c r="G80" s="2"/>
      <c r="H80" s="7">
        <v>300</v>
      </c>
      <c r="I80" s="2"/>
      <c r="J80" s="6">
        <f t="shared" si="53"/>
        <v>1.886483971174525E-4</v>
      </c>
      <c r="K80" s="2"/>
      <c r="L80" s="7">
        <f t="shared" si="54"/>
        <v>-300</v>
      </c>
      <c r="M80" s="2"/>
      <c r="N80" s="6">
        <f t="shared" si="55"/>
        <v>-1</v>
      </c>
      <c r="O80" s="11"/>
      <c r="P80" s="7"/>
      <c r="Q80" s="2"/>
      <c r="R80" s="6">
        <f t="shared" si="56"/>
        <v>0</v>
      </c>
      <c r="S80" s="2"/>
      <c r="T80" s="7">
        <v>2500</v>
      </c>
      <c r="U80" s="2"/>
      <c r="V80" s="6">
        <f t="shared" si="57"/>
        <v>5.606752683223632E-4</v>
      </c>
      <c r="W80" s="2"/>
      <c r="X80" s="7">
        <f t="shared" si="58"/>
        <v>-2500</v>
      </c>
      <c r="Y80" s="2"/>
      <c r="Z80" s="6">
        <f t="shared" si="59"/>
        <v>-1</v>
      </c>
    </row>
    <row r="81" spans="1:26" s="28" customFormat="1" outlineLevel="1" collapsed="1" x14ac:dyDescent="0.3">
      <c r="A81" s="29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SUM(OSRRefD22_12x_0)</f>
        <v>1011.65</v>
      </c>
      <c r="E81" s="1"/>
      <c r="F81" s="5">
        <f t="shared" ref="F81:F83" si="60">IF(D$12=0,0,D81/D$12)</f>
        <v>1.8382003229338118E-3</v>
      </c>
      <c r="G81" s="1"/>
      <c r="H81" s="1">
        <f>SUM(OSRRefH22_12x_0)</f>
        <v>450</v>
      </c>
      <c r="I81" s="1"/>
      <c r="J81" s="5">
        <f t="shared" ref="J81:J83" si="61">IF(H$12=0,0,H81/H$12)</f>
        <v>2.8297259567617873E-4</v>
      </c>
      <c r="K81" s="1"/>
      <c r="L81" s="1">
        <f t="shared" ref="L81:L83" si="62">+D81-H81</f>
        <v>561.65</v>
      </c>
      <c r="M81" s="1"/>
      <c r="N81" s="5">
        <f t="shared" ref="N81:N83" si="63">IF(H81=0,0,L81/H81)</f>
        <v>1.2481111111111112</v>
      </c>
      <c r="O81" s="14"/>
      <c r="P81" s="1">
        <f>SUM(OSRRefP22_12x_0)</f>
        <v>4090.5</v>
      </c>
      <c r="Q81" s="1"/>
      <c r="R81" s="5">
        <f t="shared" ref="R81:R83" si="64">IF(P$12=0,0,P81/P$12)</f>
        <v>2.0977375542777094E-3</v>
      </c>
      <c r="S81" s="1"/>
      <c r="T81" s="1">
        <f>SUM(OSRRefT22_12x_0)</f>
        <v>3050</v>
      </c>
      <c r="U81" s="1"/>
      <c r="V81" s="5">
        <f t="shared" ref="V81:V83" si="65">IF(T$12=0,0,T81/T$12)</f>
        <v>6.8402382735328307E-4</v>
      </c>
      <c r="W81" s="1"/>
      <c r="X81" s="1">
        <f t="shared" ref="X81:X83" si="66">+P81-T81</f>
        <v>1040.5</v>
      </c>
      <c r="Y81" s="1"/>
      <c r="Z81" s="5">
        <f t="shared" ref="Z81:Z83" si="67">IF(T81=0,0,X81/T81)</f>
        <v>0.34114754098360656</v>
      </c>
    </row>
    <row r="82" spans="1:26" s="24" customFormat="1" hidden="1" outlineLevel="2" x14ac:dyDescent="0.3">
      <c r="A82" s="27"/>
      <c r="B82" s="11" t="str">
        <f>CONCATENATE("          ", "6303", " - ", "DATA PHONE LINES")</f>
        <v xml:space="preserve">          6303 - DATA PHONE LINES</v>
      </c>
      <c r="C82" s="11"/>
      <c r="D82" s="7"/>
      <c r="E82" s="2"/>
      <c r="F82" s="6">
        <f t="shared" si="60"/>
        <v>0</v>
      </c>
      <c r="G82" s="2"/>
      <c r="H82" s="7">
        <v>0</v>
      </c>
      <c r="I82" s="2"/>
      <c r="J82" s="6">
        <f t="shared" si="61"/>
        <v>0</v>
      </c>
      <c r="K82" s="2"/>
      <c r="L82" s="7">
        <f t="shared" si="62"/>
        <v>0</v>
      </c>
      <c r="M82" s="2"/>
      <c r="N82" s="6">
        <f t="shared" si="63"/>
        <v>0</v>
      </c>
      <c r="O82" s="11"/>
      <c r="P82" s="7">
        <v>295</v>
      </c>
      <c r="Q82" s="2"/>
      <c r="R82" s="6">
        <f t="shared" si="64"/>
        <v>1.5128531438990937E-4</v>
      </c>
      <c r="S82" s="2"/>
      <c r="T82" s="7">
        <v>0</v>
      </c>
      <c r="U82" s="2"/>
      <c r="V82" s="6">
        <f t="shared" si="65"/>
        <v>0</v>
      </c>
      <c r="W82" s="2"/>
      <c r="X82" s="7">
        <f t="shared" si="66"/>
        <v>295</v>
      </c>
      <c r="Y82" s="2"/>
      <c r="Z82" s="6">
        <f t="shared" si="67"/>
        <v>0</v>
      </c>
    </row>
    <row r="83" spans="1:26" s="24" customFormat="1" hidden="1" outlineLevel="2" x14ac:dyDescent="0.3">
      <c r="A83" s="27"/>
      <c r="B83" s="11" t="str">
        <f>CONCATENATE("          ", "6309", " - ", "TELEPHONE")</f>
        <v xml:space="preserve">          6309 - TELEPHONE</v>
      </c>
      <c r="C83" s="11"/>
      <c r="D83" s="7">
        <v>1011.65</v>
      </c>
      <c r="E83" s="2"/>
      <c r="F83" s="6">
        <f t="shared" si="60"/>
        <v>1.8382003229338118E-3</v>
      </c>
      <c r="G83" s="2"/>
      <c r="H83" s="7">
        <v>450</v>
      </c>
      <c r="I83" s="2"/>
      <c r="J83" s="6">
        <f t="shared" si="61"/>
        <v>2.8297259567617873E-4</v>
      </c>
      <c r="K83" s="2"/>
      <c r="L83" s="7">
        <f t="shared" si="62"/>
        <v>561.65</v>
      </c>
      <c r="M83" s="2"/>
      <c r="N83" s="6">
        <f t="shared" si="63"/>
        <v>1.2481111111111112</v>
      </c>
      <c r="O83" s="11"/>
      <c r="P83" s="7">
        <v>3795.5</v>
      </c>
      <c r="Q83" s="2"/>
      <c r="R83" s="6">
        <f t="shared" si="64"/>
        <v>1.9464522398877999E-3</v>
      </c>
      <c r="S83" s="2"/>
      <c r="T83" s="7">
        <v>3050</v>
      </c>
      <c r="U83" s="2"/>
      <c r="V83" s="6">
        <f t="shared" si="65"/>
        <v>6.8402382735328307E-4</v>
      </c>
      <c r="W83" s="2"/>
      <c r="X83" s="7">
        <f t="shared" si="66"/>
        <v>745.5</v>
      </c>
      <c r="Y83" s="2"/>
      <c r="Z83" s="6">
        <f t="shared" si="67"/>
        <v>0.24442622950819673</v>
      </c>
    </row>
    <row r="84" spans="1:26" s="28" customFormat="1" outlineLevel="1" collapsed="1" x14ac:dyDescent="0.3">
      <c r="A84" s="29"/>
      <c r="B84" s="14" t="str">
        <f>CONCATENATE("     ","Training                                          ")</f>
        <v xml:space="preserve">     Training                                          </v>
      </c>
      <c r="C84" s="14"/>
      <c r="D84" s="1">
        <f>SUM(OSRRefD22_13x_0)</f>
        <v>0</v>
      </c>
      <c r="E84" s="1"/>
      <c r="F84" s="5">
        <f t="shared" ref="F84:F85" si="68">IF(D$12=0,0,D84/D$12)</f>
        <v>0</v>
      </c>
      <c r="G84" s="1"/>
      <c r="H84" s="1">
        <f>SUM(OSRRefH22_13x_0)</f>
        <v>0</v>
      </c>
      <c r="I84" s="1"/>
      <c r="J84" s="5">
        <f t="shared" ref="J84:J85" si="69">IF(H$12=0,0,H84/H$12)</f>
        <v>0</v>
      </c>
      <c r="K84" s="1"/>
      <c r="L84" s="1">
        <f t="shared" ref="L84:L85" si="70">+D84-H84</f>
        <v>0</v>
      </c>
      <c r="M84" s="1"/>
      <c r="N84" s="5">
        <f t="shared" ref="N84:N85" si="71">IF(H84=0,0,L84/H84)</f>
        <v>0</v>
      </c>
      <c r="O84" s="14"/>
      <c r="P84" s="1">
        <f>SUM(OSRRefP22_13x_0)</f>
        <v>0</v>
      </c>
      <c r="Q84" s="1"/>
      <c r="R84" s="5">
        <f t="shared" ref="R84:R85" si="72">IF(P$12=0,0,P84/P$12)</f>
        <v>0</v>
      </c>
      <c r="S84" s="1"/>
      <c r="T84" s="1">
        <f>SUM(OSRRefT22_13x_0)</f>
        <v>0</v>
      </c>
      <c r="U84" s="1"/>
      <c r="V84" s="5">
        <f t="shared" ref="V84:V85" si="73">IF(T$12=0,0,T84/T$12)</f>
        <v>0</v>
      </c>
      <c r="W84" s="1"/>
      <c r="X84" s="1">
        <f t="shared" ref="X84:X85" si="74">+P84-T84</f>
        <v>0</v>
      </c>
      <c r="Y84" s="1"/>
      <c r="Z84" s="5">
        <f t="shared" ref="Z84:Z85" si="75">IF(T84=0,0,X84/T84)</f>
        <v>0</v>
      </c>
    </row>
    <row r="85" spans="1:26" s="24" customFormat="1" hidden="1" outlineLevel="2" x14ac:dyDescent="0.3">
      <c r="A85" s="27"/>
      <c r="B85" s="11" t="str">
        <f>CONCATENATE("          ", "6376", " - ", "TRAINING")</f>
        <v xml:space="preserve">          6376 - TRAINING</v>
      </c>
      <c r="C85" s="11"/>
      <c r="D85" s="7"/>
      <c r="E85" s="2"/>
      <c r="F85" s="6">
        <f t="shared" si="68"/>
        <v>0</v>
      </c>
      <c r="G85" s="2"/>
      <c r="H85" s="7">
        <v>0</v>
      </c>
      <c r="I85" s="2"/>
      <c r="J85" s="6">
        <f t="shared" si="69"/>
        <v>0</v>
      </c>
      <c r="K85" s="2"/>
      <c r="L85" s="7">
        <f t="shared" si="70"/>
        <v>0</v>
      </c>
      <c r="M85" s="2"/>
      <c r="N85" s="6">
        <f t="shared" si="71"/>
        <v>0</v>
      </c>
      <c r="O85" s="11"/>
      <c r="P85" s="7"/>
      <c r="Q85" s="2"/>
      <c r="R85" s="6">
        <f t="shared" si="72"/>
        <v>0</v>
      </c>
      <c r="S85" s="2"/>
      <c r="T85" s="7">
        <v>0</v>
      </c>
      <c r="U85" s="2"/>
      <c r="V85" s="6">
        <f t="shared" si="73"/>
        <v>0</v>
      </c>
      <c r="W85" s="2"/>
      <c r="X85" s="7">
        <f t="shared" si="74"/>
        <v>0</v>
      </c>
      <c r="Y85" s="2"/>
      <c r="Z85" s="6">
        <f t="shared" si="75"/>
        <v>0</v>
      </c>
    </row>
    <row r="86" spans="1:26" s="55" customFormat="1" x14ac:dyDescent="0.3">
      <c r="A86" s="36"/>
      <c r="B86" s="36"/>
      <c r="C86" s="36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6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collapsed="1" x14ac:dyDescent="0.3">
      <c r="A87" s="10"/>
      <c r="B87" s="25" t="s">
        <v>293</v>
      </c>
      <c r="C87" s="10"/>
      <c r="D87" s="4">
        <f>SUM(OSRRefD25x_0)</f>
        <v>3325.2000000000003</v>
      </c>
      <c r="E87" s="4"/>
      <c r="F87" s="12">
        <f t="shared" ref="F87:F91" si="76">IF(D$12=0,0,D87/D$12)</f>
        <v>6.0419944781490752E-3</v>
      </c>
      <c r="G87" s="4"/>
      <c r="H87" s="4">
        <f>SUM(OSRRefH25x_0)</f>
        <v>8853.33</v>
      </c>
      <c r="I87" s="4"/>
      <c r="J87" s="12">
        <f t="shared" ref="J87:J91" si="77">IF(H$12=0,0,H87/H$12)</f>
        <v>5.5672217121728526E-3</v>
      </c>
      <c r="K87" s="4"/>
      <c r="L87" s="4">
        <f t="shared" ref="L87:L91" si="78">+D87-H87</f>
        <v>-5528.1299999999992</v>
      </c>
      <c r="M87" s="4"/>
      <c r="N87" s="12">
        <f t="shared" ref="N87:N91" si="79">IF(H87=0,0,L87/H87)</f>
        <v>-0.62441250919145674</v>
      </c>
      <c r="O87" s="10"/>
      <c r="P87" s="4">
        <f>SUM(OSRRefP25x_0)</f>
        <v>194228.91999999998</v>
      </c>
      <c r="Q87" s="4"/>
      <c r="R87" s="12">
        <f t="shared" ref="R87:R91" si="80">IF(P$12=0,0,P87/P$12)</f>
        <v>9.9606722799364583E-2</v>
      </c>
      <c r="S87" s="4"/>
      <c r="T87" s="4">
        <f>SUM(OSRRefT25x_0)</f>
        <v>193339.83</v>
      </c>
      <c r="U87" s="4"/>
      <c r="V87" s="12">
        <f t="shared" ref="V87:V91" si="81">IF(T$12=0,0,T87/T$12)</f>
        <v>4.3360344425060031E-2</v>
      </c>
      <c r="W87" s="4"/>
      <c r="X87" s="4">
        <f t="shared" ref="X87:X91" si="82">+P87-T87</f>
        <v>889.08999999999651</v>
      </c>
      <c r="Y87" s="4"/>
      <c r="Z87" s="12">
        <f t="shared" ref="Z87:Z91" si="83">IF(T87=0,0,X87/T87)</f>
        <v>4.5985868509349397E-3</v>
      </c>
    </row>
    <row r="88" spans="1:26" s="24" customFormat="1" hidden="1" outlineLevel="1" x14ac:dyDescent="0.3">
      <c r="A88" s="44"/>
      <c r="B88" s="11" t="str">
        <f>CONCATENATE("          ", "9150", " - ", "MISC. INCOME")</f>
        <v xml:space="preserve">          9150 - MISC. INCOME</v>
      </c>
      <c r="C88" s="11"/>
      <c r="D88" s="2">
        <f>--0.01</f>
        <v>0.01</v>
      </c>
      <c r="E88" s="2"/>
      <c r="F88" s="19">
        <f t="shared" si="76"/>
        <v>1.817031901283855E-8</v>
      </c>
      <c r="G88" s="2"/>
      <c r="H88" s="2">
        <v>6788</v>
      </c>
      <c r="I88" s="2"/>
      <c r="J88" s="19">
        <f t="shared" si="77"/>
        <v>4.2684843987775582E-3</v>
      </c>
      <c r="K88" s="2"/>
      <c r="L88" s="2">
        <f t="shared" si="78"/>
        <v>-6787.99</v>
      </c>
      <c r="M88" s="2"/>
      <c r="N88" s="19">
        <f t="shared" si="79"/>
        <v>-0.99999852681202117</v>
      </c>
      <c r="O88" s="11"/>
      <c r="P88" s="2">
        <f>--19313.27</f>
        <v>19313.27</v>
      </c>
      <c r="Q88" s="2"/>
      <c r="R88" s="19">
        <f t="shared" si="80"/>
        <v>9.9044546571091692E-3</v>
      </c>
      <c r="S88" s="2"/>
      <c r="T88" s="2">
        <v>29294</v>
      </c>
      <c r="U88" s="2"/>
      <c r="V88" s="19">
        <f t="shared" si="81"/>
        <v>6.5697685240941224E-3</v>
      </c>
      <c r="W88" s="2"/>
      <c r="X88" s="2">
        <f t="shared" si="82"/>
        <v>-9980.73</v>
      </c>
      <c r="Y88" s="2"/>
      <c r="Z88" s="19">
        <f t="shared" si="83"/>
        <v>-0.34070901891172251</v>
      </c>
    </row>
    <row r="89" spans="1:26" s="24" customFormat="1" hidden="1" outlineLevel="1" x14ac:dyDescent="0.3">
      <c r="A89" s="44"/>
      <c r="B89" s="11" t="str">
        <f>CONCATENATE("          ", "9151", " - ", "MISC. INCOME")</f>
        <v xml:space="preserve">          9151 - MISC. INCOME</v>
      </c>
      <c r="C89" s="11"/>
      <c r="D89" s="2">
        <f>--2958.75</f>
        <v>2958.75</v>
      </c>
      <c r="E89" s="2"/>
      <c r="F89" s="19">
        <f t="shared" si="76"/>
        <v>5.3761431379236056E-3</v>
      </c>
      <c r="G89" s="2"/>
      <c r="H89" s="2">
        <v>2065.33</v>
      </c>
      <c r="I89" s="2"/>
      <c r="J89" s="19">
        <f t="shared" si="77"/>
        <v>1.2987373133952938E-3</v>
      </c>
      <c r="K89" s="2"/>
      <c r="L89" s="2">
        <f t="shared" si="78"/>
        <v>893.42000000000007</v>
      </c>
      <c r="M89" s="2"/>
      <c r="N89" s="19">
        <f t="shared" si="79"/>
        <v>0.43257978143928577</v>
      </c>
      <c r="O89" s="11"/>
      <c r="P89" s="2">
        <f>--171422.11</f>
        <v>171422.11</v>
      </c>
      <c r="Q89" s="2"/>
      <c r="R89" s="19">
        <f t="shared" si="80"/>
        <v>8.791067052451397E-2</v>
      </c>
      <c r="S89" s="2"/>
      <c r="T89" s="2">
        <v>164045.82999999999</v>
      </c>
      <c r="U89" s="2"/>
      <c r="V89" s="19">
        <f t="shared" si="81"/>
        <v>3.6790575900965905E-2</v>
      </c>
      <c r="W89" s="2"/>
      <c r="X89" s="2">
        <f t="shared" si="82"/>
        <v>7376.2799999999988</v>
      </c>
      <c r="Y89" s="2"/>
      <c r="Z89" s="19">
        <f t="shared" si="83"/>
        <v>4.4964751618495877E-2</v>
      </c>
    </row>
    <row r="90" spans="1:26" s="24" customFormat="1" hidden="1" outlineLevel="1" x14ac:dyDescent="0.3">
      <c r="A90" s="44"/>
      <c r="B90" s="11" t="str">
        <f>CONCATENATE("          ", "9152", " - ", "MISC. INCOME")</f>
        <v xml:space="preserve">          9152 - MISC. INCOME</v>
      </c>
      <c r="C90" s="11"/>
      <c r="D90" s="2">
        <f>--366.44</f>
        <v>366.44</v>
      </c>
      <c r="E90" s="2"/>
      <c r="F90" s="19">
        <f t="shared" si="76"/>
        <v>6.6583316990645577E-4</v>
      </c>
      <c r="G90" s="2"/>
      <c r="H90" s="2"/>
      <c r="I90" s="2"/>
      <c r="J90" s="19">
        <f t="shared" si="77"/>
        <v>0</v>
      </c>
      <c r="K90" s="2"/>
      <c r="L90" s="2">
        <f t="shared" si="78"/>
        <v>366.44</v>
      </c>
      <c r="M90" s="2"/>
      <c r="N90" s="19">
        <f t="shared" si="79"/>
        <v>0</v>
      </c>
      <c r="O90" s="11"/>
      <c r="P90" s="2">
        <f>--3493.54</f>
        <v>3493.54</v>
      </c>
      <c r="Q90" s="2"/>
      <c r="R90" s="19">
        <f t="shared" si="80"/>
        <v>1.791597617741437E-3</v>
      </c>
      <c r="S90" s="2"/>
      <c r="T90" s="2"/>
      <c r="U90" s="2"/>
      <c r="V90" s="19">
        <f t="shared" si="81"/>
        <v>0</v>
      </c>
      <c r="W90" s="2"/>
      <c r="X90" s="2">
        <f t="shared" si="82"/>
        <v>3493.54</v>
      </c>
      <c r="Y90" s="2"/>
      <c r="Z90" s="19">
        <f t="shared" si="83"/>
        <v>0</v>
      </c>
    </row>
    <row r="91" spans="1:26" s="24" customFormat="1" hidden="1" outlineLevel="1" x14ac:dyDescent="0.3">
      <c r="A91" s="44"/>
      <c r="B91" s="11" t="str">
        <f>CONCATENATE("          ", "9160", " - ", "MISC. INCOME")</f>
        <v xml:space="preserve">          9160 - MISC. INCOME</v>
      </c>
      <c r="C91" s="11"/>
      <c r="D91" s="2">
        <f>0</f>
        <v>0</v>
      </c>
      <c r="E91" s="2"/>
      <c r="F91" s="19">
        <f t="shared" si="76"/>
        <v>0</v>
      </c>
      <c r="G91" s="2"/>
      <c r="H91" s="2">
        <v>0</v>
      </c>
      <c r="I91" s="2"/>
      <c r="J91" s="19">
        <f t="shared" si="77"/>
        <v>0</v>
      </c>
      <c r="K91" s="2"/>
      <c r="L91" s="2">
        <f t="shared" si="78"/>
        <v>0</v>
      </c>
      <c r="M91" s="2"/>
      <c r="N91" s="19">
        <f t="shared" si="79"/>
        <v>0</v>
      </c>
      <c r="O91" s="11"/>
      <c r="P91" s="2">
        <f>0</f>
        <v>0</v>
      </c>
      <c r="Q91" s="2"/>
      <c r="R91" s="19">
        <f t="shared" si="80"/>
        <v>0</v>
      </c>
      <c r="S91" s="2"/>
      <c r="T91" s="2">
        <v>0</v>
      </c>
      <c r="U91" s="2"/>
      <c r="V91" s="19">
        <f t="shared" si="81"/>
        <v>0</v>
      </c>
      <c r="W91" s="2"/>
      <c r="X91" s="2">
        <f t="shared" si="82"/>
        <v>0</v>
      </c>
      <c r="Y91" s="2"/>
      <c r="Z91" s="19">
        <f t="shared" si="83"/>
        <v>0</v>
      </c>
    </row>
    <row r="92" spans="1:26" x14ac:dyDescent="0.3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3">
      <c r="A93" s="10"/>
      <c r="B93" s="26" t="s">
        <v>277</v>
      </c>
      <c r="C93" s="26"/>
      <c r="D93" s="21">
        <f>+D31-D33+D87</f>
        <v>135460.41999999993</v>
      </c>
      <c r="E93" s="13"/>
      <c r="F93" s="22">
        <f>IF(D$12=0,0,D93/D$12)</f>
        <v>0.2461359045013094</v>
      </c>
      <c r="G93" s="13"/>
      <c r="H93" s="21">
        <f>+H31-H33+H87</f>
        <v>368449.85508376284</v>
      </c>
      <c r="I93" s="13"/>
      <c r="J93" s="22">
        <f>IF(H$12=0,0,H93/H$12)</f>
        <v>0.23169158193236505</v>
      </c>
      <c r="K93" s="15"/>
      <c r="L93" s="21">
        <f>+D93-H93</f>
        <v>-232989.43508376292</v>
      </c>
      <c r="M93" s="15"/>
      <c r="N93" s="22">
        <f>IF(H93=0,0,L93/H93)</f>
        <v>-0.63235045927971789</v>
      </c>
      <c r="O93" s="25"/>
      <c r="P93" s="21">
        <f>+P31-P33+P87</f>
        <v>305584.35000000015</v>
      </c>
      <c r="Q93" s="13"/>
      <c r="R93" s="22">
        <f>IF(P$12=0,0,P93/P$12)</f>
        <v>0.15671330326232583</v>
      </c>
      <c r="S93" s="13"/>
      <c r="T93" s="21">
        <f>+T31-T33+T87</f>
        <v>1023658.8575303295</v>
      </c>
      <c r="U93" s="13"/>
      <c r="V93" s="22">
        <f>IF(T$12=0,0,T93/T$12)</f>
        <v>0.22957608184655248</v>
      </c>
      <c r="W93" s="15"/>
      <c r="X93" s="21">
        <f>+P93-T93</f>
        <v>-718074.50753032928</v>
      </c>
      <c r="Y93" s="15"/>
      <c r="Z93" s="22">
        <f>IF(T93=0,0,X93/T93)</f>
        <v>-0.70147833162187412</v>
      </c>
    </row>
    <row r="94" spans="1:26" x14ac:dyDescent="0.3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3">
      <c r="A95" s="52"/>
      <c r="B95" s="10" t="s">
        <v>128</v>
      </c>
      <c r="C95" s="10"/>
      <c r="D95" s="4">
        <v>89638.67</v>
      </c>
      <c r="E95" s="4"/>
      <c r="F95" s="12">
        <f>IF(D$12=0,0,D95/D$12)</f>
        <v>0.16287632297865604</v>
      </c>
      <c r="G95" s="4"/>
      <c r="H95" s="4">
        <v>187278</v>
      </c>
      <c r="I95" s="4"/>
      <c r="J95" s="12">
        <f>IF(H$12=0,0,H95/H$12)</f>
        <v>0.11776564838454089</v>
      </c>
      <c r="K95" s="4"/>
      <c r="L95" s="4">
        <f>+D95-H95</f>
        <v>-97639.33</v>
      </c>
      <c r="M95" s="4"/>
      <c r="N95" s="12">
        <f>IF(H95=0,0,L95/H95)</f>
        <v>-0.52136038402802254</v>
      </c>
      <c r="O95" s="10"/>
      <c r="P95" s="4">
        <v>258110.83</v>
      </c>
      <c r="Q95" s="4"/>
      <c r="R95" s="12">
        <f>IF(P$12=0,0,P95/P$12)</f>
        <v>0.13236738326776423</v>
      </c>
      <c r="S95" s="4"/>
      <c r="T95" s="4">
        <v>558685</v>
      </c>
      <c r="U95" s="4"/>
      <c r="V95" s="12">
        <f>IF(T$12=0,0,T95/T$12)</f>
        <v>0.12529634491307179</v>
      </c>
      <c r="W95" s="4"/>
      <c r="X95" s="4">
        <f>+P95-T95</f>
        <v>-300574.17000000004</v>
      </c>
      <c r="Y95" s="4"/>
      <c r="Z95" s="12">
        <f>IF(T95=0,0,X95/T95)</f>
        <v>-0.53800293546452838</v>
      </c>
    </row>
    <row r="96" spans="1:26" x14ac:dyDescent="0.3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" thickBot="1" x14ac:dyDescent="0.35">
      <c r="A97" s="10"/>
      <c r="B97" s="26" t="s">
        <v>126</v>
      </c>
      <c r="C97" s="26"/>
      <c r="D97" s="32">
        <f>+D93-D95</f>
        <v>45821.749999999927</v>
      </c>
      <c r="E97" s="13"/>
      <c r="F97" s="31">
        <f>IF(D$12=0,0,D97/D$12)</f>
        <v>8.325958152265335E-2</v>
      </c>
      <c r="G97" s="13"/>
      <c r="H97" s="32">
        <f>+H93-H95</f>
        <v>181171.85508376284</v>
      </c>
      <c r="I97" s="13"/>
      <c r="J97" s="31">
        <f>IF(H$12=0,0,H97/H$12)</f>
        <v>0.11392593354782415</v>
      </c>
      <c r="K97" s="15"/>
      <c r="L97" s="32">
        <f>D97-H97</f>
        <v>-135350.1050837629</v>
      </c>
      <c r="M97" s="15"/>
      <c r="N97" s="31">
        <f>IF(H97=0,0,L97/H97)</f>
        <v>-0.74708130035531872</v>
      </c>
      <c r="O97" s="25"/>
      <c r="P97" s="32">
        <f>+P93-P95</f>
        <v>47473.520000000164</v>
      </c>
      <c r="Q97" s="13"/>
      <c r="R97" s="31">
        <f>IF(P$12=0,0,P97/P$12)</f>
        <v>2.4345919994561607E-2</v>
      </c>
      <c r="S97" s="13"/>
      <c r="T97" s="32">
        <f>+T93-T95</f>
        <v>464973.85753032949</v>
      </c>
      <c r="U97" s="13"/>
      <c r="V97" s="31">
        <f>IF(T$12=0,0,T97/T$12)</f>
        <v>0.10427973693348069</v>
      </c>
      <c r="W97" s="15"/>
      <c r="X97" s="32">
        <f>P97-T97</f>
        <v>-417500.33753032936</v>
      </c>
      <c r="Y97" s="15"/>
      <c r="Z97" s="31">
        <f>IF(T97=0,0,X97/T97)</f>
        <v>-0.89790066854048134</v>
      </c>
    </row>
    <row r="98" spans="1:26" ht="15" thickTop="1" x14ac:dyDescent="0.3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3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" thickBot="1" x14ac:dyDescent="0.35">
      <c r="A100" s="10"/>
      <c r="B100" s="26" t="s">
        <v>294</v>
      </c>
      <c r="C100" s="26"/>
      <c r="D100" s="34">
        <f>SUM(D97:D99)</f>
        <v>45821.749999999927</v>
      </c>
      <c r="E100" s="13"/>
      <c r="F100" s="35">
        <f>IF(D$12=0,0,D100/D$12)</f>
        <v>8.325958152265335E-2</v>
      </c>
      <c r="G100" s="13"/>
      <c r="H100" s="34">
        <f>SUM(H97:H99)</f>
        <v>181171.85508376284</v>
      </c>
      <c r="I100" s="13"/>
      <c r="J100" s="35">
        <f>IF(H$12=0,0,H100/H$12)</f>
        <v>0.11392593354782415</v>
      </c>
      <c r="K100" s="15"/>
      <c r="L100" s="34">
        <f>+D100-H100</f>
        <v>-135350.1050837629</v>
      </c>
      <c r="M100" s="15"/>
      <c r="N100" s="35">
        <f>IF(H100=0,0,L100/H100)</f>
        <v>-0.74708130035531872</v>
      </c>
      <c r="O100" s="25"/>
      <c r="P100" s="34">
        <f>SUM(P97:P99)</f>
        <v>47473.520000000164</v>
      </c>
      <c r="Q100" s="13"/>
      <c r="R100" s="35">
        <f>IF(P$12=0,0,P100/P$12)</f>
        <v>2.4345919994561607E-2</v>
      </c>
      <c r="S100" s="13"/>
      <c r="T100" s="34">
        <f>SUM(T97:T99)</f>
        <v>464973.85753032949</v>
      </c>
      <c r="U100" s="13"/>
      <c r="V100" s="35">
        <f>IF(T$12=0,0,T100/T$12)</f>
        <v>0.10427973693348069</v>
      </c>
      <c r="W100" s="15"/>
      <c r="X100" s="34">
        <f>+P100-T100</f>
        <v>-417500.33753032936</v>
      </c>
      <c r="Y100" s="15"/>
      <c r="Z100" s="35">
        <f>IF(T100=0,0,X100/T100)</f>
        <v>-0.89790066854048134</v>
      </c>
    </row>
    <row r="101" spans="1:26" ht="15" thickTop="1" x14ac:dyDescent="0.3">
      <c r="A101" s="9"/>
      <c r="C101" s="9"/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3">
      <c r="A102" s="9"/>
      <c r="B102" s="53">
        <v>44604.019973877315</v>
      </c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3">
      <c r="A103" s="9"/>
      <c r="B103" s="63" t="s">
        <v>56</v>
      </c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3">
      <c r="A104" s="9"/>
      <c r="B104" s="58"/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3"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  <outlinePr summaryBelow="0" summaryRight="0"/>
  </sheetPr>
  <dimension ref="A2:Z10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","311", " - ", "Textbooks")</f>
        <v>Department 311 - Textbooks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482806.89</v>
      </c>
      <c r="E12" s="4"/>
      <c r="F12" s="12"/>
      <c r="G12" s="4"/>
      <c r="H12" s="4">
        <f>SUM(OSRRefH13x_0)</f>
        <v>1048263</v>
      </c>
      <c r="I12" s="4"/>
      <c r="J12" s="12"/>
      <c r="K12" s="4"/>
      <c r="L12" s="4">
        <f t="shared" ref="L12:L17" si="0">+D12-H12</f>
        <v>-565456.11</v>
      </c>
      <c r="M12" s="4"/>
      <c r="N12" s="12">
        <f t="shared" ref="N12:N17" si="1">IF(H12=0,0,L12/H12)</f>
        <v>-0.5394219866579284</v>
      </c>
      <c r="O12" s="10"/>
      <c r="P12" s="4">
        <f>SUM(OSRRefP13x_0)</f>
        <v>1548518.92</v>
      </c>
      <c r="Q12" s="4"/>
      <c r="R12" s="12"/>
      <c r="S12" s="4"/>
      <c r="T12" s="4">
        <f>SUM(OSRRefT13x_0)</f>
        <v>2988816</v>
      </c>
      <c r="U12" s="4"/>
      <c r="V12" s="12"/>
      <c r="W12" s="4"/>
      <c r="X12" s="4">
        <f t="shared" ref="X12:X17" si="2">+P12-T12</f>
        <v>-1440297.08</v>
      </c>
      <c r="Y12" s="4"/>
      <c r="Z12" s="12">
        <f t="shared" ref="Z12:Z17" si="3">IF(T12=0,0,X12/T12)</f>
        <v>-0.4818955332144903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--419997.89</f>
        <v>419997.89</v>
      </c>
      <c r="E13" s="2"/>
      <c r="F13" s="19"/>
      <c r="G13" s="2"/>
      <c r="H13" s="2">
        <v>1048263</v>
      </c>
      <c r="I13" s="2"/>
      <c r="J13" s="19"/>
      <c r="K13" s="2"/>
      <c r="L13" s="2">
        <f t="shared" si="0"/>
        <v>-628265.11</v>
      </c>
      <c r="M13" s="2"/>
      <c r="N13" s="19">
        <f t="shared" si="1"/>
        <v>-0.59933920208955194</v>
      </c>
      <c r="O13" s="11"/>
      <c r="P13" s="2">
        <f>--1214701.38</f>
        <v>1214701.3799999999</v>
      </c>
      <c r="Q13" s="2"/>
      <c r="R13" s="19"/>
      <c r="S13" s="2"/>
      <c r="T13" s="2">
        <v>2988816</v>
      </c>
      <c r="U13" s="2"/>
      <c r="V13" s="19"/>
      <c r="W13" s="2"/>
      <c r="X13" s="2">
        <f t="shared" si="2"/>
        <v>-1774114.62</v>
      </c>
      <c r="Y13" s="2"/>
      <c r="Z13" s="19">
        <f t="shared" si="3"/>
        <v>-0.59358442272792977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--82343.75</f>
        <v>82343.75</v>
      </c>
      <c r="E14" s="2"/>
      <c r="F14" s="19"/>
      <c r="G14" s="2"/>
      <c r="H14" s="2">
        <v>0</v>
      </c>
      <c r="I14" s="2"/>
      <c r="J14" s="19"/>
      <c r="K14" s="2"/>
      <c r="L14" s="2">
        <f t="shared" si="0"/>
        <v>82343.75</v>
      </c>
      <c r="M14" s="2"/>
      <c r="N14" s="19">
        <f t="shared" si="1"/>
        <v>0</v>
      </c>
      <c r="O14" s="11"/>
      <c r="P14" s="2">
        <f>--409883.98</f>
        <v>409883.98</v>
      </c>
      <c r="Q14" s="2"/>
      <c r="R14" s="19"/>
      <c r="S14" s="2"/>
      <c r="T14" s="2">
        <v>0</v>
      </c>
      <c r="U14" s="2"/>
      <c r="V14" s="19"/>
      <c r="W14" s="2"/>
      <c r="X14" s="2">
        <f t="shared" si="2"/>
        <v>409883.98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-17245.44</f>
        <v>-17245.439999999999</v>
      </c>
      <c r="E15" s="2"/>
      <c r="F15" s="19"/>
      <c r="G15" s="2"/>
      <c r="H15" s="2"/>
      <c r="I15" s="2"/>
      <c r="J15" s="19"/>
      <c r="K15" s="2"/>
      <c r="L15" s="2">
        <f t="shared" si="0"/>
        <v>-17245.439999999999</v>
      </c>
      <c r="M15" s="2"/>
      <c r="N15" s="19">
        <f t="shared" si="1"/>
        <v>0</v>
      </c>
      <c r="O15" s="11"/>
      <c r="P15" s="2">
        <f>-46638.46</f>
        <v>-46638.46</v>
      </c>
      <c r="Q15" s="2"/>
      <c r="R15" s="19"/>
      <c r="S15" s="2"/>
      <c r="T15" s="2"/>
      <c r="U15" s="2"/>
      <c r="V15" s="19"/>
      <c r="W15" s="2"/>
      <c r="X15" s="2">
        <f t="shared" si="2"/>
        <v>-46638.46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"4300", " - ", "NON-TAX RETURNS")</f>
        <v xml:space="preserve">          4300 - NON-TAX RETURNS</v>
      </c>
      <c r="C16" s="11"/>
      <c r="D16" s="2">
        <f>-498.15</f>
        <v>-498.15</v>
      </c>
      <c r="E16" s="2"/>
      <c r="F16" s="19"/>
      <c r="G16" s="2"/>
      <c r="H16" s="2"/>
      <c r="I16" s="2"/>
      <c r="J16" s="19"/>
      <c r="K16" s="2"/>
      <c r="L16" s="2">
        <f t="shared" si="0"/>
        <v>-498.15</v>
      </c>
      <c r="M16" s="2"/>
      <c r="N16" s="19">
        <f t="shared" si="1"/>
        <v>0</v>
      </c>
      <c r="O16" s="11"/>
      <c r="P16" s="2">
        <f>-26401.29</f>
        <v>-26401.29</v>
      </c>
      <c r="Q16" s="2"/>
      <c r="R16" s="19"/>
      <c r="S16" s="2"/>
      <c r="T16" s="2"/>
      <c r="U16" s="2"/>
      <c r="V16" s="19"/>
      <c r="W16" s="2"/>
      <c r="X16" s="2">
        <f t="shared" si="2"/>
        <v>-26401.29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"4500", " - ", "SALES DISCOUNT")</f>
        <v xml:space="preserve">          4500 - SALES DISCOUNT</v>
      </c>
      <c r="C17" s="11"/>
      <c r="D17" s="2">
        <f>-1791.16</f>
        <v>-1791.16</v>
      </c>
      <c r="E17" s="2"/>
      <c r="F17" s="19"/>
      <c r="G17" s="2"/>
      <c r="H17" s="2"/>
      <c r="I17" s="2"/>
      <c r="J17" s="19"/>
      <c r="K17" s="2"/>
      <c r="L17" s="2">
        <f t="shared" si="0"/>
        <v>-1791.16</v>
      </c>
      <c r="M17" s="2"/>
      <c r="N17" s="19">
        <f t="shared" si="1"/>
        <v>0</v>
      </c>
      <c r="O17" s="11"/>
      <c r="P17" s="2">
        <f>-3026.69</f>
        <v>-3026.69</v>
      </c>
      <c r="Q17" s="2"/>
      <c r="R17" s="19"/>
      <c r="S17" s="2"/>
      <c r="T17" s="2"/>
      <c r="U17" s="2"/>
      <c r="V17" s="19"/>
      <c r="W17" s="2"/>
      <c r="X17" s="2">
        <f t="shared" si="2"/>
        <v>-3026.69</v>
      </c>
      <c r="Y17" s="2"/>
      <c r="Z17" s="19">
        <f t="shared" si="3"/>
        <v>0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328221.40000000002</v>
      </c>
      <c r="E19" s="4"/>
      <c r="F19" s="12">
        <f t="shared" ref="F19:F29" si="4">IF(D$12=0,0,D19/D$12)</f>
        <v>0.67981921301910175</v>
      </c>
      <c r="G19" s="4"/>
      <c r="H19" s="4">
        <f>SUM(OSRRefH16x_0)</f>
        <v>757370</v>
      </c>
      <c r="I19" s="4"/>
      <c r="J19" s="12">
        <f t="shared" ref="J19:J29" si="5">IF(H$12=0,0,H19/H$12)</f>
        <v>0.72249998330571619</v>
      </c>
      <c r="K19" s="4"/>
      <c r="L19" s="4">
        <f t="shared" ref="L19:L29" si="6">+D19-H19</f>
        <v>-429148.6</v>
      </c>
      <c r="M19" s="4"/>
      <c r="N19" s="12">
        <f t="shared" ref="N19:N29" si="7">IF(H19=0,0,L19/H19)</f>
        <v>-0.56663004872123268</v>
      </c>
      <c r="O19" s="10"/>
      <c r="P19" s="4">
        <f>SUM(OSRRefP16x_0)</f>
        <v>1217890.1699999997</v>
      </c>
      <c r="Q19" s="4"/>
      <c r="R19" s="12">
        <f t="shared" ref="R19:R29" si="8">IF(P$12=0,0,P19/P$12)</f>
        <v>0.78648710988949344</v>
      </c>
      <c r="S19" s="4"/>
      <c r="T19" s="4">
        <f>SUM(OSRRefT16x_0)</f>
        <v>2159418</v>
      </c>
      <c r="U19" s="4"/>
      <c r="V19" s="12">
        <f t="shared" ref="V19:V29" si="9">IF(T$12=0,0,T19/T$12)</f>
        <v>0.72249947805418602</v>
      </c>
      <c r="W19" s="4"/>
      <c r="X19" s="4">
        <f t="shared" ref="X19:X29" si="10">+P19-T19</f>
        <v>-941527.83000000031</v>
      </c>
      <c r="Y19" s="4"/>
      <c r="Z19" s="12">
        <f t="shared" ref="Z19:Z29" si="11">IF(T19=0,0,X19/T19)</f>
        <v>-0.43600999435959148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2">
        <v>260452.83</v>
      </c>
      <c r="E20" s="2"/>
      <c r="F20" s="19">
        <f t="shared" si="4"/>
        <v>0.53945549534307591</v>
      </c>
      <c r="G20" s="2"/>
      <c r="H20" s="2">
        <v>757370</v>
      </c>
      <c r="I20" s="2"/>
      <c r="J20" s="19">
        <f t="shared" si="5"/>
        <v>0.72249998330571619</v>
      </c>
      <c r="K20" s="2"/>
      <c r="L20" s="2">
        <f t="shared" si="6"/>
        <v>-496917.17000000004</v>
      </c>
      <c r="M20" s="2"/>
      <c r="N20" s="19">
        <f t="shared" si="7"/>
        <v>-0.65610886356734499</v>
      </c>
      <c r="O20" s="11"/>
      <c r="P20" s="2">
        <v>1413690.96</v>
      </c>
      <c r="Q20" s="2"/>
      <c r="R20" s="19">
        <f t="shared" si="8"/>
        <v>0.9129310218566784</v>
      </c>
      <c r="S20" s="2"/>
      <c r="T20" s="2">
        <v>2159418</v>
      </c>
      <c r="U20" s="2"/>
      <c r="V20" s="19">
        <f t="shared" si="9"/>
        <v>0.72249947805418602</v>
      </c>
      <c r="W20" s="2"/>
      <c r="X20" s="2">
        <f t="shared" si="10"/>
        <v>-745727.04</v>
      </c>
      <c r="Y20" s="2"/>
      <c r="Z20" s="19">
        <f t="shared" si="11"/>
        <v>-0.34533704914935415</v>
      </c>
    </row>
    <row r="21" spans="1:26" s="24" customFormat="1" hidden="1" outlineLevel="1" x14ac:dyDescent="0.3">
      <c r="A21" s="44"/>
      <c r="B21" s="11" t="str">
        <f>CONCATENATE("          ", "5001", " - ", "PURCHASES @ COST-NEW TEXT")</f>
        <v xml:space="preserve">          5001 - PURCHASES @ COST-NEW TEXT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"5002", " - ", "PURCHASES @ COST-USED TEXT")</f>
        <v xml:space="preserve">          5002 - PURCHASES @ COST-USED TEXT</v>
      </c>
      <c r="C22" s="11"/>
      <c r="D22" s="2"/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"5004", " - ", "PURCHASES @ COST-DIGITAL TEXT")</f>
        <v xml:space="preserve">          5004 - PURCHASES @ COST-DIGITAL TEXT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"5200", " - ", "PURCHASES OFFSET")</f>
        <v xml:space="preserve">          5200 - PURCHASES OFFSET</v>
      </c>
      <c r="C24" s="11"/>
      <c r="D24" s="2">
        <v>-271779.8</v>
      </c>
      <c r="E24" s="2"/>
      <c r="F24" s="19">
        <f t="shared" si="4"/>
        <v>-0.56291615888083113</v>
      </c>
      <c r="G24" s="2"/>
      <c r="H24" s="2"/>
      <c r="I24" s="2"/>
      <c r="J24" s="19">
        <f t="shared" si="5"/>
        <v>0</v>
      </c>
      <c r="K24" s="2"/>
      <c r="L24" s="2">
        <f t="shared" si="6"/>
        <v>-271779.8</v>
      </c>
      <c r="M24" s="2"/>
      <c r="N24" s="19">
        <f t="shared" si="7"/>
        <v>0</v>
      </c>
      <c r="O24" s="11"/>
      <c r="P24" s="2">
        <v>-1462359.61</v>
      </c>
      <c r="Q24" s="2"/>
      <c r="R24" s="19">
        <f t="shared" si="8"/>
        <v>-0.94436018256722376</v>
      </c>
      <c r="S24" s="2"/>
      <c r="T24" s="2"/>
      <c r="U24" s="2"/>
      <c r="V24" s="19">
        <f t="shared" si="9"/>
        <v>0</v>
      </c>
      <c r="W24" s="2"/>
      <c r="X24" s="2">
        <f t="shared" si="10"/>
        <v>-1462359.61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"5300", " - ", "COG$ OFFSET")</f>
        <v xml:space="preserve">          5300 - COG$ OFFSET</v>
      </c>
      <c r="C25" s="11"/>
      <c r="D25" s="2">
        <v>328221.40000000002</v>
      </c>
      <c r="E25" s="2"/>
      <c r="F25" s="19">
        <f t="shared" si="4"/>
        <v>0.67981921301910175</v>
      </c>
      <c r="G25" s="2"/>
      <c r="H25" s="2"/>
      <c r="I25" s="2"/>
      <c r="J25" s="19">
        <f t="shared" si="5"/>
        <v>0</v>
      </c>
      <c r="K25" s="2"/>
      <c r="L25" s="2">
        <f t="shared" si="6"/>
        <v>328221.40000000002</v>
      </c>
      <c r="M25" s="2"/>
      <c r="N25" s="19">
        <f t="shared" si="7"/>
        <v>0</v>
      </c>
      <c r="O25" s="11"/>
      <c r="P25" s="2">
        <v>1217890.17</v>
      </c>
      <c r="Q25" s="2"/>
      <c r="R25" s="19">
        <f t="shared" si="8"/>
        <v>0.78648710988949366</v>
      </c>
      <c r="S25" s="2"/>
      <c r="T25" s="2"/>
      <c r="U25" s="2"/>
      <c r="V25" s="19">
        <f t="shared" si="9"/>
        <v>0</v>
      </c>
      <c r="W25" s="2"/>
      <c r="X25" s="2">
        <f t="shared" si="10"/>
        <v>1217890.17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"5500", " - ", "FREIGHT-IN")</f>
        <v xml:space="preserve">          5500 - FREIGHT-IN</v>
      </c>
      <c r="C26" s="11"/>
      <c r="D26" s="2">
        <v>11326.97</v>
      </c>
      <c r="E26" s="2"/>
      <c r="F26" s="19">
        <f t="shared" si="4"/>
        <v>2.3460663537755229E-2</v>
      </c>
      <c r="G26" s="2"/>
      <c r="H26" s="2"/>
      <c r="I26" s="2"/>
      <c r="J26" s="19">
        <f t="shared" si="5"/>
        <v>0</v>
      </c>
      <c r="K26" s="2"/>
      <c r="L26" s="2">
        <f t="shared" si="6"/>
        <v>11326.97</v>
      </c>
      <c r="M26" s="2"/>
      <c r="N26" s="19">
        <f t="shared" si="7"/>
        <v>0</v>
      </c>
      <c r="O26" s="11"/>
      <c r="P26" s="2">
        <v>48668.65</v>
      </c>
      <c r="Q26" s="2"/>
      <c r="R26" s="19">
        <f t="shared" si="8"/>
        <v>3.1429160710545273E-2</v>
      </c>
      <c r="S26" s="2"/>
      <c r="T26" s="2"/>
      <c r="U26" s="2"/>
      <c r="V26" s="19">
        <f t="shared" si="9"/>
        <v>0</v>
      </c>
      <c r="W26" s="2"/>
      <c r="X26" s="2">
        <f t="shared" si="10"/>
        <v>48668.65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"5501", " - ", "FREIGHT-IN-NEW TEXT")</f>
        <v xml:space="preserve">          5501 - FREIGHT-IN-NEW TEXT</v>
      </c>
      <c r="C27" s="11"/>
      <c r="D27" s="2"/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"5502", " - ", "FREIGHT-IN-USED TEXT")</f>
        <v xml:space="preserve">          5502 - FREIGHT-IN-USED TEXT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s="24" customFormat="1" hidden="1" outlineLevel="1" x14ac:dyDescent="0.3">
      <c r="A29" s="44"/>
      <c r="B29" s="11" t="str">
        <f>CONCATENATE("          ", "5518", " - ", "FREIGHT-IN-STUDY GUIDES")</f>
        <v xml:space="preserve">          5518 - FREIGHT-IN-STUDY GUIDES</v>
      </c>
      <c r="C29" s="11"/>
      <c r="D29" s="2"/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3">
      <c r="A31" s="10"/>
      <c r="B31" s="26" t="s">
        <v>108</v>
      </c>
      <c r="C31" s="26"/>
      <c r="D31" s="21">
        <f>D12-D19</f>
        <v>154585.49</v>
      </c>
      <c r="E31" s="13"/>
      <c r="F31" s="22">
        <f>IF(D$12=0,0,D31/D$12)</f>
        <v>0.3201807869808983</v>
      </c>
      <c r="G31" s="13"/>
      <c r="H31" s="21">
        <f>H12-H19</f>
        <v>290893</v>
      </c>
      <c r="I31" s="13"/>
      <c r="J31" s="22">
        <f>IF(H$12=0,0,H31/H$12)</f>
        <v>0.27750001669428376</v>
      </c>
      <c r="K31" s="15"/>
      <c r="L31" s="21">
        <f>+D31-H31</f>
        <v>-136307.51</v>
      </c>
      <c r="M31" s="15"/>
      <c r="N31" s="22">
        <f>IF(H31=0,0,L31/H31)</f>
        <v>-0.46858298412130922</v>
      </c>
      <c r="O31" s="25"/>
      <c r="P31" s="21">
        <f>P12-P19</f>
        <v>330628.75000000023</v>
      </c>
      <c r="Q31" s="13"/>
      <c r="R31" s="22">
        <f>IF(P$12=0,0,P31/P$12)</f>
        <v>0.21351289011050653</v>
      </c>
      <c r="S31" s="13"/>
      <c r="T31" s="21">
        <f>T12-T19</f>
        <v>829398</v>
      </c>
      <c r="U31" s="13"/>
      <c r="V31" s="22">
        <f>IF(T$12=0,0,T31/T$12)</f>
        <v>0.27750052194581398</v>
      </c>
      <c r="W31" s="15"/>
      <c r="X31" s="21">
        <f>+P31-T31</f>
        <v>-498769.24999999977</v>
      </c>
      <c r="Y31" s="15"/>
      <c r="Z31" s="22">
        <f>IF(T31=0,0,X31/T31)</f>
        <v>-0.60136297652031923</v>
      </c>
    </row>
    <row r="32" spans="1:26" x14ac:dyDescent="0.3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3">
      <c r="A33" s="10"/>
      <c r="B33" s="25" t="s">
        <v>295</v>
      </c>
      <c r="C33" s="10"/>
      <c r="D33" s="20">
        <f>SUM(OSRRefD22x_0)</f>
        <v>52742.58</v>
      </c>
      <c r="E33" s="20"/>
      <c r="F33" s="33">
        <f t="shared" ref="F33:F44" si="12">IF(D$12=0,0,D33/D$12)</f>
        <v>0.10924156446897433</v>
      </c>
      <c r="G33" s="20"/>
      <c r="H33" s="20">
        <f>SUM(OSRRefH22x_0)</f>
        <v>80345.474916237188</v>
      </c>
      <c r="I33" s="20"/>
      <c r="J33" s="33">
        <f t="shared" ref="J33:J44" si="13">IF(H$12=0,0,H33/H$12)</f>
        <v>7.6646294790751163E-2</v>
      </c>
      <c r="K33" s="4"/>
      <c r="L33" s="20">
        <f t="shared" ref="L33:L44" si="14">+D33-H33</f>
        <v>-27602.894916237186</v>
      </c>
      <c r="M33" s="4"/>
      <c r="N33" s="33">
        <f t="shared" ref="N33:N44" si="15">IF(H33=0,0,L33/H33)</f>
        <v>-0.34355257648316989</v>
      </c>
      <c r="O33" s="10"/>
      <c r="P33" s="20">
        <f>SUM(OSRRefP22x_0)</f>
        <v>332260.56000000006</v>
      </c>
      <c r="Q33" s="20"/>
      <c r="R33" s="33">
        <f t="shared" ref="R33:R44" si="16">IF(P$12=0,0,P33/P$12)</f>
        <v>0.21456667768708959</v>
      </c>
      <c r="S33" s="20"/>
      <c r="T33" s="20">
        <f>SUM(OSRRefT22x_0)</f>
        <v>403353.97246967041</v>
      </c>
      <c r="U33" s="20"/>
      <c r="V33" s="33">
        <f t="shared" ref="V33:V44" si="17">IF(T$12=0,0,T33/T$12)</f>
        <v>0.13495443428758092</v>
      </c>
      <c r="W33" s="4"/>
      <c r="X33" s="20">
        <f t="shared" ref="X33:X44" si="18">+P33-T33</f>
        <v>-71093.412469670351</v>
      </c>
      <c r="Y33" s="4"/>
      <c r="Z33" s="33">
        <f t="shared" ref="Z33:Z44" si="19">IF(T33=0,0,X33/T33)</f>
        <v>-0.17625563976568029</v>
      </c>
    </row>
    <row r="34" spans="1:26" s="28" customFormat="1" outlineLevel="1" collapsed="1" x14ac:dyDescent="0.3">
      <c r="A34" s="29"/>
      <c r="B34" s="14" t="str">
        <f>CONCATENATE("     ","*Benefits                                         ")</f>
        <v xml:space="preserve">     *Benefits                                         </v>
      </c>
      <c r="C34" s="14"/>
      <c r="D34" s="1">
        <f>SUM(OSRRefD22_0x_0)</f>
        <v>16187.02</v>
      </c>
      <c r="E34" s="1"/>
      <c r="F34" s="5">
        <f t="shared" si="12"/>
        <v>3.3526903478945796E-2</v>
      </c>
      <c r="G34" s="1"/>
      <c r="H34" s="1">
        <f>SUM(OSRRefH22_0x_0)</f>
        <v>17653.470484669899</v>
      </c>
      <c r="I34" s="1"/>
      <c r="J34" s="5">
        <f t="shared" si="13"/>
        <v>1.6840688343163785E-2</v>
      </c>
      <c r="K34" s="1"/>
      <c r="L34" s="1">
        <f t="shared" si="14"/>
        <v>-1466.4504846698983</v>
      </c>
      <c r="M34" s="1"/>
      <c r="N34" s="5">
        <f t="shared" si="15"/>
        <v>-8.3068679665188189E-2</v>
      </c>
      <c r="O34" s="14"/>
      <c r="P34" s="1">
        <f>SUM(OSRRefP22_0x_0)</f>
        <v>93152.080000000016</v>
      </c>
      <c r="Q34" s="1"/>
      <c r="R34" s="5">
        <f t="shared" si="16"/>
        <v>6.01555969364585E-2</v>
      </c>
      <c r="S34" s="1"/>
      <c r="T34" s="1">
        <f>SUM(OSRRefT22_0x_0)</f>
        <v>105233.12499395337</v>
      </c>
      <c r="U34" s="1"/>
      <c r="V34" s="5">
        <f t="shared" si="17"/>
        <v>3.5208967361641995E-2</v>
      </c>
      <c r="W34" s="1"/>
      <c r="X34" s="1">
        <f t="shared" si="18"/>
        <v>-12081.044993953357</v>
      </c>
      <c r="Y34" s="1"/>
      <c r="Z34" s="5">
        <f t="shared" si="19"/>
        <v>-0.11480268208938513</v>
      </c>
    </row>
    <row r="35" spans="1:26" s="24" customFormat="1" hidden="1" outlineLevel="2" x14ac:dyDescent="0.3">
      <c r="A35" s="27"/>
      <c r="B35" s="11" t="str">
        <f>CONCATENATE("          ", "6111", " - ", "F.I.C.A.")</f>
        <v xml:space="preserve">          6111 - F.I.C.A.</v>
      </c>
      <c r="C35" s="11"/>
      <c r="D35" s="7">
        <v>1970.39</v>
      </c>
      <c r="E35" s="2"/>
      <c r="F35" s="6">
        <f t="shared" si="12"/>
        <v>4.0811140868350073E-3</v>
      </c>
      <c r="G35" s="2"/>
      <c r="H35" s="7">
        <v>3418.4145399747099</v>
      </c>
      <c r="I35" s="2"/>
      <c r="J35" s="6">
        <f t="shared" si="13"/>
        <v>3.261027566531214E-3</v>
      </c>
      <c r="K35" s="2"/>
      <c r="L35" s="7">
        <f t="shared" si="14"/>
        <v>-1448.0245399747098</v>
      </c>
      <c r="M35" s="2"/>
      <c r="N35" s="6">
        <f t="shared" si="15"/>
        <v>-0.42359536066840581</v>
      </c>
      <c r="O35" s="11"/>
      <c r="P35" s="7">
        <v>14850.68</v>
      </c>
      <c r="Q35" s="2"/>
      <c r="R35" s="6">
        <f t="shared" si="16"/>
        <v>9.5902476929374553E-3</v>
      </c>
      <c r="S35" s="2"/>
      <c r="T35" s="7">
        <v>17259.265402843201</v>
      </c>
      <c r="U35" s="2"/>
      <c r="V35" s="6">
        <f t="shared" si="17"/>
        <v>5.7746162369457336E-3</v>
      </c>
      <c r="W35" s="2"/>
      <c r="X35" s="7">
        <f t="shared" si="18"/>
        <v>-2408.5854028432004</v>
      </c>
      <c r="Y35" s="2"/>
      <c r="Z35" s="6">
        <f t="shared" si="19"/>
        <v>-0.13955318182003404</v>
      </c>
    </row>
    <row r="36" spans="1:26" s="24" customFormat="1" hidden="1" outlineLevel="2" x14ac:dyDescent="0.3">
      <c r="A36" s="27"/>
      <c r="B36" s="11" t="str">
        <f>CONCATENATE("          ", "6112", " - ", "COMPENSATION INSURANCE")</f>
        <v xml:space="preserve">          6112 - COMPENSATION INSURANCE</v>
      </c>
      <c r="C36" s="11"/>
      <c r="D36" s="7">
        <v>363.33</v>
      </c>
      <c r="E36" s="2"/>
      <c r="F36" s="6">
        <f t="shared" si="12"/>
        <v>7.5253689938020556E-4</v>
      </c>
      <c r="G36" s="2"/>
      <c r="H36" s="7">
        <v>934.83843435000006</v>
      </c>
      <c r="I36" s="2"/>
      <c r="J36" s="6">
        <f t="shared" si="13"/>
        <v>8.9179760646898728E-4</v>
      </c>
      <c r="K36" s="2"/>
      <c r="L36" s="7">
        <f t="shared" si="14"/>
        <v>-571.50843435000002</v>
      </c>
      <c r="M36" s="2"/>
      <c r="N36" s="6">
        <f t="shared" si="15"/>
        <v>-0.61134460603063889</v>
      </c>
      <c r="O36" s="11"/>
      <c r="P36" s="7">
        <v>2912.05</v>
      </c>
      <c r="Q36" s="2"/>
      <c r="R36" s="6">
        <f t="shared" si="16"/>
        <v>1.8805388570906194E-3</v>
      </c>
      <c r="S36" s="2"/>
      <c r="T36" s="7">
        <v>4358.4804449699996</v>
      </c>
      <c r="U36" s="2"/>
      <c r="V36" s="6">
        <f t="shared" si="17"/>
        <v>1.4582632202751857E-3</v>
      </c>
      <c r="W36" s="2"/>
      <c r="X36" s="7">
        <f t="shared" si="18"/>
        <v>-1446.4304449699994</v>
      </c>
      <c r="Y36" s="2"/>
      <c r="Z36" s="6">
        <f t="shared" si="19"/>
        <v>-0.3318657645095745</v>
      </c>
    </row>
    <row r="37" spans="1:26" s="24" customFormat="1" hidden="1" outlineLevel="2" x14ac:dyDescent="0.3">
      <c r="A37" s="27"/>
      <c r="B37" s="11" t="str">
        <f>CONCATENATE("          ", "6113", " - ", "GROUP INSURANCE")</f>
        <v xml:space="preserve">          6113 - GROUP INSURANCE</v>
      </c>
      <c r="C37" s="11"/>
      <c r="D37" s="7">
        <v>4452.97</v>
      </c>
      <c r="E37" s="2"/>
      <c r="F37" s="6">
        <f t="shared" si="12"/>
        <v>9.2230871021745358E-3</v>
      </c>
      <c r="G37" s="2"/>
      <c r="H37" s="7">
        <v>5620</v>
      </c>
      <c r="I37" s="2"/>
      <c r="J37" s="6">
        <f t="shared" si="13"/>
        <v>5.3612499916528581E-3</v>
      </c>
      <c r="K37" s="2"/>
      <c r="L37" s="7">
        <f t="shared" si="14"/>
        <v>-1167.0299999999997</v>
      </c>
      <c r="M37" s="2"/>
      <c r="N37" s="6">
        <f t="shared" si="15"/>
        <v>-0.2076565836298932</v>
      </c>
      <c r="O37" s="11"/>
      <c r="P37" s="7">
        <v>32072.38</v>
      </c>
      <c r="Q37" s="2"/>
      <c r="R37" s="6">
        <f t="shared" si="16"/>
        <v>2.0711648779854756E-2</v>
      </c>
      <c r="S37" s="2"/>
      <c r="T37" s="7">
        <v>38116</v>
      </c>
      <c r="U37" s="2"/>
      <c r="V37" s="6">
        <f t="shared" si="17"/>
        <v>1.275287605526737E-2</v>
      </c>
      <c r="W37" s="2"/>
      <c r="X37" s="7">
        <f t="shared" si="18"/>
        <v>-6043.619999999999</v>
      </c>
      <c r="Y37" s="2"/>
      <c r="Z37" s="6">
        <f t="shared" si="19"/>
        <v>-0.15855861055724627</v>
      </c>
    </row>
    <row r="38" spans="1:26" s="24" customFormat="1" hidden="1" outlineLevel="2" x14ac:dyDescent="0.3">
      <c r="A38" s="27"/>
      <c r="B38" s="11" t="str">
        <f>CONCATENATE("          ", "6114", " - ", "STATE UNEMPLOYMENT INSURANCE")</f>
        <v xml:space="preserve">          6114 - STATE UNEMPLOYMENT INSURANCE</v>
      </c>
      <c r="C38" s="11"/>
      <c r="D38" s="7">
        <v>72.17</v>
      </c>
      <c r="E38" s="2"/>
      <c r="F38" s="6">
        <f t="shared" si="12"/>
        <v>1.4948005402325555E-4</v>
      </c>
      <c r="G38" s="2"/>
      <c r="H38" s="7">
        <v>125.843635393269</v>
      </c>
      <c r="I38" s="2"/>
      <c r="J38" s="6">
        <f t="shared" si="13"/>
        <v>1.2004967779390191E-4</v>
      </c>
      <c r="K38" s="2"/>
      <c r="L38" s="7">
        <f t="shared" si="14"/>
        <v>-53.673635393268995</v>
      </c>
      <c r="M38" s="2"/>
      <c r="N38" s="6">
        <f t="shared" si="15"/>
        <v>-0.42651052812909945</v>
      </c>
      <c r="O38" s="11"/>
      <c r="P38" s="7">
        <v>577.72</v>
      </c>
      <c r="Q38" s="2"/>
      <c r="R38" s="6">
        <f t="shared" si="16"/>
        <v>3.7307907093573001E-4</v>
      </c>
      <c r="S38" s="2"/>
      <c r="T38" s="7">
        <v>586.71852143826902</v>
      </c>
      <c r="U38" s="2"/>
      <c r="V38" s="6">
        <f t="shared" si="17"/>
        <v>1.9630466426781343E-4</v>
      </c>
      <c r="W38" s="2"/>
      <c r="X38" s="7">
        <f t="shared" si="18"/>
        <v>-8.9985214382689946</v>
      </c>
      <c r="Y38" s="2"/>
      <c r="Z38" s="6">
        <f t="shared" si="19"/>
        <v>-1.5337033193038146E-2</v>
      </c>
    </row>
    <row r="39" spans="1:26" s="24" customFormat="1" hidden="1" outlineLevel="2" x14ac:dyDescent="0.3">
      <c r="A39" s="27"/>
      <c r="B39" s="11" t="str">
        <f>CONCATENATE("          ", "6115", " - ", "P.E.R.S.")</f>
        <v xml:space="preserve">          6115 - P.E.R.S.</v>
      </c>
      <c r="C39" s="11"/>
      <c r="D39" s="7">
        <v>1671.39</v>
      </c>
      <c r="E39" s="2"/>
      <c r="F39" s="6">
        <f t="shared" si="12"/>
        <v>3.4618188650953181E-3</v>
      </c>
      <c r="G39" s="2"/>
      <c r="H39" s="7">
        <v>2080.8534770576898</v>
      </c>
      <c r="I39" s="2"/>
      <c r="J39" s="6">
        <f t="shared" si="13"/>
        <v>1.9850490545384983E-3</v>
      </c>
      <c r="K39" s="2"/>
      <c r="L39" s="7">
        <f t="shared" si="14"/>
        <v>-409.46347705768972</v>
      </c>
      <c r="M39" s="2"/>
      <c r="N39" s="6">
        <f t="shared" si="15"/>
        <v>-0.19677669839428955</v>
      </c>
      <c r="O39" s="11"/>
      <c r="P39" s="7">
        <v>12246.12</v>
      </c>
      <c r="Q39" s="2"/>
      <c r="R39" s="6">
        <f t="shared" si="16"/>
        <v>7.9082792220581989E-3</v>
      </c>
      <c r="S39" s="2"/>
      <c r="T39" s="7">
        <v>12901.291557757701</v>
      </c>
      <c r="U39" s="2"/>
      <c r="V39" s="6">
        <f t="shared" si="17"/>
        <v>4.3165225151891922E-3</v>
      </c>
      <c r="W39" s="2"/>
      <c r="X39" s="7">
        <f t="shared" si="18"/>
        <v>-655.1715577576997</v>
      </c>
      <c r="Y39" s="2"/>
      <c r="Z39" s="6">
        <f t="shared" si="19"/>
        <v>-5.0783408376174337E-2</v>
      </c>
    </row>
    <row r="40" spans="1:26" s="24" customFormat="1" hidden="1" outlineLevel="2" x14ac:dyDescent="0.3">
      <c r="A40" s="27"/>
      <c r="B40" s="11" t="str">
        <f>CONCATENATE("          ", "6116", " - ", "EDUCATIONAL BENEFITS")</f>
        <v xml:space="preserve">          6116 - EDUCATIONAL BENEFITS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3">
      <c r="A41" s="27"/>
      <c r="B41" s="11" t="str">
        <f>CONCATENATE("          ", "6117", " - ", "RETIREMENT STAFF HOURLY")</f>
        <v xml:space="preserve">          6117 - RETIREMENT STAFF HOURLY</v>
      </c>
      <c r="C41" s="11"/>
      <c r="D41" s="7">
        <v>459.29</v>
      </c>
      <c r="E41" s="2"/>
      <c r="F41" s="6">
        <f t="shared" si="12"/>
        <v>9.5129131235057558E-4</v>
      </c>
      <c r="G41" s="2"/>
      <c r="H41" s="7"/>
      <c r="I41" s="2"/>
      <c r="J41" s="6">
        <f t="shared" si="13"/>
        <v>0</v>
      </c>
      <c r="K41" s="2"/>
      <c r="L41" s="7">
        <f t="shared" si="14"/>
        <v>459.29</v>
      </c>
      <c r="M41" s="2"/>
      <c r="N41" s="6">
        <f t="shared" si="15"/>
        <v>0</v>
      </c>
      <c r="O41" s="11"/>
      <c r="P41" s="7">
        <v>2267.2399999999998</v>
      </c>
      <c r="Q41" s="2"/>
      <c r="R41" s="6">
        <f t="shared" si="16"/>
        <v>1.4641345163545047E-3</v>
      </c>
      <c r="S41" s="2"/>
      <c r="T41" s="7"/>
      <c r="U41" s="2"/>
      <c r="V41" s="6">
        <f t="shared" si="17"/>
        <v>0</v>
      </c>
      <c r="W41" s="2"/>
      <c r="X41" s="7">
        <f t="shared" si="18"/>
        <v>2267.2399999999998</v>
      </c>
      <c r="Y41" s="2"/>
      <c r="Z41" s="6">
        <f t="shared" si="19"/>
        <v>0</v>
      </c>
    </row>
    <row r="42" spans="1:26" s="24" customFormat="1" hidden="1" outlineLevel="2" x14ac:dyDescent="0.3">
      <c r="A42" s="27"/>
      <c r="B42" s="11" t="str">
        <f>CONCATENATE("          ", "6118", " - ", "VACATION")</f>
        <v xml:space="preserve">          6118 - VACATION</v>
      </c>
      <c r="C42" s="11"/>
      <c r="D42" s="7">
        <v>2447.1999999999998</v>
      </c>
      <c r="E42" s="2"/>
      <c r="F42" s="6">
        <f t="shared" si="12"/>
        <v>5.06869319946946E-3</v>
      </c>
      <c r="G42" s="2"/>
      <c r="H42" s="7">
        <v>2111.4919273750002</v>
      </c>
      <c r="I42" s="2"/>
      <c r="J42" s="6">
        <f t="shared" si="13"/>
        <v>2.0142768822089497E-3</v>
      </c>
      <c r="K42" s="2"/>
      <c r="L42" s="7">
        <f t="shared" si="14"/>
        <v>335.70807262499966</v>
      </c>
      <c r="M42" s="2"/>
      <c r="N42" s="6">
        <f t="shared" si="15"/>
        <v>0.15899093350659921</v>
      </c>
      <c r="O42" s="11"/>
      <c r="P42" s="7">
        <v>11680.88</v>
      </c>
      <c r="Q42" s="2"/>
      <c r="R42" s="6">
        <f t="shared" si="16"/>
        <v>7.5432594649860654E-3</v>
      </c>
      <c r="S42" s="2"/>
      <c r="T42" s="7">
        <v>13091.249949724999</v>
      </c>
      <c r="U42" s="2"/>
      <c r="V42" s="6">
        <f t="shared" si="17"/>
        <v>4.3800789174459048E-3</v>
      </c>
      <c r="W42" s="2"/>
      <c r="X42" s="7">
        <f t="shared" si="18"/>
        <v>-1410.369949725</v>
      </c>
      <c r="Y42" s="2"/>
      <c r="Z42" s="6">
        <f t="shared" si="19"/>
        <v>-0.10773378822811544</v>
      </c>
    </row>
    <row r="43" spans="1:26" s="24" customFormat="1" hidden="1" outlineLevel="2" x14ac:dyDescent="0.3">
      <c r="A43" s="27"/>
      <c r="B43" s="11" t="str">
        <f>CONCATENATE("          ", "6119", " - ", "SICK LEAVE")</f>
        <v xml:space="preserve">          6119 - SICK LEAVE</v>
      </c>
      <c r="C43" s="11"/>
      <c r="D43" s="7">
        <v>3712.89</v>
      </c>
      <c r="E43" s="2"/>
      <c r="F43" s="6">
        <f t="shared" si="12"/>
        <v>7.6902175111875472E-3</v>
      </c>
      <c r="G43" s="2"/>
      <c r="H43" s="7">
        <v>2312.0284705192298</v>
      </c>
      <c r="I43" s="2"/>
      <c r="J43" s="6">
        <f t="shared" si="13"/>
        <v>2.2055805370591445E-3</v>
      </c>
      <c r="K43" s="2"/>
      <c r="L43" s="7">
        <f t="shared" si="14"/>
        <v>1400.8615294807701</v>
      </c>
      <c r="M43" s="2"/>
      <c r="N43" s="6">
        <f t="shared" si="15"/>
        <v>0.60590150482280525</v>
      </c>
      <c r="O43" s="11"/>
      <c r="P43" s="7">
        <v>10765.91</v>
      </c>
      <c r="Q43" s="2"/>
      <c r="R43" s="6">
        <f t="shared" si="16"/>
        <v>6.9523916440103941E-3</v>
      </c>
      <c r="S43" s="2"/>
      <c r="T43" s="7">
        <v>11570.119117219199</v>
      </c>
      <c r="U43" s="2"/>
      <c r="V43" s="6">
        <f t="shared" si="17"/>
        <v>3.8711379747763662E-3</v>
      </c>
      <c r="W43" s="2"/>
      <c r="X43" s="7">
        <f t="shared" si="18"/>
        <v>-804.20911721919947</v>
      </c>
      <c r="Y43" s="2"/>
      <c r="Z43" s="6">
        <f t="shared" si="19"/>
        <v>-6.950741898779049E-2</v>
      </c>
    </row>
    <row r="44" spans="1:26" s="24" customFormat="1" hidden="1" outlineLevel="2" x14ac:dyDescent="0.3">
      <c r="A44" s="27"/>
      <c r="B44" s="11" t="str">
        <f>CONCATENATE("          ", "6156", " - ", "EMPLOYEE MEALS")</f>
        <v xml:space="preserve">          6156 - EMPLOYEE MEALS</v>
      </c>
      <c r="C44" s="11"/>
      <c r="D44" s="7">
        <v>1037.3900000000001</v>
      </c>
      <c r="E44" s="2"/>
      <c r="F44" s="6">
        <f t="shared" si="12"/>
        <v>2.1486644484298889E-3</v>
      </c>
      <c r="G44" s="2"/>
      <c r="H44" s="7">
        <v>1050</v>
      </c>
      <c r="I44" s="2"/>
      <c r="J44" s="6">
        <f t="shared" si="13"/>
        <v>1.0016570269102314E-3</v>
      </c>
      <c r="K44" s="2"/>
      <c r="L44" s="7">
        <f t="shared" si="14"/>
        <v>-12.6099999999999</v>
      </c>
      <c r="M44" s="2"/>
      <c r="N44" s="6">
        <f t="shared" si="15"/>
        <v>-1.2009523809523715E-2</v>
      </c>
      <c r="O44" s="11"/>
      <c r="P44" s="7">
        <v>5779.1</v>
      </c>
      <c r="Q44" s="2"/>
      <c r="R44" s="6">
        <f t="shared" si="16"/>
        <v>3.7320176882307647E-3</v>
      </c>
      <c r="S44" s="2"/>
      <c r="T44" s="7">
        <v>7350</v>
      </c>
      <c r="U44" s="2"/>
      <c r="V44" s="6">
        <f t="shared" si="17"/>
        <v>2.4591677774744246E-3</v>
      </c>
      <c r="W44" s="2"/>
      <c r="X44" s="7">
        <f t="shared" si="18"/>
        <v>-1570.8999999999996</v>
      </c>
      <c r="Y44" s="2"/>
      <c r="Z44" s="6">
        <f t="shared" si="19"/>
        <v>-0.21372789115646254</v>
      </c>
    </row>
    <row r="45" spans="1:26" s="28" customFormat="1" outlineLevel="1" collapsed="1" x14ac:dyDescent="0.3">
      <c r="A45" s="29"/>
      <c r="B45" s="14" t="str">
        <f>CONCATENATE("     ","*Payroll                                          ")</f>
        <v xml:space="preserve">     *Payroll                                          </v>
      </c>
      <c r="C45" s="14"/>
      <c r="D45" s="1">
        <f>SUM(OSRRefD22_1x_0)</f>
        <v>32963.040000000001</v>
      </c>
      <c r="E45" s="1"/>
      <c r="F45" s="5">
        <f t="shared" ref="F45:F55" si="20">IF(D$12=0,0,D45/D$12)</f>
        <v>6.8273756408074454E-2</v>
      </c>
      <c r="G45" s="1"/>
      <c r="H45" s="1">
        <f>SUM(OSRRefH22_1x_0)</f>
        <v>56812.0044315673</v>
      </c>
      <c r="I45" s="1"/>
      <c r="J45" s="5">
        <f t="shared" ref="J45:J55" si="21">IF(H$12=0,0,H45/H$12)</f>
        <v>5.4196327096890096E-2</v>
      </c>
      <c r="K45" s="1"/>
      <c r="L45" s="1">
        <f t="shared" ref="L45:L55" si="22">+D45-H45</f>
        <v>-23848.964431567299</v>
      </c>
      <c r="M45" s="1"/>
      <c r="N45" s="5">
        <f t="shared" ref="N45:N55" si="23">IF(H45=0,0,L45/H45)</f>
        <v>-0.41978741412467652</v>
      </c>
      <c r="O45" s="14"/>
      <c r="P45" s="1">
        <f>SUM(OSRRefP22_1x_0)</f>
        <v>208144.95</v>
      </c>
      <c r="Q45" s="1"/>
      <c r="R45" s="5">
        <f t="shared" ref="R45:R55" si="24">IF(P$12=0,0,P45/P$12)</f>
        <v>0.13441550329911373</v>
      </c>
      <c r="S45" s="1"/>
      <c r="T45" s="1">
        <f>SUM(OSRRefT22_1x_0)</f>
        <v>260085.84747571702</v>
      </c>
      <c r="U45" s="1"/>
      <c r="V45" s="5">
        <f t="shared" ref="V45:V55" si="25">IF(T$12=0,0,T45/T$12)</f>
        <v>8.7019691903321261E-2</v>
      </c>
      <c r="W45" s="1"/>
      <c r="X45" s="1">
        <f t="shared" ref="X45:X55" si="26">+P45-T45</f>
        <v>-51940.897475717007</v>
      </c>
      <c r="Y45" s="1"/>
      <c r="Z45" s="5">
        <f t="shared" ref="Z45:Z55" si="27">IF(T45=0,0,X45/T45)</f>
        <v>-0.19970674290751819</v>
      </c>
    </row>
    <row r="46" spans="1:26" s="24" customFormat="1" hidden="1" outlineLevel="2" x14ac:dyDescent="0.3">
      <c r="A46" s="27"/>
      <c r="B46" s="11" t="str">
        <f>CONCATENATE("          ", "6001", " - ", "ADMINISTRATIVE SALARIES")</f>
        <v xml:space="preserve">          6001 - ADMINISTRATIVE SALARIES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3">
      <c r="A47" s="27"/>
      <c r="B47" s="11" t="str">
        <f>CONCATENATE("          ", "6002", " - ", "STAFF SALARIES")</f>
        <v xml:space="preserve">          6002 - STAFF SALARIES</v>
      </c>
      <c r="C47" s="11"/>
      <c r="D47" s="7">
        <v>20995.06</v>
      </c>
      <c r="E47" s="2"/>
      <c r="F47" s="6">
        <f t="shared" si="20"/>
        <v>4.3485419191097295E-2</v>
      </c>
      <c r="G47" s="2"/>
      <c r="H47" s="7">
        <v>21617.1259715673</v>
      </c>
      <c r="I47" s="2"/>
      <c r="J47" s="6">
        <f t="shared" si="21"/>
        <v>2.0621853458118143E-2</v>
      </c>
      <c r="K47" s="2"/>
      <c r="L47" s="7">
        <f t="shared" si="22"/>
        <v>-622.06597156729913</v>
      </c>
      <c r="M47" s="2"/>
      <c r="N47" s="6">
        <f t="shared" si="23"/>
        <v>-2.8776534511826119E-2</v>
      </c>
      <c r="O47" s="11"/>
      <c r="P47" s="7">
        <v>123203.56</v>
      </c>
      <c r="Q47" s="2"/>
      <c r="R47" s="6">
        <f t="shared" si="24"/>
        <v>7.9562192239795174E-2</v>
      </c>
      <c r="S47" s="2"/>
      <c r="T47" s="7">
        <v>134026.18102371701</v>
      </c>
      <c r="U47" s="2"/>
      <c r="V47" s="6">
        <f t="shared" si="25"/>
        <v>4.484256676346654E-2</v>
      </c>
      <c r="W47" s="2"/>
      <c r="X47" s="7">
        <f t="shared" si="26"/>
        <v>-10822.621023717016</v>
      </c>
      <c r="Y47" s="2"/>
      <c r="Z47" s="6">
        <f t="shared" si="27"/>
        <v>-8.0750051527632996E-2</v>
      </c>
    </row>
    <row r="48" spans="1:26" s="24" customFormat="1" hidden="1" outlineLevel="2" x14ac:dyDescent="0.3">
      <c r="A48" s="27"/>
      <c r="B48" s="11" t="str">
        <f>CONCATENATE("          ", "6003", " - ", "STAFF HOURLY-9 MONTH")</f>
        <v xml:space="preserve">          6003 - STAFF HOURLY-9 MONTH</v>
      </c>
      <c r="C48" s="11"/>
      <c r="D48" s="7"/>
      <c r="E48" s="2"/>
      <c r="F48" s="6">
        <f t="shared" si="20"/>
        <v>0</v>
      </c>
      <c r="G48" s="2"/>
      <c r="H48" s="7">
        <v>0</v>
      </c>
      <c r="I48" s="2"/>
      <c r="J48" s="6">
        <f t="shared" si="21"/>
        <v>0</v>
      </c>
      <c r="K48" s="2"/>
      <c r="L48" s="7">
        <f t="shared" si="22"/>
        <v>0</v>
      </c>
      <c r="M48" s="2"/>
      <c r="N48" s="6">
        <f t="shared" si="23"/>
        <v>0</v>
      </c>
      <c r="O48" s="11"/>
      <c r="P48" s="7"/>
      <c r="Q48" s="2"/>
      <c r="R48" s="6">
        <f t="shared" si="24"/>
        <v>0</v>
      </c>
      <c r="S48" s="2"/>
      <c r="T48" s="7">
        <v>0</v>
      </c>
      <c r="U48" s="2"/>
      <c r="V48" s="6">
        <f t="shared" si="25"/>
        <v>0</v>
      </c>
      <c r="W48" s="2"/>
      <c r="X48" s="7">
        <f t="shared" si="26"/>
        <v>0</v>
      </c>
      <c r="Y48" s="2"/>
      <c r="Z48" s="6">
        <f t="shared" si="27"/>
        <v>0</v>
      </c>
    </row>
    <row r="49" spans="1:26" s="24" customFormat="1" hidden="1" outlineLevel="2" x14ac:dyDescent="0.3">
      <c r="A49" s="27"/>
      <c r="B49" s="11" t="str">
        <f>CONCATENATE("          ", "6004", " - ", "STAFF HOURLY")</f>
        <v xml:space="preserve">          6004 - STAFF HOURLY</v>
      </c>
      <c r="C49" s="11"/>
      <c r="D49" s="7">
        <v>6871.75</v>
      </c>
      <c r="E49" s="2"/>
      <c r="F49" s="6">
        <f t="shared" si="20"/>
        <v>1.4232916187256564E-2</v>
      </c>
      <c r="G49" s="2"/>
      <c r="H49" s="7">
        <v>7410.7284600000003</v>
      </c>
      <c r="I49" s="2"/>
      <c r="J49" s="6">
        <f t="shared" si="21"/>
        <v>7.0695316537929889E-3</v>
      </c>
      <c r="K49" s="2"/>
      <c r="L49" s="7">
        <f t="shared" si="22"/>
        <v>-538.97846000000027</v>
      </c>
      <c r="M49" s="2"/>
      <c r="N49" s="6">
        <f t="shared" si="23"/>
        <v>-7.2729484410227641E-2</v>
      </c>
      <c r="O49" s="11"/>
      <c r="P49" s="7">
        <v>42434.879999999997</v>
      </c>
      <c r="Q49" s="2"/>
      <c r="R49" s="6">
        <f t="shared" si="24"/>
        <v>2.7403526977894464E-2</v>
      </c>
      <c r="S49" s="2"/>
      <c r="T49" s="7">
        <v>45946.516452000003</v>
      </c>
      <c r="U49" s="2"/>
      <c r="V49" s="6">
        <f t="shared" si="25"/>
        <v>1.5372815339585977E-2</v>
      </c>
      <c r="W49" s="2"/>
      <c r="X49" s="7">
        <f t="shared" si="26"/>
        <v>-3511.6364520000061</v>
      </c>
      <c r="Y49" s="2"/>
      <c r="Z49" s="6">
        <f t="shared" si="27"/>
        <v>-7.6428785535212179E-2</v>
      </c>
    </row>
    <row r="50" spans="1:26" s="24" customFormat="1" hidden="1" outlineLevel="2" x14ac:dyDescent="0.3">
      <c r="A50" s="27"/>
      <c r="B50" s="11" t="str">
        <f>CONCATENATE("          ", "6005", " - ", "TEMPORARY WAGES-HOURLY")</f>
        <v xml:space="preserve">          6005 - TEMPORARY WAGES-HOURLY</v>
      </c>
      <c r="C50" s="11"/>
      <c r="D50" s="7"/>
      <c r="E50" s="2"/>
      <c r="F50" s="6">
        <f t="shared" si="20"/>
        <v>0</v>
      </c>
      <c r="G50" s="2"/>
      <c r="H50" s="7">
        <v>3009.34</v>
      </c>
      <c r="I50" s="2"/>
      <c r="J50" s="6">
        <f t="shared" si="21"/>
        <v>2.8707871974876535E-3</v>
      </c>
      <c r="K50" s="2"/>
      <c r="L50" s="7">
        <f t="shared" si="22"/>
        <v>-3009.34</v>
      </c>
      <c r="M50" s="2"/>
      <c r="N50" s="6">
        <f t="shared" si="23"/>
        <v>-1</v>
      </c>
      <c r="O50" s="11"/>
      <c r="P50" s="7">
        <v>14698.31</v>
      </c>
      <c r="Q50" s="2"/>
      <c r="R50" s="6">
        <f t="shared" si="24"/>
        <v>9.4918504450691513E-3</v>
      </c>
      <c r="S50" s="2"/>
      <c r="T50" s="7">
        <v>25378.34</v>
      </c>
      <c r="U50" s="2"/>
      <c r="V50" s="6">
        <f t="shared" si="25"/>
        <v>8.491101493032692E-3</v>
      </c>
      <c r="W50" s="2"/>
      <c r="X50" s="7">
        <f t="shared" si="26"/>
        <v>-10680.03</v>
      </c>
      <c r="Y50" s="2"/>
      <c r="Z50" s="6">
        <f t="shared" si="27"/>
        <v>-0.42083248943784346</v>
      </c>
    </row>
    <row r="51" spans="1:26" s="24" customFormat="1" hidden="1" outlineLevel="2" x14ac:dyDescent="0.3">
      <c r="A51" s="27"/>
      <c r="B51" s="11" t="str">
        <f>CONCATENATE("          ", "6006", " - ", "TEMPORARY PART TIME")</f>
        <v xml:space="preserve">          6006 - TEMPORARY PART TIME</v>
      </c>
      <c r="C51" s="11"/>
      <c r="D51" s="7"/>
      <c r="E51" s="2"/>
      <c r="F51" s="6">
        <f t="shared" si="20"/>
        <v>0</v>
      </c>
      <c r="G51" s="2"/>
      <c r="H51" s="7">
        <v>0</v>
      </c>
      <c r="I51" s="2"/>
      <c r="J51" s="6">
        <f t="shared" si="21"/>
        <v>0</v>
      </c>
      <c r="K51" s="2"/>
      <c r="L51" s="7">
        <f t="shared" si="22"/>
        <v>0</v>
      </c>
      <c r="M51" s="2"/>
      <c r="N51" s="6">
        <f t="shared" si="23"/>
        <v>0</v>
      </c>
      <c r="O51" s="11"/>
      <c r="P51" s="7"/>
      <c r="Q51" s="2"/>
      <c r="R51" s="6">
        <f t="shared" si="24"/>
        <v>0</v>
      </c>
      <c r="S51" s="2"/>
      <c r="T51" s="7">
        <v>0</v>
      </c>
      <c r="U51" s="2"/>
      <c r="V51" s="6">
        <f t="shared" si="25"/>
        <v>0</v>
      </c>
      <c r="W51" s="2"/>
      <c r="X51" s="7">
        <f t="shared" si="26"/>
        <v>0</v>
      </c>
      <c r="Y51" s="2"/>
      <c r="Z51" s="6">
        <f t="shared" si="27"/>
        <v>0</v>
      </c>
    </row>
    <row r="52" spans="1:26" s="24" customFormat="1" hidden="1" outlineLevel="2" x14ac:dyDescent="0.3">
      <c r="A52" s="27"/>
      <c r="B52" s="11" t="str">
        <f>CONCATENATE("          ", "6007", " - ", "STUDENT HOURLY")</f>
        <v xml:space="preserve">          6007 - STUDENT HOURLY</v>
      </c>
      <c r="C52" s="11"/>
      <c r="D52" s="7">
        <v>5096.2299999999996</v>
      </c>
      <c r="E52" s="2"/>
      <c r="F52" s="6">
        <f t="shared" si="20"/>
        <v>1.0555421029720598E-2</v>
      </c>
      <c r="G52" s="2"/>
      <c r="H52" s="7">
        <v>12526.25</v>
      </c>
      <c r="I52" s="2"/>
      <c r="J52" s="6">
        <f t="shared" si="21"/>
        <v>1.194952984127075E-2</v>
      </c>
      <c r="K52" s="2"/>
      <c r="L52" s="7">
        <f t="shared" si="22"/>
        <v>-7430.02</v>
      </c>
      <c r="M52" s="2"/>
      <c r="N52" s="6">
        <f t="shared" si="23"/>
        <v>-0.59315597245783858</v>
      </c>
      <c r="O52" s="11"/>
      <c r="P52" s="7">
        <v>23841.72</v>
      </c>
      <c r="Q52" s="2"/>
      <c r="R52" s="6">
        <f t="shared" si="24"/>
        <v>1.5396466708976344E-2</v>
      </c>
      <c r="S52" s="2"/>
      <c r="T52" s="7">
        <v>26246.25</v>
      </c>
      <c r="U52" s="2"/>
      <c r="V52" s="6">
        <f t="shared" si="25"/>
        <v>8.7814873849711723E-3</v>
      </c>
      <c r="W52" s="2"/>
      <c r="X52" s="7">
        <f t="shared" si="26"/>
        <v>-2404.5299999999988</v>
      </c>
      <c r="Y52" s="2"/>
      <c r="Z52" s="6">
        <f t="shared" si="27"/>
        <v>-9.1614230604372016E-2</v>
      </c>
    </row>
    <row r="53" spans="1:26" s="24" customFormat="1" hidden="1" outlineLevel="2" x14ac:dyDescent="0.3">
      <c r="A53" s="27"/>
      <c r="B53" s="11" t="str">
        <f>CONCATENATE("          ", "6008", " - ", "STUDENT HOURLY-FICA EXEMPT")</f>
        <v xml:space="preserve">          6008 - STUDENT HOURLY-FICA EXEMPT</v>
      </c>
      <c r="C53" s="11"/>
      <c r="D53" s="7"/>
      <c r="E53" s="2"/>
      <c r="F53" s="6">
        <f t="shared" si="20"/>
        <v>0</v>
      </c>
      <c r="G53" s="2"/>
      <c r="H53" s="7">
        <v>12248.56</v>
      </c>
      <c r="I53" s="2"/>
      <c r="J53" s="6">
        <f t="shared" si="21"/>
        <v>1.1684624946220556E-2</v>
      </c>
      <c r="K53" s="2"/>
      <c r="L53" s="7">
        <f t="shared" si="22"/>
        <v>-12248.56</v>
      </c>
      <c r="M53" s="2"/>
      <c r="N53" s="6">
        <f t="shared" si="23"/>
        <v>-1</v>
      </c>
      <c r="O53" s="11"/>
      <c r="P53" s="7">
        <v>3966.48</v>
      </c>
      <c r="Q53" s="2"/>
      <c r="R53" s="6">
        <f t="shared" si="24"/>
        <v>2.561466927378582E-3</v>
      </c>
      <c r="S53" s="2"/>
      <c r="T53" s="7">
        <v>28488.560000000001</v>
      </c>
      <c r="U53" s="2"/>
      <c r="V53" s="6">
        <f t="shared" si="25"/>
        <v>9.5317209222648708E-3</v>
      </c>
      <c r="W53" s="2"/>
      <c r="X53" s="7">
        <f t="shared" si="26"/>
        <v>-24522.080000000002</v>
      </c>
      <c r="Y53" s="2"/>
      <c r="Z53" s="6">
        <f t="shared" si="27"/>
        <v>-0.86076937549669064</v>
      </c>
    </row>
    <row r="54" spans="1:26" s="24" customFormat="1" hidden="1" outlineLevel="2" x14ac:dyDescent="0.3">
      <c r="A54" s="27"/>
      <c r="B54" s="11" t="str">
        <f>CONCATENATE("          ", "6009", " - ", "TEMPORARY-SEASONAL")</f>
        <v xml:space="preserve">          6009 - TEMPORARY-SEASONAL</v>
      </c>
      <c r="C54" s="11"/>
      <c r="D54" s="7"/>
      <c r="E54" s="2"/>
      <c r="F54" s="6">
        <f t="shared" si="20"/>
        <v>0</v>
      </c>
      <c r="G54" s="2"/>
      <c r="H54" s="7">
        <v>0</v>
      </c>
      <c r="I54" s="2"/>
      <c r="J54" s="6">
        <f t="shared" si="21"/>
        <v>0</v>
      </c>
      <c r="K54" s="2"/>
      <c r="L54" s="7">
        <f t="shared" si="22"/>
        <v>0</v>
      </c>
      <c r="M54" s="2"/>
      <c r="N54" s="6">
        <f t="shared" si="23"/>
        <v>0</v>
      </c>
      <c r="O54" s="11"/>
      <c r="P54" s="7"/>
      <c r="Q54" s="2"/>
      <c r="R54" s="6">
        <f t="shared" si="24"/>
        <v>0</v>
      </c>
      <c r="S54" s="2"/>
      <c r="T54" s="7">
        <v>0</v>
      </c>
      <c r="U54" s="2"/>
      <c r="V54" s="6">
        <f t="shared" si="25"/>
        <v>0</v>
      </c>
      <c r="W54" s="2"/>
      <c r="X54" s="7">
        <f t="shared" si="26"/>
        <v>0</v>
      </c>
      <c r="Y54" s="2"/>
      <c r="Z54" s="6">
        <f t="shared" si="27"/>
        <v>0</v>
      </c>
    </row>
    <row r="55" spans="1:26" s="24" customFormat="1" hidden="1" outlineLevel="2" x14ac:dyDescent="0.3">
      <c r="A55" s="27"/>
      <c r="B55" s="11" t="str">
        <f>CONCATENATE("          ", "6010", " - ", "GRATUITY")</f>
        <v xml:space="preserve">          6010 - GRATUITY</v>
      </c>
      <c r="C55" s="11"/>
      <c r="D55" s="7"/>
      <c r="E55" s="2"/>
      <c r="F55" s="6">
        <f t="shared" si="20"/>
        <v>0</v>
      </c>
      <c r="G55" s="2"/>
      <c r="H55" s="7">
        <v>0</v>
      </c>
      <c r="I55" s="2"/>
      <c r="J55" s="6">
        <f t="shared" si="21"/>
        <v>0</v>
      </c>
      <c r="K55" s="2"/>
      <c r="L55" s="7">
        <f t="shared" si="22"/>
        <v>0</v>
      </c>
      <c r="M55" s="2"/>
      <c r="N55" s="6">
        <f t="shared" si="23"/>
        <v>0</v>
      </c>
      <c r="O55" s="11"/>
      <c r="P55" s="7"/>
      <c r="Q55" s="2"/>
      <c r="R55" s="6">
        <f t="shared" si="24"/>
        <v>0</v>
      </c>
      <c r="S55" s="2"/>
      <c r="T55" s="7">
        <v>0</v>
      </c>
      <c r="U55" s="2"/>
      <c r="V55" s="6">
        <f t="shared" si="25"/>
        <v>0</v>
      </c>
      <c r="W55" s="2"/>
      <c r="X55" s="7">
        <f t="shared" si="26"/>
        <v>0</v>
      </c>
      <c r="Y55" s="2"/>
      <c r="Z55" s="6">
        <f t="shared" si="27"/>
        <v>0</v>
      </c>
    </row>
    <row r="56" spans="1:26" s="28" customFormat="1" outlineLevel="1" collapsed="1" x14ac:dyDescent="0.3">
      <c r="A56" s="29"/>
      <c r="B56" s="14" t="str">
        <f>CONCATENATE("     ","Advertising/Promo                                 ")</f>
        <v xml:space="preserve">     Advertising/Promo                                 </v>
      </c>
      <c r="C56" s="14"/>
      <c r="D56" s="1">
        <f>SUM(OSRRefD22_2x_0)</f>
        <v>0</v>
      </c>
      <c r="E56" s="1"/>
      <c r="F56" s="5">
        <f t="shared" ref="F56:F66" si="28">IF(D$12=0,0,D56/D$12)</f>
        <v>0</v>
      </c>
      <c r="G56" s="1"/>
      <c r="H56" s="1">
        <f>SUM(OSRRefH22_2x_0)</f>
        <v>400</v>
      </c>
      <c r="I56" s="1"/>
      <c r="J56" s="5">
        <f t="shared" ref="J56:J66" si="29">IF(H$12=0,0,H56/H$12)</f>
        <v>3.8158362929913581E-4</v>
      </c>
      <c r="K56" s="1"/>
      <c r="L56" s="1">
        <f t="shared" ref="L56:L66" si="30">+D56-H56</f>
        <v>-400</v>
      </c>
      <c r="M56" s="1"/>
      <c r="N56" s="5">
        <f t="shared" ref="N56:N66" si="31">IF(H56=0,0,L56/H56)</f>
        <v>-1</v>
      </c>
      <c r="O56" s="14"/>
      <c r="P56" s="1">
        <f>SUM(OSRRefP22_2x_0)</f>
        <v>797.25</v>
      </c>
      <c r="Q56" s="1"/>
      <c r="R56" s="5">
        <f t="shared" ref="R56:R66" si="32">IF(P$12=0,0,P56/P$12)</f>
        <v>5.1484679308923134E-4</v>
      </c>
      <c r="S56" s="1"/>
      <c r="T56" s="1">
        <f>SUM(OSRRefT22_2x_0)</f>
        <v>2700</v>
      </c>
      <c r="U56" s="1"/>
      <c r="V56" s="5">
        <f t="shared" ref="V56:V66" si="33">IF(T$12=0,0,T56/T$12)</f>
        <v>9.0336775499060495E-4</v>
      </c>
      <c r="W56" s="1"/>
      <c r="X56" s="1">
        <f t="shared" ref="X56:X66" si="34">+P56-T56</f>
        <v>-1902.75</v>
      </c>
      <c r="Y56" s="1"/>
      <c r="Z56" s="5">
        <f t="shared" ref="Z56:Z66" si="35">IF(T56=0,0,X56/T56)</f>
        <v>-0.70472222222222225</v>
      </c>
    </row>
    <row r="57" spans="1:26" s="24" customFormat="1" hidden="1" outlineLevel="2" x14ac:dyDescent="0.3">
      <c r="A57" s="27"/>
      <c r="B57" s="11" t="str">
        <f>CONCATENATE("          ", "6362", " - ", "ADVERTISING EXPENSE")</f>
        <v xml:space="preserve">          6362 - ADVERTISING EXPENSE</v>
      </c>
      <c r="C57" s="11"/>
      <c r="D57" s="7"/>
      <c r="E57" s="2"/>
      <c r="F57" s="6">
        <f t="shared" si="28"/>
        <v>0</v>
      </c>
      <c r="G57" s="2"/>
      <c r="H57" s="7">
        <v>400</v>
      </c>
      <c r="I57" s="2"/>
      <c r="J57" s="6">
        <f t="shared" si="29"/>
        <v>3.8158362929913581E-4</v>
      </c>
      <c r="K57" s="2"/>
      <c r="L57" s="7">
        <f t="shared" si="30"/>
        <v>-400</v>
      </c>
      <c r="M57" s="2"/>
      <c r="N57" s="6">
        <f t="shared" si="31"/>
        <v>-1</v>
      </c>
      <c r="O57" s="11"/>
      <c r="P57" s="7">
        <v>797.25</v>
      </c>
      <c r="Q57" s="2"/>
      <c r="R57" s="6">
        <f t="shared" si="32"/>
        <v>5.1484679308923134E-4</v>
      </c>
      <c r="S57" s="2"/>
      <c r="T57" s="7">
        <v>2700</v>
      </c>
      <c r="U57" s="2"/>
      <c r="V57" s="6">
        <f t="shared" si="33"/>
        <v>9.0336775499060495E-4</v>
      </c>
      <c r="W57" s="2"/>
      <c r="X57" s="7">
        <f t="shared" si="34"/>
        <v>-1902.75</v>
      </c>
      <c r="Y57" s="2"/>
      <c r="Z57" s="6">
        <f t="shared" si="35"/>
        <v>-0.70472222222222225</v>
      </c>
    </row>
    <row r="58" spans="1:26" s="28" customFormat="1" outlineLevel="1" collapsed="1" x14ac:dyDescent="0.3">
      <c r="A58" s="29"/>
      <c r="B58" s="14" t="str">
        <f>CONCATENATE("     ","Discounts and Markdowns                           ")</f>
        <v xml:space="preserve">     Discounts and Markdowns                           </v>
      </c>
      <c r="C58" s="14"/>
      <c r="D58" s="1">
        <f>SUM(OSRRefD22_3x_0)</f>
        <v>1.35</v>
      </c>
      <c r="E58" s="1"/>
      <c r="F58" s="5">
        <f t="shared" si="28"/>
        <v>2.7961489944768603E-6</v>
      </c>
      <c r="G58" s="1"/>
      <c r="H58" s="1">
        <f>SUM(OSRRefH22_3x_0)</f>
        <v>0</v>
      </c>
      <c r="I58" s="1"/>
      <c r="J58" s="5">
        <f t="shared" si="29"/>
        <v>0</v>
      </c>
      <c r="K58" s="1"/>
      <c r="L58" s="1">
        <f t="shared" si="30"/>
        <v>1.35</v>
      </c>
      <c r="M58" s="1"/>
      <c r="N58" s="5">
        <f t="shared" si="31"/>
        <v>0</v>
      </c>
      <c r="O58" s="14"/>
      <c r="P58" s="1">
        <f>SUM(OSRRefP22_3x_0)</f>
        <v>1.35</v>
      </c>
      <c r="Q58" s="1"/>
      <c r="R58" s="5">
        <f t="shared" si="32"/>
        <v>8.718007785142206E-7</v>
      </c>
      <c r="S58" s="1"/>
      <c r="T58" s="1">
        <f>SUM(OSRRefT22_3x_0)</f>
        <v>0</v>
      </c>
      <c r="U58" s="1"/>
      <c r="V58" s="5">
        <f t="shared" si="33"/>
        <v>0</v>
      </c>
      <c r="W58" s="1"/>
      <c r="X58" s="1">
        <f t="shared" si="34"/>
        <v>1.35</v>
      </c>
      <c r="Y58" s="1"/>
      <c r="Z58" s="5">
        <f t="shared" si="35"/>
        <v>0</v>
      </c>
    </row>
    <row r="59" spans="1:26" s="24" customFormat="1" hidden="1" outlineLevel="2" x14ac:dyDescent="0.3">
      <c r="A59" s="27"/>
      <c r="B59" s="11" t="str">
        <f>CONCATENATE("          ", "6382", " - ", "DISCOUNTS/MARK DOWNS")</f>
        <v xml:space="preserve">          6382 - DISCOUNTS/MARK DOWNS</v>
      </c>
      <c r="C59" s="11"/>
      <c r="D59" s="7">
        <v>1.35</v>
      </c>
      <c r="E59" s="2"/>
      <c r="F59" s="6">
        <f t="shared" si="28"/>
        <v>2.7961489944768603E-6</v>
      </c>
      <c r="G59" s="2"/>
      <c r="H59" s="7"/>
      <c r="I59" s="2"/>
      <c r="J59" s="6">
        <f t="shared" si="29"/>
        <v>0</v>
      </c>
      <c r="K59" s="2"/>
      <c r="L59" s="7">
        <f t="shared" si="30"/>
        <v>1.35</v>
      </c>
      <c r="M59" s="2"/>
      <c r="N59" s="6">
        <f t="shared" si="31"/>
        <v>0</v>
      </c>
      <c r="O59" s="11"/>
      <c r="P59" s="7">
        <v>1.35</v>
      </c>
      <c r="Q59" s="2"/>
      <c r="R59" s="6">
        <f t="shared" si="32"/>
        <v>8.718007785142206E-7</v>
      </c>
      <c r="S59" s="2"/>
      <c r="T59" s="7"/>
      <c r="U59" s="2"/>
      <c r="V59" s="6">
        <f t="shared" si="33"/>
        <v>0</v>
      </c>
      <c r="W59" s="2"/>
      <c r="X59" s="7">
        <f t="shared" si="34"/>
        <v>1.35</v>
      </c>
      <c r="Y59" s="2"/>
      <c r="Z59" s="6">
        <f t="shared" si="35"/>
        <v>0</v>
      </c>
    </row>
    <row r="60" spans="1:26" s="28" customFormat="1" outlineLevel="1" collapsed="1" x14ac:dyDescent="0.3">
      <c r="A60" s="29"/>
      <c r="B60" s="14" t="str">
        <f>CONCATENATE("     ","Employees' Appreciation                           ")</f>
        <v xml:space="preserve">     Employees' Appreciation                           </v>
      </c>
      <c r="C60" s="14"/>
      <c r="D60" s="1">
        <f>SUM(OSRRefD22_4x_0)</f>
        <v>0</v>
      </c>
      <c r="E60" s="1"/>
      <c r="F60" s="5">
        <f t="shared" si="28"/>
        <v>0</v>
      </c>
      <c r="G60" s="1"/>
      <c r="H60" s="1">
        <f>SUM(OSRRefH22_4x_0)</f>
        <v>50</v>
      </c>
      <c r="I60" s="1"/>
      <c r="J60" s="5">
        <f t="shared" si="29"/>
        <v>4.7697953662391977E-5</v>
      </c>
      <c r="K60" s="1"/>
      <c r="L60" s="1">
        <f t="shared" si="30"/>
        <v>-50</v>
      </c>
      <c r="M60" s="1"/>
      <c r="N60" s="5">
        <f t="shared" si="31"/>
        <v>-1</v>
      </c>
      <c r="O60" s="14"/>
      <c r="P60" s="1">
        <f>SUM(OSRRefP22_4x_0)</f>
        <v>0</v>
      </c>
      <c r="Q60" s="1"/>
      <c r="R60" s="5">
        <f t="shared" si="32"/>
        <v>0</v>
      </c>
      <c r="S60" s="1"/>
      <c r="T60" s="1">
        <f>SUM(OSRRefT22_4x_0)</f>
        <v>350</v>
      </c>
      <c r="U60" s="1"/>
      <c r="V60" s="5">
        <f t="shared" si="33"/>
        <v>1.1710322749878212E-4</v>
      </c>
      <c r="W60" s="1"/>
      <c r="X60" s="1">
        <f t="shared" si="34"/>
        <v>-350</v>
      </c>
      <c r="Y60" s="1"/>
      <c r="Z60" s="5">
        <f t="shared" si="35"/>
        <v>-1</v>
      </c>
    </row>
    <row r="61" spans="1:26" s="24" customFormat="1" hidden="1" outlineLevel="2" x14ac:dyDescent="0.3">
      <c r="A61" s="27"/>
      <c r="B61" s="11" t="str">
        <f>CONCATENATE("          ", "6277", " - ", "EMPLOYEE APPRECIATION")</f>
        <v xml:space="preserve">          6277 - EMPLOYEE APPRECIATION</v>
      </c>
      <c r="C61" s="11"/>
      <c r="D61" s="7"/>
      <c r="E61" s="2"/>
      <c r="F61" s="6">
        <f t="shared" si="28"/>
        <v>0</v>
      </c>
      <c r="G61" s="2"/>
      <c r="H61" s="7">
        <v>50</v>
      </c>
      <c r="I61" s="2"/>
      <c r="J61" s="6">
        <f t="shared" si="29"/>
        <v>4.7697953662391977E-5</v>
      </c>
      <c r="K61" s="2"/>
      <c r="L61" s="7">
        <f t="shared" si="30"/>
        <v>-50</v>
      </c>
      <c r="M61" s="2"/>
      <c r="N61" s="6">
        <f t="shared" si="31"/>
        <v>-1</v>
      </c>
      <c r="O61" s="11"/>
      <c r="P61" s="7"/>
      <c r="Q61" s="2"/>
      <c r="R61" s="6">
        <f t="shared" si="32"/>
        <v>0</v>
      </c>
      <c r="S61" s="2"/>
      <c r="T61" s="7">
        <v>350</v>
      </c>
      <c r="U61" s="2"/>
      <c r="V61" s="6">
        <f t="shared" si="33"/>
        <v>1.1710322749878212E-4</v>
      </c>
      <c r="W61" s="2"/>
      <c r="X61" s="7">
        <f t="shared" si="34"/>
        <v>-350</v>
      </c>
      <c r="Y61" s="2"/>
      <c r="Z61" s="6">
        <f t="shared" si="35"/>
        <v>-1</v>
      </c>
    </row>
    <row r="62" spans="1:26" s="28" customFormat="1" outlineLevel="1" collapsed="1" x14ac:dyDescent="0.3">
      <c r="A62" s="29"/>
      <c r="B62" s="14" t="str">
        <f>CONCATENATE("     ","Equipment Rental                                  ")</f>
        <v xml:space="preserve">     Equipment Rental                                  </v>
      </c>
      <c r="C62" s="14"/>
      <c r="D62" s="1">
        <f>SUM(OSRRefD22_5x_0)</f>
        <v>91.26</v>
      </c>
      <c r="E62" s="1"/>
      <c r="F62" s="5">
        <f t="shared" si="28"/>
        <v>1.8901967202663574E-4</v>
      </c>
      <c r="G62" s="1"/>
      <c r="H62" s="1">
        <f>SUM(OSRRefH22_5x_0)</f>
        <v>100</v>
      </c>
      <c r="I62" s="1"/>
      <c r="J62" s="5">
        <f t="shared" si="29"/>
        <v>9.5395907324783953E-5</v>
      </c>
      <c r="K62" s="1"/>
      <c r="L62" s="1">
        <f t="shared" si="30"/>
        <v>-8.7399999999999949</v>
      </c>
      <c r="M62" s="1"/>
      <c r="N62" s="5">
        <f t="shared" si="31"/>
        <v>-8.739999999999995E-2</v>
      </c>
      <c r="O62" s="14"/>
      <c r="P62" s="1">
        <f>SUM(OSRRefP22_5x_0)</f>
        <v>638.82000000000005</v>
      </c>
      <c r="Q62" s="1"/>
      <c r="R62" s="5">
        <f t="shared" si="32"/>
        <v>4.1253612839292923E-4</v>
      </c>
      <c r="S62" s="1"/>
      <c r="T62" s="1">
        <f>SUM(OSRRefT22_5x_0)</f>
        <v>700</v>
      </c>
      <c r="U62" s="1"/>
      <c r="V62" s="5">
        <f t="shared" si="33"/>
        <v>2.3420645499756424E-4</v>
      </c>
      <c r="W62" s="1"/>
      <c r="X62" s="1">
        <f t="shared" si="34"/>
        <v>-61.17999999999995</v>
      </c>
      <c r="Y62" s="1"/>
      <c r="Z62" s="5">
        <f t="shared" si="35"/>
        <v>-8.7399999999999922E-2</v>
      </c>
    </row>
    <row r="63" spans="1:26" s="24" customFormat="1" hidden="1" outlineLevel="2" x14ac:dyDescent="0.3">
      <c r="A63" s="27"/>
      <c r="B63" s="11" t="str">
        <f>CONCATENATE("          ", "6351", " - ", "EQUIPMENT RENTAL")</f>
        <v xml:space="preserve">          6351 - EQUIPMENT RENTAL</v>
      </c>
      <c r="C63" s="11"/>
      <c r="D63" s="7">
        <v>91.26</v>
      </c>
      <c r="E63" s="2"/>
      <c r="F63" s="6">
        <f t="shared" si="28"/>
        <v>1.8901967202663574E-4</v>
      </c>
      <c r="G63" s="2"/>
      <c r="H63" s="7">
        <v>100</v>
      </c>
      <c r="I63" s="2"/>
      <c r="J63" s="6">
        <f t="shared" si="29"/>
        <v>9.5395907324783953E-5</v>
      </c>
      <c r="K63" s="2"/>
      <c r="L63" s="7">
        <f t="shared" si="30"/>
        <v>-8.7399999999999949</v>
      </c>
      <c r="M63" s="2"/>
      <c r="N63" s="6">
        <f t="shared" si="31"/>
        <v>-8.739999999999995E-2</v>
      </c>
      <c r="O63" s="11"/>
      <c r="P63" s="7">
        <v>638.82000000000005</v>
      </c>
      <c r="Q63" s="2"/>
      <c r="R63" s="6">
        <f t="shared" si="32"/>
        <v>4.1253612839292923E-4</v>
      </c>
      <c r="S63" s="2"/>
      <c r="T63" s="7">
        <v>700</v>
      </c>
      <c r="U63" s="2"/>
      <c r="V63" s="6">
        <f t="shared" si="33"/>
        <v>2.3420645499756424E-4</v>
      </c>
      <c r="W63" s="2"/>
      <c r="X63" s="7">
        <f t="shared" si="34"/>
        <v>-61.17999999999995</v>
      </c>
      <c r="Y63" s="2"/>
      <c r="Z63" s="6">
        <f t="shared" si="35"/>
        <v>-8.7399999999999922E-2</v>
      </c>
    </row>
    <row r="64" spans="1:26" s="28" customFormat="1" outlineLevel="1" collapsed="1" x14ac:dyDescent="0.3">
      <c r="A64" s="29"/>
      <c r="B64" s="14" t="str">
        <f>CONCATENATE("     ","Freight out/Postage                               ")</f>
        <v xml:space="preserve">     Freight out/Postage                               </v>
      </c>
      <c r="C64" s="14"/>
      <c r="D64" s="1">
        <f>SUM(OSRRefD22_6x_0)</f>
        <v>1131.33</v>
      </c>
      <c r="E64" s="1"/>
      <c r="F64" s="5">
        <f t="shared" si="28"/>
        <v>2.3432349940159304E-3</v>
      </c>
      <c r="G64" s="1"/>
      <c r="H64" s="1">
        <f>SUM(OSRRefH22_6x_0)</f>
        <v>800</v>
      </c>
      <c r="I64" s="1"/>
      <c r="J64" s="5">
        <f t="shared" si="29"/>
        <v>7.6316725859827163E-4</v>
      </c>
      <c r="K64" s="1"/>
      <c r="L64" s="1">
        <f t="shared" si="30"/>
        <v>331.32999999999993</v>
      </c>
      <c r="M64" s="1"/>
      <c r="N64" s="5">
        <f t="shared" si="31"/>
        <v>0.41416249999999993</v>
      </c>
      <c r="O64" s="14"/>
      <c r="P64" s="1">
        <f>SUM(OSRRefP22_6x_0)</f>
        <v>5622.11</v>
      </c>
      <c r="Q64" s="1"/>
      <c r="R64" s="5">
        <f t="shared" si="32"/>
        <v>3.6306369443648775E-3</v>
      </c>
      <c r="S64" s="1"/>
      <c r="T64" s="1">
        <f>SUM(OSRRefT22_6x_0)</f>
        <v>8700</v>
      </c>
      <c r="U64" s="1"/>
      <c r="V64" s="5">
        <f t="shared" si="33"/>
        <v>2.9108516549697272E-3</v>
      </c>
      <c r="W64" s="1"/>
      <c r="X64" s="1">
        <f t="shared" si="34"/>
        <v>-3077.8900000000003</v>
      </c>
      <c r="Y64" s="1"/>
      <c r="Z64" s="5">
        <f t="shared" si="35"/>
        <v>-0.35378045977011496</v>
      </c>
    </row>
    <row r="65" spans="1:26" s="24" customFormat="1" hidden="1" outlineLevel="2" x14ac:dyDescent="0.3">
      <c r="A65" s="27"/>
      <c r="B65" s="11" t="str">
        <f>CONCATENATE("          ", "6305", " - ", "FREIGHT OUT")</f>
        <v xml:space="preserve">          6305 - FREIGHT OUT</v>
      </c>
      <c r="C65" s="11"/>
      <c r="D65" s="7">
        <v>1130.8</v>
      </c>
      <c r="E65" s="2"/>
      <c r="F65" s="6">
        <f t="shared" si="28"/>
        <v>2.3421372466329135E-3</v>
      </c>
      <c r="G65" s="2"/>
      <c r="H65" s="7">
        <v>800</v>
      </c>
      <c r="I65" s="2"/>
      <c r="J65" s="6">
        <f t="shared" si="29"/>
        <v>7.6316725859827163E-4</v>
      </c>
      <c r="K65" s="2"/>
      <c r="L65" s="7">
        <f t="shared" si="30"/>
        <v>330.79999999999995</v>
      </c>
      <c r="M65" s="2"/>
      <c r="N65" s="6">
        <f t="shared" si="31"/>
        <v>0.41349999999999992</v>
      </c>
      <c r="O65" s="11"/>
      <c r="P65" s="7">
        <v>5621.58</v>
      </c>
      <c r="Q65" s="2"/>
      <c r="R65" s="6">
        <f t="shared" si="32"/>
        <v>3.6302946818370162E-3</v>
      </c>
      <c r="S65" s="2"/>
      <c r="T65" s="7">
        <v>8700</v>
      </c>
      <c r="U65" s="2"/>
      <c r="V65" s="6">
        <f t="shared" si="33"/>
        <v>2.9108516549697272E-3</v>
      </c>
      <c r="W65" s="2"/>
      <c r="X65" s="7">
        <f t="shared" si="34"/>
        <v>-3078.42</v>
      </c>
      <c r="Y65" s="2"/>
      <c r="Z65" s="6">
        <f t="shared" si="35"/>
        <v>-0.35384137931034482</v>
      </c>
    </row>
    <row r="66" spans="1:26" s="24" customFormat="1" hidden="1" outlineLevel="2" x14ac:dyDescent="0.3">
      <c r="A66" s="27"/>
      <c r="B66" s="11" t="str">
        <f>CONCATENATE("          ", "6307", " - ", "POSTAGE")</f>
        <v xml:space="preserve">          6307 - POSTAGE</v>
      </c>
      <c r="C66" s="11"/>
      <c r="D66" s="7">
        <v>0.53</v>
      </c>
      <c r="E66" s="2"/>
      <c r="F66" s="6">
        <f t="shared" si="28"/>
        <v>1.0977473830168415E-6</v>
      </c>
      <c r="G66" s="2"/>
      <c r="H66" s="7"/>
      <c r="I66" s="2"/>
      <c r="J66" s="6">
        <f t="shared" si="29"/>
        <v>0</v>
      </c>
      <c r="K66" s="2"/>
      <c r="L66" s="7">
        <f t="shared" si="30"/>
        <v>0.53</v>
      </c>
      <c r="M66" s="2"/>
      <c r="N66" s="6">
        <f t="shared" si="31"/>
        <v>0</v>
      </c>
      <c r="O66" s="11"/>
      <c r="P66" s="7">
        <v>0.53</v>
      </c>
      <c r="Q66" s="2"/>
      <c r="R66" s="6">
        <f t="shared" si="32"/>
        <v>3.4226252786113848E-7</v>
      </c>
      <c r="S66" s="2"/>
      <c r="T66" s="7"/>
      <c r="U66" s="2"/>
      <c r="V66" s="6">
        <f t="shared" si="33"/>
        <v>0</v>
      </c>
      <c r="W66" s="2"/>
      <c r="X66" s="7">
        <f t="shared" si="34"/>
        <v>0.53</v>
      </c>
      <c r="Y66" s="2"/>
      <c r="Z66" s="6">
        <f t="shared" si="35"/>
        <v>0</v>
      </c>
    </row>
    <row r="67" spans="1:26" s="28" customFormat="1" outlineLevel="1" collapsed="1" x14ac:dyDescent="0.3">
      <c r="A67" s="29"/>
      <c r="B67" s="14" t="str">
        <f>CONCATENATE("     ","General                                           ")</f>
        <v xml:space="preserve">     General                                           </v>
      </c>
      <c r="C67" s="14"/>
      <c r="D67" s="1">
        <f>SUM(OSRRefD22_7x_0)</f>
        <v>0</v>
      </c>
      <c r="E67" s="1"/>
      <c r="F67" s="5">
        <f t="shared" ref="F67:F74" si="36">IF(D$12=0,0,D67/D$12)</f>
        <v>0</v>
      </c>
      <c r="G67" s="1"/>
      <c r="H67" s="1">
        <f>SUM(OSRRefH22_7x_0)</f>
        <v>0</v>
      </c>
      <c r="I67" s="1"/>
      <c r="J67" s="5">
        <f t="shared" ref="J67:J74" si="37">IF(H$12=0,0,H67/H$12)</f>
        <v>0</v>
      </c>
      <c r="K67" s="1"/>
      <c r="L67" s="1">
        <f t="shared" ref="L67:L74" si="38">+D67-H67</f>
        <v>0</v>
      </c>
      <c r="M67" s="1"/>
      <c r="N67" s="5">
        <f t="shared" ref="N67:N74" si="39">IF(H67=0,0,L67/H67)</f>
        <v>0</v>
      </c>
      <c r="O67" s="14"/>
      <c r="P67" s="1">
        <f>SUM(OSRRefP22_7x_0)</f>
        <v>0</v>
      </c>
      <c r="Q67" s="1"/>
      <c r="R67" s="5">
        <f t="shared" ref="R67:R74" si="40">IF(P$12=0,0,P67/P$12)</f>
        <v>0</v>
      </c>
      <c r="S67" s="1"/>
      <c r="T67" s="1">
        <f>SUM(OSRRefT22_7x_0)</f>
        <v>1375</v>
      </c>
      <c r="U67" s="1"/>
      <c r="V67" s="5">
        <f t="shared" ref="V67:V74" si="41">IF(T$12=0,0,T67/T$12)</f>
        <v>4.6004839374521548E-4</v>
      </c>
      <c r="W67" s="1"/>
      <c r="X67" s="1">
        <f t="shared" ref="X67:X74" si="42">+P67-T67</f>
        <v>-1375</v>
      </c>
      <c r="Y67" s="1"/>
      <c r="Z67" s="5">
        <f t="shared" ref="Z67:Z74" si="43">IF(T67=0,0,X67/T67)</f>
        <v>-1</v>
      </c>
    </row>
    <row r="68" spans="1:26" s="24" customFormat="1" hidden="1" outlineLevel="2" x14ac:dyDescent="0.3">
      <c r="A68" s="27"/>
      <c r="B68" s="11" t="str">
        <f>CONCATENATE("          ", "6279", " - ", "GENERAL EXPENSE")</f>
        <v xml:space="preserve">          6279 - GENERAL EXPENSE</v>
      </c>
      <c r="C68" s="11"/>
      <c r="D68" s="7"/>
      <c r="E68" s="2"/>
      <c r="F68" s="6">
        <f t="shared" si="36"/>
        <v>0</v>
      </c>
      <c r="G68" s="2"/>
      <c r="H68" s="7">
        <v>0</v>
      </c>
      <c r="I68" s="2"/>
      <c r="J68" s="6">
        <f t="shared" si="37"/>
        <v>0</v>
      </c>
      <c r="K68" s="2"/>
      <c r="L68" s="7">
        <f t="shared" si="38"/>
        <v>0</v>
      </c>
      <c r="M68" s="2"/>
      <c r="N68" s="6">
        <f t="shared" si="39"/>
        <v>0</v>
      </c>
      <c r="O68" s="11"/>
      <c r="P68" s="7"/>
      <c r="Q68" s="2"/>
      <c r="R68" s="6">
        <f t="shared" si="40"/>
        <v>0</v>
      </c>
      <c r="S68" s="2"/>
      <c r="T68" s="7">
        <v>1375</v>
      </c>
      <c r="U68" s="2"/>
      <c r="V68" s="6">
        <f t="shared" si="41"/>
        <v>4.6004839374521548E-4</v>
      </c>
      <c r="W68" s="2"/>
      <c r="X68" s="7">
        <f t="shared" si="42"/>
        <v>-1375</v>
      </c>
      <c r="Y68" s="2"/>
      <c r="Z68" s="6">
        <f t="shared" si="43"/>
        <v>-1</v>
      </c>
    </row>
    <row r="69" spans="1:26" s="28" customFormat="1" outlineLevel="1" collapsed="1" x14ac:dyDescent="0.3">
      <c r="A69" s="29"/>
      <c r="B69" s="14" t="str">
        <f>CONCATENATE("     ","Inventory Adjustment                              ")</f>
        <v xml:space="preserve">     Inventory Adjustment                              </v>
      </c>
      <c r="C69" s="14"/>
      <c r="D69" s="1">
        <f>SUM(OSRRefD22_8x_0)</f>
        <v>1000</v>
      </c>
      <c r="E69" s="1"/>
      <c r="F69" s="5">
        <f t="shared" si="36"/>
        <v>2.0712214773902665E-3</v>
      </c>
      <c r="G69" s="1"/>
      <c r="H69" s="1">
        <f>SUM(OSRRefH22_8x_0)</f>
        <v>1000</v>
      </c>
      <c r="I69" s="1"/>
      <c r="J69" s="5">
        <f t="shared" si="37"/>
        <v>9.5395907324783953E-4</v>
      </c>
      <c r="K69" s="1"/>
      <c r="L69" s="1">
        <f t="shared" si="38"/>
        <v>0</v>
      </c>
      <c r="M69" s="1"/>
      <c r="N69" s="5">
        <f t="shared" si="39"/>
        <v>0</v>
      </c>
      <c r="O69" s="14"/>
      <c r="P69" s="1">
        <f>SUM(OSRRefP22_8x_0)</f>
        <v>11000</v>
      </c>
      <c r="Q69" s="1"/>
      <c r="R69" s="5">
        <f t="shared" si="40"/>
        <v>7.1035618990047599E-3</v>
      </c>
      <c r="S69" s="1"/>
      <c r="T69" s="1">
        <f>SUM(OSRRefT22_8x_0)</f>
        <v>11000</v>
      </c>
      <c r="U69" s="1"/>
      <c r="V69" s="5">
        <f t="shared" si="41"/>
        <v>3.6803871499617238E-3</v>
      </c>
      <c r="W69" s="1"/>
      <c r="X69" s="1">
        <f t="shared" si="42"/>
        <v>0</v>
      </c>
      <c r="Y69" s="1"/>
      <c r="Z69" s="5">
        <f t="shared" si="43"/>
        <v>0</v>
      </c>
    </row>
    <row r="70" spans="1:26" s="24" customFormat="1" hidden="1" outlineLevel="2" x14ac:dyDescent="0.3">
      <c r="A70" s="27"/>
      <c r="B70" s="11" t="str">
        <f>CONCATENATE("          ", "6408", " - ", "INVENTORY ADJUSTMENT")</f>
        <v xml:space="preserve">          6408 - INVENTORY ADJUSTMENT</v>
      </c>
      <c r="C70" s="11"/>
      <c r="D70" s="7">
        <v>1000</v>
      </c>
      <c r="E70" s="2"/>
      <c r="F70" s="6">
        <f t="shared" si="36"/>
        <v>2.0712214773902665E-3</v>
      </c>
      <c r="G70" s="2"/>
      <c r="H70" s="7">
        <v>1000</v>
      </c>
      <c r="I70" s="2"/>
      <c r="J70" s="6">
        <f t="shared" si="37"/>
        <v>9.5395907324783953E-4</v>
      </c>
      <c r="K70" s="2"/>
      <c r="L70" s="7">
        <f t="shared" si="38"/>
        <v>0</v>
      </c>
      <c r="M70" s="2"/>
      <c r="N70" s="6">
        <f t="shared" si="39"/>
        <v>0</v>
      </c>
      <c r="O70" s="11"/>
      <c r="P70" s="7">
        <v>11000</v>
      </c>
      <c r="Q70" s="2"/>
      <c r="R70" s="6">
        <f t="shared" si="40"/>
        <v>7.1035618990047599E-3</v>
      </c>
      <c r="S70" s="2"/>
      <c r="T70" s="7">
        <v>11000</v>
      </c>
      <c r="U70" s="2"/>
      <c r="V70" s="6">
        <f t="shared" si="41"/>
        <v>3.6803871499617238E-3</v>
      </c>
      <c r="W70" s="2"/>
      <c r="X70" s="7">
        <f t="shared" si="42"/>
        <v>0</v>
      </c>
      <c r="Y70" s="2"/>
      <c r="Z70" s="6">
        <f t="shared" si="43"/>
        <v>0</v>
      </c>
    </row>
    <row r="71" spans="1:26" s="28" customFormat="1" outlineLevel="1" collapsed="1" x14ac:dyDescent="0.3">
      <c r="A71" s="29"/>
      <c r="B71" s="14" t="str">
        <f>CONCATENATE("     ","Repair and Maintenance                            ")</f>
        <v xml:space="preserve">     Repair and Maintenance                            </v>
      </c>
      <c r="C71" s="14"/>
      <c r="D71" s="1">
        <f>SUM(OSRRefD22_9x_0)</f>
        <v>9.94</v>
      </c>
      <c r="E71" s="1"/>
      <c r="F71" s="5">
        <f t="shared" si="36"/>
        <v>2.0587941485259248E-5</v>
      </c>
      <c r="G71" s="1"/>
      <c r="H71" s="1">
        <f>SUM(OSRRefH22_9x_0)</f>
        <v>80</v>
      </c>
      <c r="I71" s="1"/>
      <c r="J71" s="5">
        <f t="shared" si="37"/>
        <v>7.6316725859827165E-5</v>
      </c>
      <c r="K71" s="1"/>
      <c r="L71" s="1">
        <f t="shared" si="38"/>
        <v>-70.06</v>
      </c>
      <c r="M71" s="1"/>
      <c r="N71" s="5">
        <f t="shared" si="39"/>
        <v>-0.87575000000000003</v>
      </c>
      <c r="O71" s="14"/>
      <c r="P71" s="1">
        <f>SUM(OSRRefP22_9x_0)</f>
        <v>5879</v>
      </c>
      <c r="Q71" s="1"/>
      <c r="R71" s="5">
        <f t="shared" si="40"/>
        <v>3.7965309458408169E-3</v>
      </c>
      <c r="S71" s="1"/>
      <c r="T71" s="1">
        <f>SUM(OSRRefT22_9x_0)</f>
        <v>560</v>
      </c>
      <c r="U71" s="1"/>
      <c r="V71" s="5">
        <f t="shared" si="41"/>
        <v>1.8736516399805141E-4</v>
      </c>
      <c r="W71" s="1"/>
      <c r="X71" s="1">
        <f t="shared" si="42"/>
        <v>5319</v>
      </c>
      <c r="Y71" s="1"/>
      <c r="Z71" s="5">
        <f t="shared" si="43"/>
        <v>9.4982142857142851</v>
      </c>
    </row>
    <row r="72" spans="1:26" s="24" customFormat="1" hidden="1" outlineLevel="2" x14ac:dyDescent="0.3">
      <c r="A72" s="27"/>
      <c r="B72" s="11" t="str">
        <f>CONCATENATE("          ", "6371", " - ", "COMPUTER SOFTWARE MAINTENANCE")</f>
        <v xml:space="preserve">          6371 - COMPUTER SOFTWARE MAINTENANCE</v>
      </c>
      <c r="C72" s="11"/>
      <c r="D72" s="7"/>
      <c r="E72" s="2"/>
      <c r="F72" s="6">
        <f t="shared" si="36"/>
        <v>0</v>
      </c>
      <c r="G72" s="2"/>
      <c r="H72" s="7"/>
      <c r="I72" s="2"/>
      <c r="J72" s="6">
        <f t="shared" si="37"/>
        <v>0</v>
      </c>
      <c r="K72" s="2"/>
      <c r="L72" s="7">
        <f t="shared" si="38"/>
        <v>0</v>
      </c>
      <c r="M72" s="2"/>
      <c r="N72" s="6">
        <f t="shared" si="39"/>
        <v>0</v>
      </c>
      <c r="O72" s="11"/>
      <c r="P72" s="7">
        <v>5775</v>
      </c>
      <c r="Q72" s="2"/>
      <c r="R72" s="6">
        <f t="shared" si="40"/>
        <v>3.729369996977499E-3</v>
      </c>
      <c r="S72" s="2"/>
      <c r="T72" s="7"/>
      <c r="U72" s="2"/>
      <c r="V72" s="6">
        <f t="shared" si="41"/>
        <v>0</v>
      </c>
      <c r="W72" s="2"/>
      <c r="X72" s="7">
        <f t="shared" si="42"/>
        <v>5775</v>
      </c>
      <c r="Y72" s="2"/>
      <c r="Z72" s="6">
        <f t="shared" si="43"/>
        <v>0</v>
      </c>
    </row>
    <row r="73" spans="1:26" s="24" customFormat="1" hidden="1" outlineLevel="2" x14ac:dyDescent="0.3">
      <c r="A73" s="27"/>
      <c r="B73" s="11" t="str">
        <f>CONCATENATE("          ", "6373", " - ", "MAINTENANCE CONTRACTS")</f>
        <v xml:space="preserve">          6373 - MAINTENANCE CONTRACTS</v>
      </c>
      <c r="C73" s="11"/>
      <c r="D73" s="7">
        <v>9.94</v>
      </c>
      <c r="E73" s="2"/>
      <c r="F73" s="6">
        <f t="shared" si="36"/>
        <v>2.0587941485259248E-5</v>
      </c>
      <c r="G73" s="2"/>
      <c r="H73" s="7">
        <v>40</v>
      </c>
      <c r="I73" s="2"/>
      <c r="J73" s="6">
        <f t="shared" si="37"/>
        <v>3.8158362929913583E-5</v>
      </c>
      <c r="K73" s="2"/>
      <c r="L73" s="7">
        <f t="shared" si="38"/>
        <v>-30.060000000000002</v>
      </c>
      <c r="M73" s="2"/>
      <c r="N73" s="6">
        <f t="shared" si="39"/>
        <v>-0.75150000000000006</v>
      </c>
      <c r="O73" s="11"/>
      <c r="P73" s="7">
        <v>104</v>
      </c>
      <c r="Q73" s="2"/>
      <c r="R73" s="6">
        <f t="shared" si="40"/>
        <v>6.7160948863317739E-5</v>
      </c>
      <c r="S73" s="2"/>
      <c r="T73" s="7">
        <v>280</v>
      </c>
      <c r="U73" s="2"/>
      <c r="V73" s="6">
        <f t="shared" si="41"/>
        <v>9.3682581999025703E-5</v>
      </c>
      <c r="W73" s="2"/>
      <c r="X73" s="7">
        <f t="shared" si="42"/>
        <v>-176</v>
      </c>
      <c r="Y73" s="2"/>
      <c r="Z73" s="6">
        <f t="shared" si="43"/>
        <v>-0.62857142857142856</v>
      </c>
    </row>
    <row r="74" spans="1:26" s="24" customFormat="1" hidden="1" outlineLevel="2" x14ac:dyDescent="0.3">
      <c r="A74" s="27"/>
      <c r="B74" s="11" t="str">
        <f>CONCATENATE("          ", "6375", " - ", "OUTSIDE REPAIRS &amp; MAINTENANCE")</f>
        <v xml:space="preserve">          6375 - OUTSIDE REPAIRS &amp; MAINTENANCE</v>
      </c>
      <c r="C74" s="11"/>
      <c r="D74" s="7"/>
      <c r="E74" s="2"/>
      <c r="F74" s="6">
        <f t="shared" si="36"/>
        <v>0</v>
      </c>
      <c r="G74" s="2"/>
      <c r="H74" s="7">
        <v>40</v>
      </c>
      <c r="I74" s="2"/>
      <c r="J74" s="6">
        <f t="shared" si="37"/>
        <v>3.8158362929913583E-5</v>
      </c>
      <c r="K74" s="2"/>
      <c r="L74" s="7">
        <f t="shared" si="38"/>
        <v>-40</v>
      </c>
      <c r="M74" s="2"/>
      <c r="N74" s="6">
        <f t="shared" si="39"/>
        <v>-1</v>
      </c>
      <c r="O74" s="11"/>
      <c r="P74" s="7"/>
      <c r="Q74" s="2"/>
      <c r="R74" s="6">
        <f t="shared" si="40"/>
        <v>0</v>
      </c>
      <c r="S74" s="2"/>
      <c r="T74" s="7">
        <v>280</v>
      </c>
      <c r="U74" s="2"/>
      <c r="V74" s="6">
        <f t="shared" si="41"/>
        <v>9.3682581999025703E-5</v>
      </c>
      <c r="W74" s="2"/>
      <c r="X74" s="7">
        <f t="shared" si="42"/>
        <v>-280</v>
      </c>
      <c r="Y74" s="2"/>
      <c r="Z74" s="6">
        <f t="shared" si="43"/>
        <v>-1</v>
      </c>
    </row>
    <row r="75" spans="1:26" s="28" customFormat="1" outlineLevel="1" collapsed="1" x14ac:dyDescent="0.3">
      <c r="A75" s="29"/>
      <c r="B75" s="14" t="str">
        <f>CONCATENATE("     ","Subscriptions &amp; Dues                              ")</f>
        <v xml:space="preserve">     Subscriptions &amp; Dues                              </v>
      </c>
      <c r="C75" s="14"/>
      <c r="D75" s="1">
        <f>SUM(OSRRefD22_10x_0)</f>
        <v>301.99</v>
      </c>
      <c r="E75" s="1"/>
      <c r="F75" s="5">
        <f t="shared" ref="F75:F77" si="44">IF(D$12=0,0,D75/D$12)</f>
        <v>6.2548817395708669E-4</v>
      </c>
      <c r="G75" s="1"/>
      <c r="H75" s="1">
        <f>SUM(OSRRefH22_10x_0)</f>
        <v>2200</v>
      </c>
      <c r="I75" s="1"/>
      <c r="J75" s="5">
        <f t="shared" ref="J75:J77" si="45">IF(H$12=0,0,H75/H$12)</f>
        <v>2.098709961145247E-3</v>
      </c>
      <c r="K75" s="1"/>
      <c r="L75" s="1">
        <f t="shared" ref="L75:L77" si="46">+D75-H75</f>
        <v>-1898.01</v>
      </c>
      <c r="M75" s="1"/>
      <c r="N75" s="5">
        <f t="shared" ref="N75:N77" si="47">IF(H75=0,0,L75/H75)</f>
        <v>-0.86273181818181821</v>
      </c>
      <c r="O75" s="14"/>
      <c r="P75" s="1">
        <f>SUM(OSRRefP22_10x_0)</f>
        <v>1813.73</v>
      </c>
      <c r="Q75" s="1"/>
      <c r="R75" s="5">
        <f t="shared" ref="R75:R77" si="48">IF(P$12=0,0,P75/P$12)</f>
        <v>1.1712675748256276E-3</v>
      </c>
      <c r="S75" s="1"/>
      <c r="T75" s="1">
        <f>SUM(OSRRefT22_10x_0)</f>
        <v>4000</v>
      </c>
      <c r="U75" s="1"/>
      <c r="V75" s="5">
        <f t="shared" ref="V75:V77" si="49">IF(T$12=0,0,T75/T$12)</f>
        <v>1.3383225999860815E-3</v>
      </c>
      <c r="W75" s="1"/>
      <c r="X75" s="1">
        <f t="shared" ref="X75:X77" si="50">+P75-T75</f>
        <v>-2186.27</v>
      </c>
      <c r="Y75" s="1"/>
      <c r="Z75" s="5">
        <f t="shared" ref="Z75:Z77" si="51">IF(T75=0,0,X75/T75)</f>
        <v>-0.54656749999999998</v>
      </c>
    </row>
    <row r="76" spans="1:26" s="24" customFormat="1" hidden="1" outlineLevel="2" x14ac:dyDescent="0.3">
      <c r="A76" s="27"/>
      <c r="B76" s="11" t="str">
        <f>CONCATENATE("          ", "6258", " - ", "MEMBERSHIP DUES")</f>
        <v xml:space="preserve">          6258 - MEMBERSHIP DUES</v>
      </c>
      <c r="C76" s="11"/>
      <c r="D76" s="7">
        <v>301.99</v>
      </c>
      <c r="E76" s="2"/>
      <c r="F76" s="6">
        <f t="shared" si="44"/>
        <v>6.2548817395708669E-4</v>
      </c>
      <c r="G76" s="2"/>
      <c r="H76" s="7">
        <v>300</v>
      </c>
      <c r="I76" s="2"/>
      <c r="J76" s="6">
        <f t="shared" si="45"/>
        <v>2.8618772197435186E-4</v>
      </c>
      <c r="K76" s="2"/>
      <c r="L76" s="7">
        <f t="shared" si="46"/>
        <v>1.9900000000000091</v>
      </c>
      <c r="M76" s="2"/>
      <c r="N76" s="6">
        <f t="shared" si="47"/>
        <v>6.6333333333333635E-3</v>
      </c>
      <c r="O76" s="11"/>
      <c r="P76" s="7">
        <v>1813.73</v>
      </c>
      <c r="Q76" s="2"/>
      <c r="R76" s="6">
        <f t="shared" si="48"/>
        <v>1.1712675748256276E-3</v>
      </c>
      <c r="S76" s="2"/>
      <c r="T76" s="7">
        <v>2100</v>
      </c>
      <c r="U76" s="2"/>
      <c r="V76" s="6">
        <f t="shared" si="49"/>
        <v>7.0261936499269278E-4</v>
      </c>
      <c r="W76" s="2"/>
      <c r="X76" s="7">
        <f t="shared" si="50"/>
        <v>-286.27</v>
      </c>
      <c r="Y76" s="2"/>
      <c r="Z76" s="6">
        <f t="shared" si="51"/>
        <v>-0.13631904761904762</v>
      </c>
    </row>
    <row r="77" spans="1:26" s="24" customFormat="1" hidden="1" outlineLevel="2" x14ac:dyDescent="0.3">
      <c r="A77" s="27"/>
      <c r="B77" s="11" t="str">
        <f>CONCATENATE("          ", "6275", " - ", "SUBSCRIPTIONS")</f>
        <v xml:space="preserve">          6275 - SUBSCRIPTIONS</v>
      </c>
      <c r="C77" s="11"/>
      <c r="D77" s="7"/>
      <c r="E77" s="2"/>
      <c r="F77" s="6">
        <f t="shared" si="44"/>
        <v>0</v>
      </c>
      <c r="G77" s="2"/>
      <c r="H77" s="7">
        <v>1900</v>
      </c>
      <c r="I77" s="2"/>
      <c r="J77" s="6">
        <f t="shared" si="45"/>
        <v>1.8125222391708951E-3</v>
      </c>
      <c r="K77" s="2"/>
      <c r="L77" s="7">
        <f t="shared" si="46"/>
        <v>-1900</v>
      </c>
      <c r="M77" s="2"/>
      <c r="N77" s="6">
        <f t="shared" si="47"/>
        <v>-1</v>
      </c>
      <c r="O77" s="11"/>
      <c r="P77" s="7"/>
      <c r="Q77" s="2"/>
      <c r="R77" s="6">
        <f t="shared" si="48"/>
        <v>0</v>
      </c>
      <c r="S77" s="2"/>
      <c r="T77" s="7">
        <v>1900</v>
      </c>
      <c r="U77" s="2"/>
      <c r="V77" s="6">
        <f t="shared" si="49"/>
        <v>6.3570323499338873E-4</v>
      </c>
      <c r="W77" s="2"/>
      <c r="X77" s="7">
        <f t="shared" si="50"/>
        <v>-1900</v>
      </c>
      <c r="Y77" s="2"/>
      <c r="Z77" s="6">
        <f t="shared" si="51"/>
        <v>-1</v>
      </c>
    </row>
    <row r="78" spans="1:26" s="28" customFormat="1" outlineLevel="1" collapsed="1" x14ac:dyDescent="0.3">
      <c r="A78" s="29"/>
      <c r="B78" s="14" t="str">
        <f>CONCATENATE("     ","Supplies                                          ")</f>
        <v xml:space="preserve">     Supplies                                          </v>
      </c>
      <c r="C78" s="14"/>
      <c r="D78" s="1">
        <f>SUM(OSRRefD22_11x_0)</f>
        <v>45</v>
      </c>
      <c r="E78" s="1"/>
      <c r="F78" s="5">
        <f t="shared" ref="F78:F80" si="52">IF(D$12=0,0,D78/D$12)</f>
        <v>9.3204966482562002E-5</v>
      </c>
      <c r="G78" s="1"/>
      <c r="H78" s="1">
        <f>SUM(OSRRefH22_11x_0)</f>
        <v>800</v>
      </c>
      <c r="I78" s="1"/>
      <c r="J78" s="5">
        <f t="shared" ref="J78:J80" si="53">IF(H$12=0,0,H78/H$12)</f>
        <v>7.6316725859827163E-4</v>
      </c>
      <c r="K78" s="1"/>
      <c r="L78" s="1">
        <f t="shared" ref="L78:L80" si="54">+D78-H78</f>
        <v>-755</v>
      </c>
      <c r="M78" s="1"/>
      <c r="N78" s="5">
        <f t="shared" ref="N78:N80" si="55">IF(H78=0,0,L78/H78)</f>
        <v>-0.94374999999999998</v>
      </c>
      <c r="O78" s="14"/>
      <c r="P78" s="1">
        <f>SUM(OSRRefP22_11x_0)</f>
        <v>1120.77</v>
      </c>
      <c r="Q78" s="1"/>
      <c r="R78" s="5">
        <f t="shared" ref="R78:R80" si="56">IF(P$12=0,0,P78/P$12)</f>
        <v>7.2376900632250597E-4</v>
      </c>
      <c r="S78" s="1"/>
      <c r="T78" s="1">
        <f>SUM(OSRRefT22_11x_0)</f>
        <v>5600</v>
      </c>
      <c r="U78" s="1"/>
      <c r="V78" s="5">
        <f t="shared" ref="V78:V80" si="57">IF(T$12=0,0,T78/T$12)</f>
        <v>1.8736516399805139E-3</v>
      </c>
      <c r="W78" s="1"/>
      <c r="X78" s="1">
        <f t="shared" ref="X78:X80" si="58">+P78-T78</f>
        <v>-4479.2299999999996</v>
      </c>
      <c r="Y78" s="1"/>
      <c r="Z78" s="5">
        <f t="shared" ref="Z78:Z80" si="59">IF(T78=0,0,X78/T78)</f>
        <v>-0.79986249999999992</v>
      </c>
    </row>
    <row r="79" spans="1:26" s="24" customFormat="1" hidden="1" outlineLevel="2" x14ac:dyDescent="0.3">
      <c r="A79" s="27"/>
      <c r="B79" s="11" t="str">
        <f>CONCATENATE("          ", "6241", " - ", "OFFICE EXPENSE")</f>
        <v xml:space="preserve">          6241 - OFFICE EXPENSE</v>
      </c>
      <c r="C79" s="11"/>
      <c r="D79" s="7">
        <v>45</v>
      </c>
      <c r="E79" s="2"/>
      <c r="F79" s="6">
        <f t="shared" si="52"/>
        <v>9.3204966482562002E-5</v>
      </c>
      <c r="G79" s="2"/>
      <c r="H79" s="7">
        <v>500</v>
      </c>
      <c r="I79" s="2"/>
      <c r="J79" s="6">
        <f t="shared" si="53"/>
        <v>4.7697953662391977E-4</v>
      </c>
      <c r="K79" s="2"/>
      <c r="L79" s="7">
        <f t="shared" si="54"/>
        <v>-455</v>
      </c>
      <c r="M79" s="2"/>
      <c r="N79" s="6">
        <f t="shared" si="55"/>
        <v>-0.91</v>
      </c>
      <c r="O79" s="11"/>
      <c r="P79" s="7">
        <v>1120.77</v>
      </c>
      <c r="Q79" s="2"/>
      <c r="R79" s="6">
        <f t="shared" si="56"/>
        <v>7.2376900632250597E-4</v>
      </c>
      <c r="S79" s="2"/>
      <c r="T79" s="7">
        <v>3100</v>
      </c>
      <c r="U79" s="2"/>
      <c r="V79" s="6">
        <f t="shared" si="57"/>
        <v>1.0372000149892131E-3</v>
      </c>
      <c r="W79" s="2"/>
      <c r="X79" s="7">
        <f t="shared" si="58"/>
        <v>-1979.23</v>
      </c>
      <c r="Y79" s="2"/>
      <c r="Z79" s="6">
        <f t="shared" si="59"/>
        <v>-0.6384612903225807</v>
      </c>
    </row>
    <row r="80" spans="1:26" s="24" customFormat="1" hidden="1" outlineLevel="2" x14ac:dyDescent="0.3">
      <c r="A80" s="27"/>
      <c r="B80" s="11" t="str">
        <f>CONCATENATE("          ", "6247", " - ", "STORE SUPPLIES")</f>
        <v xml:space="preserve">          6247 - STORE SUPPLIES</v>
      </c>
      <c r="C80" s="11"/>
      <c r="D80" s="7"/>
      <c r="E80" s="2"/>
      <c r="F80" s="6">
        <f t="shared" si="52"/>
        <v>0</v>
      </c>
      <c r="G80" s="2"/>
      <c r="H80" s="7">
        <v>300</v>
      </c>
      <c r="I80" s="2"/>
      <c r="J80" s="6">
        <f t="shared" si="53"/>
        <v>2.8618772197435186E-4</v>
      </c>
      <c r="K80" s="2"/>
      <c r="L80" s="7">
        <f t="shared" si="54"/>
        <v>-300</v>
      </c>
      <c r="M80" s="2"/>
      <c r="N80" s="6">
        <f t="shared" si="55"/>
        <v>-1</v>
      </c>
      <c r="O80" s="11"/>
      <c r="P80" s="7"/>
      <c r="Q80" s="2"/>
      <c r="R80" s="6">
        <f t="shared" si="56"/>
        <v>0</v>
      </c>
      <c r="S80" s="2"/>
      <c r="T80" s="7">
        <v>2500</v>
      </c>
      <c r="U80" s="2"/>
      <c r="V80" s="6">
        <f t="shared" si="57"/>
        <v>8.3645162499130089E-4</v>
      </c>
      <c r="W80" s="2"/>
      <c r="X80" s="7">
        <f t="shared" si="58"/>
        <v>-2500</v>
      </c>
      <c r="Y80" s="2"/>
      <c r="Z80" s="6">
        <f t="shared" si="59"/>
        <v>-1</v>
      </c>
    </row>
    <row r="81" spans="1:26" s="28" customFormat="1" outlineLevel="1" collapsed="1" x14ac:dyDescent="0.3">
      <c r="A81" s="29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SUM(OSRRefD22_12x_0)</f>
        <v>1011.65</v>
      </c>
      <c r="E81" s="1"/>
      <c r="F81" s="5">
        <f t="shared" ref="F81:F83" si="60">IF(D$12=0,0,D81/D$12)</f>
        <v>2.0953512076018633E-3</v>
      </c>
      <c r="G81" s="1"/>
      <c r="H81" s="1">
        <f>SUM(OSRRefH22_12x_0)</f>
        <v>450</v>
      </c>
      <c r="I81" s="1"/>
      <c r="J81" s="5">
        <f t="shared" ref="J81:J83" si="61">IF(H$12=0,0,H81/H$12)</f>
        <v>4.2928158296152779E-4</v>
      </c>
      <c r="K81" s="1"/>
      <c r="L81" s="1">
        <f t="shared" ref="L81:L83" si="62">+D81-H81</f>
        <v>561.65</v>
      </c>
      <c r="M81" s="1"/>
      <c r="N81" s="5">
        <f t="shared" ref="N81:N83" si="63">IF(H81=0,0,L81/H81)</f>
        <v>1.2481111111111112</v>
      </c>
      <c r="O81" s="14"/>
      <c r="P81" s="1">
        <f>SUM(OSRRefP22_12x_0)</f>
        <v>4090.5</v>
      </c>
      <c r="Q81" s="1"/>
      <c r="R81" s="5">
        <f t="shared" ref="R81:R83" si="64">IF(P$12=0,0,P81/P$12)</f>
        <v>2.6415563588980885E-3</v>
      </c>
      <c r="S81" s="1"/>
      <c r="T81" s="1">
        <f>SUM(OSRRefT22_12x_0)</f>
        <v>3050</v>
      </c>
      <c r="U81" s="1"/>
      <c r="V81" s="5">
        <f t="shared" ref="V81:V83" si="65">IF(T$12=0,0,T81/T$12)</f>
        <v>1.020470982489387E-3</v>
      </c>
      <c r="W81" s="1"/>
      <c r="X81" s="1">
        <f t="shared" ref="X81:X83" si="66">+P81-T81</f>
        <v>1040.5</v>
      </c>
      <c r="Y81" s="1"/>
      <c r="Z81" s="5">
        <f t="shared" ref="Z81:Z83" si="67">IF(T81=0,0,X81/T81)</f>
        <v>0.34114754098360656</v>
      </c>
    </row>
    <row r="82" spans="1:26" s="24" customFormat="1" hidden="1" outlineLevel="2" x14ac:dyDescent="0.3">
      <c r="A82" s="27"/>
      <c r="B82" s="11" t="str">
        <f>CONCATENATE("          ", "6303", " - ", "DATA PHONE LINES")</f>
        <v xml:space="preserve">          6303 - DATA PHONE LINES</v>
      </c>
      <c r="C82" s="11"/>
      <c r="D82" s="7"/>
      <c r="E82" s="2"/>
      <c r="F82" s="6">
        <f t="shared" si="60"/>
        <v>0</v>
      </c>
      <c r="G82" s="2"/>
      <c r="H82" s="7">
        <v>0</v>
      </c>
      <c r="I82" s="2"/>
      <c r="J82" s="6">
        <f t="shared" si="61"/>
        <v>0</v>
      </c>
      <c r="K82" s="2"/>
      <c r="L82" s="7">
        <f t="shared" si="62"/>
        <v>0</v>
      </c>
      <c r="M82" s="2"/>
      <c r="N82" s="6">
        <f t="shared" si="63"/>
        <v>0</v>
      </c>
      <c r="O82" s="11"/>
      <c r="P82" s="7">
        <v>295</v>
      </c>
      <c r="Q82" s="2"/>
      <c r="R82" s="6">
        <f t="shared" si="64"/>
        <v>1.9050461456421858E-4</v>
      </c>
      <c r="S82" s="2"/>
      <c r="T82" s="7">
        <v>0</v>
      </c>
      <c r="U82" s="2"/>
      <c r="V82" s="6">
        <f t="shared" si="65"/>
        <v>0</v>
      </c>
      <c r="W82" s="2"/>
      <c r="X82" s="7">
        <f t="shared" si="66"/>
        <v>295</v>
      </c>
      <c r="Y82" s="2"/>
      <c r="Z82" s="6">
        <f t="shared" si="67"/>
        <v>0</v>
      </c>
    </row>
    <row r="83" spans="1:26" s="24" customFormat="1" hidden="1" outlineLevel="2" x14ac:dyDescent="0.3">
      <c r="A83" s="27"/>
      <c r="B83" s="11" t="str">
        <f>CONCATENATE("          ", "6309", " - ", "TELEPHONE")</f>
        <v xml:space="preserve">          6309 - TELEPHONE</v>
      </c>
      <c r="C83" s="11"/>
      <c r="D83" s="7">
        <v>1011.65</v>
      </c>
      <c r="E83" s="2"/>
      <c r="F83" s="6">
        <f t="shared" si="60"/>
        <v>2.0953512076018633E-3</v>
      </c>
      <c r="G83" s="2"/>
      <c r="H83" s="7">
        <v>450</v>
      </c>
      <c r="I83" s="2"/>
      <c r="J83" s="6">
        <f t="shared" si="61"/>
        <v>4.2928158296152779E-4</v>
      </c>
      <c r="K83" s="2"/>
      <c r="L83" s="7">
        <f t="shared" si="62"/>
        <v>561.65</v>
      </c>
      <c r="M83" s="2"/>
      <c r="N83" s="6">
        <f t="shared" si="63"/>
        <v>1.2481111111111112</v>
      </c>
      <c r="O83" s="11"/>
      <c r="P83" s="7">
        <v>3795.5</v>
      </c>
      <c r="Q83" s="2"/>
      <c r="R83" s="6">
        <f t="shared" si="64"/>
        <v>2.4510517443338698E-3</v>
      </c>
      <c r="S83" s="2"/>
      <c r="T83" s="7">
        <v>3050</v>
      </c>
      <c r="U83" s="2"/>
      <c r="V83" s="6">
        <f t="shared" si="65"/>
        <v>1.020470982489387E-3</v>
      </c>
      <c r="W83" s="2"/>
      <c r="X83" s="7">
        <f t="shared" si="66"/>
        <v>745.5</v>
      </c>
      <c r="Y83" s="2"/>
      <c r="Z83" s="6">
        <f t="shared" si="67"/>
        <v>0.24442622950819673</v>
      </c>
    </row>
    <row r="84" spans="1:26" s="28" customFormat="1" outlineLevel="1" collapsed="1" x14ac:dyDescent="0.3">
      <c r="A84" s="29"/>
      <c r="B84" s="14" t="str">
        <f>CONCATENATE("     ","Training                                          ")</f>
        <v xml:space="preserve">     Training                                          </v>
      </c>
      <c r="C84" s="14"/>
      <c r="D84" s="1">
        <f>SUM(OSRRefD22_13x_0)</f>
        <v>0</v>
      </c>
      <c r="E84" s="1"/>
      <c r="F84" s="5">
        <f t="shared" ref="F84:F85" si="68">IF(D$12=0,0,D84/D$12)</f>
        <v>0</v>
      </c>
      <c r="G84" s="1"/>
      <c r="H84" s="1">
        <f>SUM(OSRRefH22_13x_0)</f>
        <v>0</v>
      </c>
      <c r="I84" s="1"/>
      <c r="J84" s="5">
        <f t="shared" ref="J84:J85" si="69">IF(H$12=0,0,H84/H$12)</f>
        <v>0</v>
      </c>
      <c r="K84" s="1"/>
      <c r="L84" s="1">
        <f t="shared" ref="L84:L85" si="70">+D84-H84</f>
        <v>0</v>
      </c>
      <c r="M84" s="1"/>
      <c r="N84" s="5">
        <f t="shared" ref="N84:N85" si="71">IF(H84=0,0,L84/H84)</f>
        <v>0</v>
      </c>
      <c r="O84" s="14"/>
      <c r="P84" s="1">
        <f>SUM(OSRRefP22_13x_0)</f>
        <v>0</v>
      </c>
      <c r="Q84" s="1"/>
      <c r="R84" s="5">
        <f t="shared" ref="R84:R85" si="72">IF(P$12=0,0,P84/P$12)</f>
        <v>0</v>
      </c>
      <c r="S84" s="1"/>
      <c r="T84" s="1">
        <f>SUM(OSRRefT22_13x_0)</f>
        <v>0</v>
      </c>
      <c r="U84" s="1"/>
      <c r="V84" s="5">
        <f t="shared" ref="V84:V85" si="73">IF(T$12=0,0,T84/T$12)</f>
        <v>0</v>
      </c>
      <c r="W84" s="1"/>
      <c r="X84" s="1">
        <f t="shared" ref="X84:X85" si="74">+P84-T84</f>
        <v>0</v>
      </c>
      <c r="Y84" s="1"/>
      <c r="Z84" s="5">
        <f t="shared" ref="Z84:Z85" si="75">IF(T84=0,0,X84/T84)</f>
        <v>0</v>
      </c>
    </row>
    <row r="85" spans="1:26" s="24" customFormat="1" hidden="1" outlineLevel="2" x14ac:dyDescent="0.3">
      <c r="A85" s="27"/>
      <c r="B85" s="11" t="str">
        <f>CONCATENATE("          ", "6376", " - ", "TRAINING")</f>
        <v xml:space="preserve">          6376 - TRAINING</v>
      </c>
      <c r="C85" s="11"/>
      <c r="D85" s="7"/>
      <c r="E85" s="2"/>
      <c r="F85" s="6">
        <f t="shared" si="68"/>
        <v>0</v>
      </c>
      <c r="G85" s="2"/>
      <c r="H85" s="7">
        <v>0</v>
      </c>
      <c r="I85" s="2"/>
      <c r="J85" s="6">
        <f t="shared" si="69"/>
        <v>0</v>
      </c>
      <c r="K85" s="2"/>
      <c r="L85" s="7">
        <f t="shared" si="70"/>
        <v>0</v>
      </c>
      <c r="M85" s="2"/>
      <c r="N85" s="6">
        <f t="shared" si="71"/>
        <v>0</v>
      </c>
      <c r="O85" s="11"/>
      <c r="P85" s="7"/>
      <c r="Q85" s="2"/>
      <c r="R85" s="6">
        <f t="shared" si="72"/>
        <v>0</v>
      </c>
      <c r="S85" s="2"/>
      <c r="T85" s="7">
        <v>0</v>
      </c>
      <c r="U85" s="2"/>
      <c r="V85" s="6">
        <f t="shared" si="73"/>
        <v>0</v>
      </c>
      <c r="W85" s="2"/>
      <c r="X85" s="7">
        <f t="shared" si="74"/>
        <v>0</v>
      </c>
      <c r="Y85" s="2"/>
      <c r="Z85" s="6">
        <f t="shared" si="75"/>
        <v>0</v>
      </c>
    </row>
    <row r="86" spans="1:26" s="55" customFormat="1" x14ac:dyDescent="0.3">
      <c r="A86" s="36"/>
      <c r="B86" s="36"/>
      <c r="C86" s="36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6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collapsed="1" x14ac:dyDescent="0.3">
      <c r="A87" s="10"/>
      <c r="B87" s="25" t="s">
        <v>293</v>
      </c>
      <c r="C87" s="10"/>
      <c r="D87" s="4">
        <f>SUM(OSRRefD25x_0)</f>
        <v>3325.2000000000003</v>
      </c>
      <c r="E87" s="4"/>
      <c r="F87" s="12">
        <f t="shared" ref="F87:F91" si="76">IF(D$12=0,0,D87/D$12)</f>
        <v>6.8872256566181152E-3</v>
      </c>
      <c r="G87" s="4"/>
      <c r="H87" s="4">
        <f>SUM(OSRRefH25x_0)</f>
        <v>8853.33</v>
      </c>
      <c r="I87" s="4"/>
      <c r="J87" s="12">
        <f t="shared" ref="J87:J91" si="77">IF(H$12=0,0,H87/H$12)</f>
        <v>8.4457144819572953E-3</v>
      </c>
      <c r="K87" s="4"/>
      <c r="L87" s="4">
        <f t="shared" ref="L87:L91" si="78">+D87-H87</f>
        <v>-5528.1299999999992</v>
      </c>
      <c r="M87" s="4"/>
      <c r="N87" s="12">
        <f t="shared" ref="N87:N91" si="79">IF(H87=0,0,L87/H87)</f>
        <v>-0.62441250919145674</v>
      </c>
      <c r="O87" s="10"/>
      <c r="P87" s="4">
        <f>SUM(OSRRefP25x_0)</f>
        <v>194228.91999999998</v>
      </c>
      <c r="Q87" s="4"/>
      <c r="R87" s="12">
        <f t="shared" ref="R87:R91" si="80">IF(P$12=0,0,P87/P$12)</f>
        <v>0.12542883234516761</v>
      </c>
      <c r="S87" s="4"/>
      <c r="T87" s="4">
        <f>SUM(OSRRefT25x_0)</f>
        <v>193339.83</v>
      </c>
      <c r="U87" s="4"/>
      <c r="V87" s="12">
        <f t="shared" ref="V87:V91" si="81">IF(T$12=0,0,T87/T$12)</f>
        <v>6.4687765991616741E-2</v>
      </c>
      <c r="W87" s="4"/>
      <c r="X87" s="4">
        <f t="shared" ref="X87:X91" si="82">+P87-T87</f>
        <v>889.08999999999651</v>
      </c>
      <c r="Y87" s="4"/>
      <c r="Z87" s="12">
        <f t="shared" ref="Z87:Z91" si="83">IF(T87=0,0,X87/T87)</f>
        <v>4.5985868509349397E-3</v>
      </c>
    </row>
    <row r="88" spans="1:26" s="24" customFormat="1" hidden="1" outlineLevel="1" x14ac:dyDescent="0.3">
      <c r="A88" s="44"/>
      <c r="B88" s="11" t="str">
        <f>CONCATENATE("          ", "9150", " - ", "MISC. INCOME")</f>
        <v xml:space="preserve">          9150 - MISC. INCOME</v>
      </c>
      <c r="C88" s="11"/>
      <c r="D88" s="2">
        <f>--0.01</f>
        <v>0.01</v>
      </c>
      <c r="E88" s="2"/>
      <c r="F88" s="19">
        <f t="shared" si="76"/>
        <v>2.0712214773902666E-8</v>
      </c>
      <c r="G88" s="2"/>
      <c r="H88" s="2">
        <v>6788</v>
      </c>
      <c r="I88" s="2"/>
      <c r="J88" s="19">
        <f t="shared" si="77"/>
        <v>6.4754741892063348E-3</v>
      </c>
      <c r="K88" s="2"/>
      <c r="L88" s="2">
        <f t="shared" si="78"/>
        <v>-6787.99</v>
      </c>
      <c r="M88" s="2"/>
      <c r="N88" s="19">
        <f t="shared" si="79"/>
        <v>-0.99999852681202117</v>
      </c>
      <c r="O88" s="11"/>
      <c r="P88" s="2">
        <f>--19313.27</f>
        <v>19313.27</v>
      </c>
      <c r="Q88" s="2"/>
      <c r="R88" s="19">
        <f t="shared" si="80"/>
        <v>1.2472091719744697E-2</v>
      </c>
      <c r="S88" s="2"/>
      <c r="T88" s="2">
        <v>29294</v>
      </c>
      <c r="U88" s="2"/>
      <c r="V88" s="19">
        <f t="shared" si="81"/>
        <v>9.8012055609980678E-3</v>
      </c>
      <c r="W88" s="2"/>
      <c r="X88" s="2">
        <f t="shared" si="82"/>
        <v>-9980.73</v>
      </c>
      <c r="Y88" s="2"/>
      <c r="Z88" s="19">
        <f t="shared" si="83"/>
        <v>-0.34070901891172251</v>
      </c>
    </row>
    <row r="89" spans="1:26" s="24" customFormat="1" hidden="1" outlineLevel="1" x14ac:dyDescent="0.3">
      <c r="A89" s="44"/>
      <c r="B89" s="11" t="str">
        <f>CONCATENATE("          ", "9151", " - ", "MISC. INCOME")</f>
        <v xml:space="preserve">          9151 - MISC. INCOME</v>
      </c>
      <c r="C89" s="11"/>
      <c r="D89" s="2">
        <f>--2958.75</f>
        <v>2958.75</v>
      </c>
      <c r="E89" s="2"/>
      <c r="F89" s="19">
        <f t="shared" si="76"/>
        <v>6.1282265462284519E-3</v>
      </c>
      <c r="G89" s="2"/>
      <c r="H89" s="2">
        <v>2065.33</v>
      </c>
      <c r="I89" s="2"/>
      <c r="J89" s="19">
        <f t="shared" si="77"/>
        <v>1.9702402927509605E-3</v>
      </c>
      <c r="K89" s="2"/>
      <c r="L89" s="2">
        <f t="shared" si="78"/>
        <v>893.42000000000007</v>
      </c>
      <c r="M89" s="2"/>
      <c r="N89" s="19">
        <f t="shared" si="79"/>
        <v>0.43257978143928577</v>
      </c>
      <c r="O89" s="11"/>
      <c r="P89" s="2">
        <f>--171422.11</f>
        <v>171422.11</v>
      </c>
      <c r="Q89" s="2"/>
      <c r="R89" s="19">
        <f t="shared" si="80"/>
        <v>0.11070068811300025</v>
      </c>
      <c r="S89" s="2"/>
      <c r="T89" s="2">
        <v>164045.82999999999</v>
      </c>
      <c r="U89" s="2"/>
      <c r="V89" s="19">
        <f t="shared" si="81"/>
        <v>5.4886560430618674E-2</v>
      </c>
      <c r="W89" s="2"/>
      <c r="X89" s="2">
        <f t="shared" si="82"/>
        <v>7376.2799999999988</v>
      </c>
      <c r="Y89" s="2"/>
      <c r="Z89" s="19">
        <f t="shared" si="83"/>
        <v>4.4964751618495877E-2</v>
      </c>
    </row>
    <row r="90" spans="1:26" s="24" customFormat="1" hidden="1" outlineLevel="1" x14ac:dyDescent="0.3">
      <c r="A90" s="44"/>
      <c r="B90" s="11" t="str">
        <f>CONCATENATE("          ", "9152", " - ", "MISC. INCOME")</f>
        <v xml:space="preserve">          9152 - MISC. INCOME</v>
      </c>
      <c r="C90" s="11"/>
      <c r="D90" s="2">
        <f>--366.44</f>
        <v>366.44</v>
      </c>
      <c r="E90" s="2"/>
      <c r="F90" s="19">
        <f t="shared" si="76"/>
        <v>7.5897839817488932E-4</v>
      </c>
      <c r="G90" s="2"/>
      <c r="H90" s="2"/>
      <c r="I90" s="2"/>
      <c r="J90" s="19">
        <f t="shared" si="77"/>
        <v>0</v>
      </c>
      <c r="K90" s="2"/>
      <c r="L90" s="2">
        <f t="shared" si="78"/>
        <v>366.44</v>
      </c>
      <c r="M90" s="2"/>
      <c r="N90" s="19">
        <f t="shared" si="79"/>
        <v>0</v>
      </c>
      <c r="O90" s="11"/>
      <c r="P90" s="2">
        <f>--3493.54</f>
        <v>3493.54</v>
      </c>
      <c r="Q90" s="2"/>
      <c r="R90" s="19">
        <f t="shared" si="80"/>
        <v>2.2560525124226444E-3</v>
      </c>
      <c r="S90" s="2"/>
      <c r="T90" s="2"/>
      <c r="U90" s="2"/>
      <c r="V90" s="19">
        <f t="shared" si="81"/>
        <v>0</v>
      </c>
      <c r="W90" s="2"/>
      <c r="X90" s="2">
        <f t="shared" si="82"/>
        <v>3493.54</v>
      </c>
      <c r="Y90" s="2"/>
      <c r="Z90" s="19">
        <f t="shared" si="83"/>
        <v>0</v>
      </c>
    </row>
    <row r="91" spans="1:26" s="24" customFormat="1" hidden="1" outlineLevel="1" x14ac:dyDescent="0.3">
      <c r="A91" s="44"/>
      <c r="B91" s="11" t="str">
        <f>CONCATENATE("          ", "9160", " - ", "MISC. INCOME")</f>
        <v xml:space="preserve">          9160 - MISC. INCOME</v>
      </c>
      <c r="C91" s="11"/>
      <c r="D91" s="2">
        <f>0</f>
        <v>0</v>
      </c>
      <c r="E91" s="2"/>
      <c r="F91" s="19">
        <f t="shared" si="76"/>
        <v>0</v>
      </c>
      <c r="G91" s="2"/>
      <c r="H91" s="2">
        <v>0</v>
      </c>
      <c r="I91" s="2"/>
      <c r="J91" s="19">
        <f t="shared" si="77"/>
        <v>0</v>
      </c>
      <c r="K91" s="2"/>
      <c r="L91" s="2">
        <f t="shared" si="78"/>
        <v>0</v>
      </c>
      <c r="M91" s="2"/>
      <c r="N91" s="19">
        <f t="shared" si="79"/>
        <v>0</v>
      </c>
      <c r="O91" s="11"/>
      <c r="P91" s="2">
        <f>0</f>
        <v>0</v>
      </c>
      <c r="Q91" s="2"/>
      <c r="R91" s="19">
        <f t="shared" si="80"/>
        <v>0</v>
      </c>
      <c r="S91" s="2"/>
      <c r="T91" s="2">
        <v>0</v>
      </c>
      <c r="U91" s="2"/>
      <c r="V91" s="19">
        <f t="shared" si="81"/>
        <v>0</v>
      </c>
      <c r="W91" s="2"/>
      <c r="X91" s="2">
        <f t="shared" si="82"/>
        <v>0</v>
      </c>
      <c r="Y91" s="2"/>
      <c r="Z91" s="19">
        <f t="shared" si="83"/>
        <v>0</v>
      </c>
    </row>
    <row r="92" spans="1:26" x14ac:dyDescent="0.3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3">
      <c r="A93" s="10"/>
      <c r="B93" s="26" t="s">
        <v>277</v>
      </c>
      <c r="C93" s="26"/>
      <c r="D93" s="21">
        <f>+D31-D33+D87</f>
        <v>105168.10999999999</v>
      </c>
      <c r="E93" s="13"/>
      <c r="F93" s="22">
        <f>IF(D$12=0,0,D93/D$12)</f>
        <v>0.21782644816854205</v>
      </c>
      <c r="G93" s="13"/>
      <c r="H93" s="21">
        <f>+H31-H33+H87</f>
        <v>219400.85508376281</v>
      </c>
      <c r="I93" s="13"/>
      <c r="J93" s="22">
        <f>IF(H$12=0,0,H93/H$12)</f>
        <v>0.20929943638548992</v>
      </c>
      <c r="K93" s="15"/>
      <c r="L93" s="21">
        <f>+D93-H93</f>
        <v>-114232.74508376283</v>
      </c>
      <c r="M93" s="15"/>
      <c r="N93" s="22">
        <f>IF(H93=0,0,L93/H93)</f>
        <v>-0.52065770226898644</v>
      </c>
      <c r="O93" s="25"/>
      <c r="P93" s="21">
        <f>+P31-P33+P87</f>
        <v>192597.11000000016</v>
      </c>
      <c r="Q93" s="13"/>
      <c r="R93" s="22">
        <f>IF(P$12=0,0,P93/P$12)</f>
        <v>0.12437504476858453</v>
      </c>
      <c r="S93" s="13"/>
      <c r="T93" s="21">
        <f>+T31-T33+T87</f>
        <v>619383.85753032961</v>
      </c>
      <c r="U93" s="13"/>
      <c r="V93" s="22">
        <f>IF(T$12=0,0,T93/T$12)</f>
        <v>0.20723385364984984</v>
      </c>
      <c r="W93" s="15"/>
      <c r="X93" s="21">
        <f>+P93-T93</f>
        <v>-426786.74753032945</v>
      </c>
      <c r="Y93" s="15"/>
      <c r="Z93" s="22">
        <f>IF(T93=0,0,X93/T93)</f>
        <v>-0.68905048515803602</v>
      </c>
    </row>
    <row r="94" spans="1:26" x14ac:dyDescent="0.3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3">
      <c r="A95" s="52"/>
      <c r="B95" s="10" t="s">
        <v>128</v>
      </c>
      <c r="C95" s="10"/>
      <c r="D95" s="4">
        <v>76692.789999999994</v>
      </c>
      <c r="E95" s="4"/>
      <c r="F95" s="12">
        <f>IF(D$12=0,0,D95/D$12)</f>
        <v>0.15884775380898145</v>
      </c>
      <c r="G95" s="4"/>
      <c r="H95" s="4">
        <v>123242</v>
      </c>
      <c r="I95" s="4"/>
      <c r="J95" s="12">
        <f>IF(H$12=0,0,H95/H$12)</f>
        <v>0.11756782410521024</v>
      </c>
      <c r="K95" s="4"/>
      <c r="L95" s="4">
        <f>+D95-H95</f>
        <v>-46549.210000000006</v>
      </c>
      <c r="M95" s="4"/>
      <c r="N95" s="12">
        <f>IF(H95=0,0,L95/H95)</f>
        <v>-0.37770573343503033</v>
      </c>
      <c r="O95" s="10"/>
      <c r="P95" s="4">
        <v>204973.4</v>
      </c>
      <c r="Q95" s="4"/>
      <c r="R95" s="12">
        <f>IF(P$12=0,0,P95/P$12)</f>
        <v>0.13236738495904202</v>
      </c>
      <c r="S95" s="4"/>
      <c r="T95" s="4">
        <v>374488</v>
      </c>
      <c r="U95" s="4"/>
      <c r="V95" s="12">
        <f>IF(T$12=0,0,T95/T$12)</f>
        <v>0.12529643845589691</v>
      </c>
      <c r="W95" s="4"/>
      <c r="X95" s="4">
        <f>+P95-T95</f>
        <v>-169514.6</v>
      </c>
      <c r="Y95" s="4"/>
      <c r="Z95" s="12">
        <f>IF(T95=0,0,X95/T95)</f>
        <v>-0.45265696097071201</v>
      </c>
    </row>
    <row r="96" spans="1:26" x14ac:dyDescent="0.3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" thickBot="1" x14ac:dyDescent="0.35">
      <c r="A97" s="10"/>
      <c r="B97" s="26" t="s">
        <v>126</v>
      </c>
      <c r="C97" s="26"/>
      <c r="D97" s="32">
        <f>+D93-D95</f>
        <v>28475.319999999992</v>
      </c>
      <c r="E97" s="13"/>
      <c r="F97" s="31">
        <f>IF(D$12=0,0,D97/D$12)</f>
        <v>5.8978694359560595E-2</v>
      </c>
      <c r="G97" s="13"/>
      <c r="H97" s="32">
        <f>+H93-H95</f>
        <v>96158.855083762814</v>
      </c>
      <c r="I97" s="13"/>
      <c r="J97" s="31">
        <f>IF(H$12=0,0,H97/H$12)</f>
        <v>9.1731612280279679E-2</v>
      </c>
      <c r="K97" s="15"/>
      <c r="L97" s="32">
        <f>D97-H97</f>
        <v>-67683.535083762821</v>
      </c>
      <c r="M97" s="15"/>
      <c r="N97" s="31">
        <f>IF(H97=0,0,L97/H97)</f>
        <v>-0.70387209815262997</v>
      </c>
      <c r="O97" s="25"/>
      <c r="P97" s="32">
        <f>+P93-P95</f>
        <v>-12376.289999999834</v>
      </c>
      <c r="Q97" s="13"/>
      <c r="R97" s="31">
        <f>IF(P$12=0,0,P97/P$12)</f>
        <v>-7.9923401904574941E-3</v>
      </c>
      <c r="S97" s="13"/>
      <c r="T97" s="32">
        <f>+T93-T95</f>
        <v>244895.85753032961</v>
      </c>
      <c r="U97" s="13"/>
      <c r="V97" s="31">
        <f>IF(T$12=0,0,T97/T$12)</f>
        <v>8.1937415193952923E-2</v>
      </c>
      <c r="W97" s="15"/>
      <c r="X97" s="32">
        <f>P97-T97</f>
        <v>-257272.14753032944</v>
      </c>
      <c r="Y97" s="15"/>
      <c r="Z97" s="31">
        <f>IF(T97=0,0,X97/T97)</f>
        <v>-1.0505369511955385</v>
      </c>
    </row>
    <row r="98" spans="1:26" ht="15" thickTop="1" x14ac:dyDescent="0.3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3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" thickBot="1" x14ac:dyDescent="0.35">
      <c r="A100" s="10"/>
      <c r="B100" s="26" t="s">
        <v>294</v>
      </c>
      <c r="C100" s="26"/>
      <c r="D100" s="34">
        <f>SUM(D97:D99)</f>
        <v>28475.319999999992</v>
      </c>
      <c r="E100" s="13"/>
      <c r="F100" s="35">
        <f>IF(D$12=0,0,D100/D$12)</f>
        <v>5.8978694359560595E-2</v>
      </c>
      <c r="G100" s="13"/>
      <c r="H100" s="34">
        <f>SUM(H97:H99)</f>
        <v>96158.855083762814</v>
      </c>
      <c r="I100" s="13"/>
      <c r="J100" s="35">
        <f>IF(H$12=0,0,H100/H$12)</f>
        <v>9.1731612280279679E-2</v>
      </c>
      <c r="K100" s="15"/>
      <c r="L100" s="34">
        <f>+D100-H100</f>
        <v>-67683.535083762821</v>
      </c>
      <c r="M100" s="15"/>
      <c r="N100" s="35">
        <f>IF(H100=0,0,L100/H100)</f>
        <v>-0.70387209815262997</v>
      </c>
      <c r="O100" s="25"/>
      <c r="P100" s="34">
        <f>SUM(P97:P99)</f>
        <v>-12376.289999999834</v>
      </c>
      <c r="Q100" s="13"/>
      <c r="R100" s="35">
        <f>IF(P$12=0,0,P100/P$12)</f>
        <v>-7.9923401904574941E-3</v>
      </c>
      <c r="S100" s="13"/>
      <c r="T100" s="34">
        <f>SUM(T97:T99)</f>
        <v>244895.85753032961</v>
      </c>
      <c r="U100" s="13"/>
      <c r="V100" s="35">
        <f>IF(T$12=0,0,T100/T$12)</f>
        <v>8.1937415193952923E-2</v>
      </c>
      <c r="W100" s="15"/>
      <c r="X100" s="34">
        <f>+P100-T100</f>
        <v>-257272.14753032944</v>
      </c>
      <c r="Y100" s="15"/>
      <c r="Z100" s="35">
        <f>IF(T100=0,0,X100/T100)</f>
        <v>-1.0505369511955385</v>
      </c>
    </row>
    <row r="101" spans="1:26" ht="15" thickTop="1" x14ac:dyDescent="0.3">
      <c r="A101" s="9"/>
      <c r="C101" s="9"/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3">
      <c r="A102" s="9"/>
      <c r="B102" s="53">
        <v>44604.019995405091</v>
      </c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3">
      <c r="A103" s="9"/>
      <c r="B103" s="63" t="s">
        <v>56</v>
      </c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3">
      <c r="A104" s="9"/>
      <c r="B104" s="58"/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3"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92D050"/>
    <outlinePr summaryBelow="0" summaryRight="0"/>
  </sheetPr>
  <dimension ref="A2:Z37"/>
  <sheetViews>
    <sheetView zoomScale="80" workbookViewId="0">
      <pane xSplit="3" ySplit="10" topLeftCell="D12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1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","324", " - ", "Textbook Rental")</f>
        <v>Department 324 - Textbook Rental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67541.179999999993</v>
      </c>
      <c r="E12" s="4"/>
      <c r="F12" s="12"/>
      <c r="G12" s="4"/>
      <c r="H12" s="4">
        <f>SUM(OSRRefH13x_0)</f>
        <v>541997</v>
      </c>
      <c r="I12" s="4"/>
      <c r="J12" s="12"/>
      <c r="K12" s="4"/>
      <c r="L12" s="4">
        <f t="shared" ref="L12:L14" si="0">+D12-H12</f>
        <v>-474455.82</v>
      </c>
      <c r="M12" s="4"/>
      <c r="N12" s="12">
        <f t="shared" ref="N12:N14" si="1">IF(H12=0,0,L12/H12)</f>
        <v>-0.87538458699955901</v>
      </c>
      <c r="O12" s="10"/>
      <c r="P12" s="4">
        <f>SUM(OSRRefP13x_0)</f>
        <v>401439.02</v>
      </c>
      <c r="Q12" s="4"/>
      <c r="R12" s="12"/>
      <c r="S12" s="4"/>
      <c r="T12" s="4">
        <f>SUM(OSRRefT13x_0)</f>
        <v>1470093</v>
      </c>
      <c r="U12" s="4"/>
      <c r="V12" s="12"/>
      <c r="W12" s="4"/>
      <c r="X12" s="4">
        <f t="shared" ref="X12:X14" si="2">+P12-T12</f>
        <v>-1068653.98</v>
      </c>
      <c r="Y12" s="4"/>
      <c r="Z12" s="12">
        <f t="shared" ref="Z12:Z14" si="3">IF(T12=0,0,X12/T12)</f>
        <v>-0.72692950718083815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--39130.71</f>
        <v>39130.71</v>
      </c>
      <c r="E13" s="2"/>
      <c r="F13" s="19"/>
      <c r="G13" s="2"/>
      <c r="H13" s="2">
        <v>541997</v>
      </c>
      <c r="I13" s="2"/>
      <c r="J13" s="19"/>
      <c r="K13" s="2"/>
      <c r="L13" s="2">
        <f t="shared" si="0"/>
        <v>-502866.29</v>
      </c>
      <c r="M13" s="2"/>
      <c r="N13" s="19">
        <f t="shared" si="1"/>
        <v>-0.92780271846523132</v>
      </c>
      <c r="O13" s="11"/>
      <c r="P13" s="2">
        <f>--249261.28</f>
        <v>249261.28</v>
      </c>
      <c r="Q13" s="2"/>
      <c r="R13" s="19"/>
      <c r="S13" s="2"/>
      <c r="T13" s="2">
        <v>1470093</v>
      </c>
      <c r="U13" s="2"/>
      <c r="V13" s="19"/>
      <c r="W13" s="2"/>
      <c r="X13" s="2">
        <f t="shared" si="2"/>
        <v>-1220831.72</v>
      </c>
      <c r="Y13" s="2"/>
      <c r="Z13" s="19">
        <f t="shared" si="3"/>
        <v>-0.83044523033576789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--28410.47</f>
        <v>28410.47</v>
      </c>
      <c r="E14" s="2"/>
      <c r="F14" s="19"/>
      <c r="G14" s="2"/>
      <c r="H14" s="2"/>
      <c r="I14" s="2"/>
      <c r="J14" s="19"/>
      <c r="K14" s="2"/>
      <c r="L14" s="2">
        <f t="shared" si="0"/>
        <v>28410.47</v>
      </c>
      <c r="M14" s="2"/>
      <c r="N14" s="19">
        <f t="shared" si="1"/>
        <v>0</v>
      </c>
      <c r="O14" s="11"/>
      <c r="P14" s="2">
        <f>--152177.74</f>
        <v>152177.74</v>
      </c>
      <c r="Q14" s="2"/>
      <c r="R14" s="19"/>
      <c r="S14" s="2"/>
      <c r="T14" s="2"/>
      <c r="U14" s="2"/>
      <c r="V14" s="19"/>
      <c r="W14" s="2"/>
      <c r="X14" s="2">
        <f t="shared" si="2"/>
        <v>152177.74</v>
      </c>
      <c r="Y14" s="2"/>
      <c r="Z14" s="19">
        <f t="shared" si="3"/>
        <v>0</v>
      </c>
    </row>
    <row r="15" spans="1:26" x14ac:dyDescent="0.3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">
      <c r="A16" s="10"/>
      <c r="B16" s="25" t="s">
        <v>257</v>
      </c>
      <c r="C16" s="10"/>
      <c r="D16" s="4">
        <f>SUM(OSRRefD16x_0)</f>
        <v>37248.870000000003</v>
      </c>
      <c r="E16" s="4"/>
      <c r="F16" s="12">
        <f t="shared" ref="F16:F17" si="4">IF(D$12=0,0,D16/D$12)</f>
        <v>0.55149865607915061</v>
      </c>
      <c r="G16" s="4"/>
      <c r="H16" s="4">
        <f>SUM(OSRRefH16x_0)</f>
        <v>392948</v>
      </c>
      <c r="I16" s="4"/>
      <c r="J16" s="12">
        <f t="shared" ref="J16:J17" si="5">IF(H$12=0,0,H16/H$12)</f>
        <v>0.72500032288001592</v>
      </c>
      <c r="K16" s="4"/>
      <c r="L16" s="4">
        <f t="shared" ref="L16:L17" si="6">+D16-H16</f>
        <v>-355699.13</v>
      </c>
      <c r="M16" s="4"/>
      <c r="N16" s="12">
        <f t="shared" ref="N16:N17" si="7">IF(H16=0,0,L16/H16)</f>
        <v>-0.90520661766951349</v>
      </c>
      <c r="O16" s="10"/>
      <c r="P16" s="4">
        <f>SUM(OSRRefP16x_0)</f>
        <v>288451.78000000003</v>
      </c>
      <c r="Q16" s="4"/>
      <c r="R16" s="12">
        <f t="shared" ref="R16:R17" si="8">IF(P$12=0,0,P16/P$12)</f>
        <v>0.71854445041241888</v>
      </c>
      <c r="S16" s="4"/>
      <c r="T16" s="4">
        <f>SUM(OSRRefT16x_0)</f>
        <v>1065818</v>
      </c>
      <c r="U16" s="4"/>
      <c r="V16" s="12">
        <f t="shared" ref="V16:V17" si="9">IF(T$12=0,0,T16/T$12)</f>
        <v>0.72500039113171755</v>
      </c>
      <c r="W16" s="4"/>
      <c r="X16" s="4">
        <f t="shared" ref="X16:X17" si="10">+P16-T16</f>
        <v>-777366.22</v>
      </c>
      <c r="Y16" s="4"/>
      <c r="Z16" s="12">
        <f t="shared" ref="Z16:Z17" si="11">IF(T16=0,0,X16/T16)</f>
        <v>-0.72936112919841845</v>
      </c>
    </row>
    <row r="17" spans="1:26" s="24" customFormat="1" hidden="1" outlineLevel="1" x14ac:dyDescent="0.3">
      <c r="A17" s="44"/>
      <c r="B17" s="11" t="str">
        <f>CONCATENATE("          ", "5000", " - ", "PURCHASES @ COST")</f>
        <v xml:space="preserve">          5000 - PURCHASES @ COST</v>
      </c>
      <c r="C17" s="11"/>
      <c r="D17" s="2">
        <v>37248.870000000003</v>
      </c>
      <c r="E17" s="2"/>
      <c r="F17" s="19">
        <f t="shared" si="4"/>
        <v>0.55149865607915061</v>
      </c>
      <c r="G17" s="2"/>
      <c r="H17" s="2">
        <v>392948</v>
      </c>
      <c r="I17" s="2"/>
      <c r="J17" s="19">
        <f t="shared" si="5"/>
        <v>0.72500032288001592</v>
      </c>
      <c r="K17" s="2"/>
      <c r="L17" s="2">
        <f t="shared" si="6"/>
        <v>-355699.13</v>
      </c>
      <c r="M17" s="2"/>
      <c r="N17" s="19">
        <f t="shared" si="7"/>
        <v>-0.90520661766951349</v>
      </c>
      <c r="O17" s="11"/>
      <c r="P17" s="2">
        <v>288451.78000000003</v>
      </c>
      <c r="Q17" s="2"/>
      <c r="R17" s="19">
        <f t="shared" si="8"/>
        <v>0.71854445041241888</v>
      </c>
      <c r="S17" s="2"/>
      <c r="T17" s="2">
        <v>1065818</v>
      </c>
      <c r="U17" s="2"/>
      <c r="V17" s="19">
        <f t="shared" si="9"/>
        <v>0.72500039113171755</v>
      </c>
      <c r="W17" s="2"/>
      <c r="X17" s="2">
        <f t="shared" si="10"/>
        <v>-777366.22</v>
      </c>
      <c r="Y17" s="2"/>
      <c r="Z17" s="19">
        <f t="shared" si="11"/>
        <v>-0.72936112919841845</v>
      </c>
    </row>
    <row r="18" spans="1:26" x14ac:dyDescent="0.3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3">
      <c r="A19" s="10"/>
      <c r="B19" s="26" t="s">
        <v>108</v>
      </c>
      <c r="C19" s="26"/>
      <c r="D19" s="21">
        <f>D12-D16</f>
        <v>30292.30999999999</v>
      </c>
      <c r="E19" s="13"/>
      <c r="F19" s="22">
        <f>IF(D$12=0,0,D19/D$12)</f>
        <v>0.44850134392084939</v>
      </c>
      <c r="G19" s="13"/>
      <c r="H19" s="21">
        <f>H12-H16</f>
        <v>149049</v>
      </c>
      <c r="I19" s="13"/>
      <c r="J19" s="22">
        <f>IF(H$12=0,0,H19/H$12)</f>
        <v>0.27499967711998408</v>
      </c>
      <c r="K19" s="15"/>
      <c r="L19" s="21">
        <f>+D19-H19</f>
        <v>-118756.69</v>
      </c>
      <c r="M19" s="15"/>
      <c r="N19" s="22">
        <f>IF(H19=0,0,L19/H19)</f>
        <v>-0.79676274245382395</v>
      </c>
      <c r="O19" s="25"/>
      <c r="P19" s="21">
        <f>P12-P16</f>
        <v>112987.23999999999</v>
      </c>
      <c r="Q19" s="13"/>
      <c r="R19" s="22">
        <f>IF(P$12=0,0,P19/P$12)</f>
        <v>0.28145554958758118</v>
      </c>
      <c r="S19" s="13"/>
      <c r="T19" s="21">
        <f>T12-T16</f>
        <v>404275</v>
      </c>
      <c r="U19" s="13"/>
      <c r="V19" s="22">
        <f>IF(T$12=0,0,T19/T$12)</f>
        <v>0.27499960886828251</v>
      </c>
      <c r="W19" s="15"/>
      <c r="X19" s="21">
        <f>+P19-T19</f>
        <v>-291287.76</v>
      </c>
      <c r="Y19" s="15"/>
      <c r="Z19" s="22">
        <f>IF(T19=0,0,X19/T19)</f>
        <v>-0.72051885473996669</v>
      </c>
    </row>
    <row r="20" spans="1:26" x14ac:dyDescent="0.3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3">
      <c r="A21" s="10"/>
      <c r="B21" s="25" t="s">
        <v>295</v>
      </c>
      <c r="C21" s="10"/>
      <c r="D21" s="20">
        <f>SUM(0)</f>
        <v>0</v>
      </c>
      <c r="E21" s="20"/>
      <c r="F21" s="33">
        <f>IF(D$12=0,0,D21/D$12)</f>
        <v>0</v>
      </c>
      <c r="G21" s="20"/>
      <c r="H21" s="20">
        <f>SUM(0)</f>
        <v>0</v>
      </c>
      <c r="I21" s="20"/>
      <c r="J21" s="33">
        <f>IF(H$12=0,0,H21/H$12)</f>
        <v>0</v>
      </c>
      <c r="K21" s="4"/>
      <c r="L21" s="20">
        <f>+D21-H21</f>
        <v>0</v>
      </c>
      <c r="M21" s="4"/>
      <c r="N21" s="33">
        <f>IF(H21=0,0,L21/H21)</f>
        <v>0</v>
      </c>
      <c r="O21" s="10"/>
      <c r="P21" s="20">
        <f>SUM(0)</f>
        <v>0</v>
      </c>
      <c r="Q21" s="20"/>
      <c r="R21" s="33">
        <f>IF(P$12=0,0,P21/P$12)</f>
        <v>0</v>
      </c>
      <c r="S21" s="20"/>
      <c r="T21" s="20">
        <f>SUM(0)</f>
        <v>0</v>
      </c>
      <c r="U21" s="20"/>
      <c r="V21" s="33">
        <f>IF(T$12=0,0,T21/T$12)</f>
        <v>0</v>
      </c>
      <c r="W21" s="4"/>
      <c r="X21" s="20">
        <f>+P21-T21</f>
        <v>0</v>
      </c>
      <c r="Y21" s="4"/>
      <c r="Z21" s="33">
        <f>IF(T21=0,0,X21/T21)</f>
        <v>0</v>
      </c>
    </row>
    <row r="22" spans="1:26" s="55" customFormat="1" x14ac:dyDescent="0.3">
      <c r="A22" s="36"/>
      <c r="B22" s="36"/>
      <c r="C22" s="36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5" t="s">
        <v>293</v>
      </c>
      <c r="C23" s="10"/>
      <c r="D23" s="4">
        <f>SUM(0)</f>
        <v>0</v>
      </c>
      <c r="E23" s="4"/>
      <c r="F23" s="12">
        <f>IF(D$12=0,0,D23/D$12)</f>
        <v>0</v>
      </c>
      <c r="G23" s="4"/>
      <c r="H23" s="4">
        <f>SUM(0)</f>
        <v>0</v>
      </c>
      <c r="I23" s="4"/>
      <c r="J23" s="12">
        <f>IF(H$12=0,0,H23/H$12)</f>
        <v>0</v>
      </c>
      <c r="K23" s="4"/>
      <c r="L23" s="4">
        <f>+D23-H23</f>
        <v>0</v>
      </c>
      <c r="M23" s="4"/>
      <c r="N23" s="12">
        <f>IF(H23=0,0,L23/H23)</f>
        <v>0</v>
      </c>
      <c r="O23" s="10"/>
      <c r="P23" s="4">
        <f>SUM(0)</f>
        <v>0</v>
      </c>
      <c r="Q23" s="4"/>
      <c r="R23" s="12">
        <f>IF(P$12=0,0,P23/P$12)</f>
        <v>0</v>
      </c>
      <c r="S23" s="4"/>
      <c r="T23" s="4">
        <f>SUM(0)</f>
        <v>0</v>
      </c>
      <c r="U23" s="4"/>
      <c r="V23" s="12">
        <f>IF(T$12=0,0,T23/T$12)</f>
        <v>0</v>
      </c>
      <c r="W23" s="4"/>
      <c r="X23" s="4">
        <f>+P23-T23</f>
        <v>0</v>
      </c>
      <c r="Y23" s="4"/>
      <c r="Z23" s="12">
        <f>IF(T23=0,0,X23/T23)</f>
        <v>0</v>
      </c>
    </row>
    <row r="24" spans="1:26" x14ac:dyDescent="0.3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3">
      <c r="A25" s="10"/>
      <c r="B25" s="26" t="s">
        <v>277</v>
      </c>
      <c r="C25" s="26"/>
      <c r="D25" s="21">
        <f>+D19-D21+D23</f>
        <v>30292.30999999999</v>
      </c>
      <c r="E25" s="13"/>
      <c r="F25" s="22">
        <f>IF(D$12=0,0,D25/D$12)</f>
        <v>0.44850134392084939</v>
      </c>
      <c r="G25" s="13"/>
      <c r="H25" s="21">
        <f>+H19-H21+H23</f>
        <v>149049</v>
      </c>
      <c r="I25" s="13"/>
      <c r="J25" s="22">
        <f>IF(H$12=0,0,H25/H$12)</f>
        <v>0.27499967711998408</v>
      </c>
      <c r="K25" s="15"/>
      <c r="L25" s="21">
        <f>+D25-H25</f>
        <v>-118756.69</v>
      </c>
      <c r="M25" s="15"/>
      <c r="N25" s="22">
        <f>IF(H25=0,0,L25/H25)</f>
        <v>-0.79676274245382395</v>
      </c>
      <c r="O25" s="25"/>
      <c r="P25" s="21">
        <f>+P19-P21+P23</f>
        <v>112987.23999999999</v>
      </c>
      <c r="Q25" s="13"/>
      <c r="R25" s="22">
        <f>IF(P$12=0,0,P25/P$12)</f>
        <v>0.28145554958758118</v>
      </c>
      <c r="S25" s="13"/>
      <c r="T25" s="21">
        <f>+T19-T21+T23</f>
        <v>404275</v>
      </c>
      <c r="U25" s="13"/>
      <c r="V25" s="22">
        <f>IF(T$12=0,0,T25/T$12)</f>
        <v>0.27499960886828251</v>
      </c>
      <c r="W25" s="15"/>
      <c r="X25" s="21">
        <f>+P25-T25</f>
        <v>-291287.76</v>
      </c>
      <c r="Y25" s="15"/>
      <c r="Z25" s="22">
        <f>IF(T25=0,0,X25/T25)</f>
        <v>-0.72051885473996669</v>
      </c>
    </row>
    <row r="26" spans="1:26" x14ac:dyDescent="0.3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52"/>
      <c r="B27" s="10" t="s">
        <v>128</v>
      </c>
      <c r="C27" s="10"/>
      <c r="D27" s="4">
        <v>12945.88</v>
      </c>
      <c r="E27" s="4"/>
      <c r="F27" s="12">
        <f>IF(D$12=0,0,D27/D$12)</f>
        <v>0.19167387955022402</v>
      </c>
      <c r="G27" s="4"/>
      <c r="H27" s="4">
        <v>64036</v>
      </c>
      <c r="I27" s="4"/>
      <c r="J27" s="12">
        <f>IF(H$12=0,0,H27/H$12)</f>
        <v>0.11814825543314815</v>
      </c>
      <c r="K27" s="4"/>
      <c r="L27" s="4">
        <f>+D27-H27</f>
        <v>-51090.12</v>
      </c>
      <c r="M27" s="4"/>
      <c r="N27" s="12">
        <f>IF(H27=0,0,L27/H27)</f>
        <v>-0.79783434318196023</v>
      </c>
      <c r="O27" s="10"/>
      <c r="P27" s="4">
        <v>53137.43</v>
      </c>
      <c r="Q27" s="4"/>
      <c r="R27" s="12">
        <f>IF(P$12=0,0,P27/P$12)</f>
        <v>0.13236737674379537</v>
      </c>
      <c r="S27" s="4"/>
      <c r="T27" s="4">
        <v>184197</v>
      </c>
      <c r="U27" s="4"/>
      <c r="V27" s="12">
        <f>IF(T$12=0,0,T27/T$12)</f>
        <v>0.1252961547330679</v>
      </c>
      <c r="W27" s="4"/>
      <c r="X27" s="4">
        <f>+P27-T27</f>
        <v>-131059.57</v>
      </c>
      <c r="Y27" s="4"/>
      <c r="Z27" s="12">
        <f>IF(T27=0,0,X27/T27)</f>
        <v>-0.71151848292860365</v>
      </c>
    </row>
    <row r="28" spans="1:26" x14ac:dyDescent="0.3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" thickBot="1" x14ac:dyDescent="0.35">
      <c r="A29" s="10"/>
      <c r="B29" s="26" t="s">
        <v>126</v>
      </c>
      <c r="C29" s="26"/>
      <c r="D29" s="32">
        <f>+D25-D27</f>
        <v>17346.429999999993</v>
      </c>
      <c r="E29" s="13"/>
      <c r="F29" s="31">
        <f>IF(D$12=0,0,D29/D$12)</f>
        <v>0.25682746437062537</v>
      </c>
      <c r="G29" s="13"/>
      <c r="H29" s="32">
        <f>+H25-H27</f>
        <v>85013</v>
      </c>
      <c r="I29" s="13"/>
      <c r="J29" s="31">
        <f>IF(H$12=0,0,H29/H$12)</f>
        <v>0.15685142168683591</v>
      </c>
      <c r="K29" s="15"/>
      <c r="L29" s="32">
        <f>D29-H29</f>
        <v>-67666.570000000007</v>
      </c>
      <c r="M29" s="15"/>
      <c r="N29" s="31">
        <f>IF(H29=0,0,L29/H29)</f>
        <v>-0.79595555973792254</v>
      </c>
      <c r="O29" s="25"/>
      <c r="P29" s="32">
        <f>+P25-P27</f>
        <v>59849.80999999999</v>
      </c>
      <c r="Q29" s="13"/>
      <c r="R29" s="31">
        <f>IF(P$12=0,0,P29/P$12)</f>
        <v>0.14908817284378581</v>
      </c>
      <c r="S29" s="13"/>
      <c r="T29" s="32">
        <f>+T25-T27</f>
        <v>220078</v>
      </c>
      <c r="U29" s="13"/>
      <c r="V29" s="31">
        <f>IF(T$12=0,0,T29/T$12)</f>
        <v>0.14970345413521458</v>
      </c>
      <c r="W29" s="15"/>
      <c r="X29" s="32">
        <f>P29-T29</f>
        <v>-160228.19</v>
      </c>
      <c r="Y29" s="15"/>
      <c r="Z29" s="31">
        <f>IF(T29=0,0,X29/T29)</f>
        <v>-0.72805182707949001</v>
      </c>
    </row>
    <row r="30" spans="1:26" ht="15" thickTop="1" x14ac:dyDescent="0.3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x14ac:dyDescent="0.3">
      <c r="A31" s="9"/>
      <c r="B31" s="9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" thickBot="1" x14ac:dyDescent="0.35">
      <c r="A32" s="10"/>
      <c r="B32" s="26" t="s">
        <v>294</v>
      </c>
      <c r="C32" s="26"/>
      <c r="D32" s="34">
        <f>SUM(D29:D31)</f>
        <v>17346.429999999993</v>
      </c>
      <c r="E32" s="13"/>
      <c r="F32" s="35">
        <f>IF(D$12=0,0,D32/D$12)</f>
        <v>0.25682746437062537</v>
      </c>
      <c r="G32" s="13"/>
      <c r="H32" s="34">
        <f>SUM(H29:H31)</f>
        <v>85013</v>
      </c>
      <c r="I32" s="13"/>
      <c r="J32" s="35">
        <f>IF(H$12=0,0,H32/H$12)</f>
        <v>0.15685142168683591</v>
      </c>
      <c r="K32" s="15"/>
      <c r="L32" s="34">
        <f>+D32-H32</f>
        <v>-67666.570000000007</v>
      </c>
      <c r="M32" s="15"/>
      <c r="N32" s="35">
        <f>IF(H32=0,0,L32/H32)</f>
        <v>-0.79595555973792254</v>
      </c>
      <c r="O32" s="25"/>
      <c r="P32" s="34">
        <f>SUM(P29:P31)</f>
        <v>59849.80999999999</v>
      </c>
      <c r="Q32" s="13"/>
      <c r="R32" s="35">
        <f>IF(P$12=0,0,P32/P$12)</f>
        <v>0.14908817284378581</v>
      </c>
      <c r="S32" s="13"/>
      <c r="T32" s="34">
        <f>SUM(T29:T31)</f>
        <v>220078</v>
      </c>
      <c r="U32" s="13"/>
      <c r="V32" s="35">
        <f>IF(T$12=0,0,T32/T$12)</f>
        <v>0.14970345413521458</v>
      </c>
      <c r="W32" s="15"/>
      <c r="X32" s="34">
        <f>+P32-T32</f>
        <v>-160228.19</v>
      </c>
      <c r="Y32" s="15"/>
      <c r="Z32" s="35">
        <f>IF(T32=0,0,X32/T32)</f>
        <v>-0.72805182707949001</v>
      </c>
    </row>
    <row r="33" spans="1:24" ht="15" thickTop="1" x14ac:dyDescent="0.3">
      <c r="A33" s="9"/>
      <c r="C33" s="9"/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3">
      <c r="A34" s="9"/>
      <c r="B34" s="53">
        <v>44604.019995405091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3">
      <c r="A35" s="9"/>
      <c r="B35" s="63" t="s">
        <v>56</v>
      </c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3">
      <c r="A36" s="9"/>
      <c r="B36" s="58"/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  <row r="37" spans="1:24" x14ac:dyDescent="0.3"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  <outlinePr summaryBelow="0" summaryRight="0"/>
  </sheetPr>
  <dimension ref="A2:Z13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315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181923.38000000003</v>
      </c>
      <c r="E12" s="4"/>
      <c r="F12" s="12"/>
      <c r="G12" s="4"/>
      <c r="H12" s="4">
        <f>SUM(OSRRefH13x_0)</f>
        <v>314974</v>
      </c>
      <c r="I12" s="4"/>
      <c r="J12" s="12"/>
      <c r="K12" s="4"/>
      <c r="L12" s="4">
        <f t="shared" ref="L12:L17" si="0">+D12-H12</f>
        <v>-133050.61999999997</v>
      </c>
      <c r="M12" s="4"/>
      <c r="N12" s="12">
        <f t="shared" ref="N12:N17" si="1">IF(H12=0,0,L12/H12)</f>
        <v>-0.42241778686494746</v>
      </c>
      <c r="O12" s="10"/>
      <c r="P12" s="4">
        <f>SUM(OSRRefP13x_0)</f>
        <v>2344485.1900000004</v>
      </c>
      <c r="Q12" s="4"/>
      <c r="R12" s="12"/>
      <c r="S12" s="4"/>
      <c r="T12" s="4">
        <f>SUM(OSRRefT13x_0)</f>
        <v>2268871</v>
      </c>
      <c r="U12" s="4"/>
      <c r="V12" s="12"/>
      <c r="W12" s="4"/>
      <c r="X12" s="4">
        <f t="shared" ref="X12:X17" si="2">+P12-T12</f>
        <v>75614.19000000041</v>
      </c>
      <c r="Y12" s="4"/>
      <c r="Z12" s="12">
        <f t="shared" ref="Z12:Z17" si="3">IF(T12=0,0,X12/T12)</f>
        <v>3.3326791166179308E-2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--177172.42</f>
        <v>177172.42</v>
      </c>
      <c r="E13" s="2"/>
      <c r="F13" s="19"/>
      <c r="G13" s="2"/>
      <c r="H13" s="2">
        <v>305698</v>
      </c>
      <c r="I13" s="2"/>
      <c r="J13" s="19"/>
      <c r="K13" s="2"/>
      <c r="L13" s="2">
        <f t="shared" si="0"/>
        <v>-128525.57999999999</v>
      </c>
      <c r="M13" s="2"/>
      <c r="N13" s="19">
        <f t="shared" si="1"/>
        <v>-0.42043317260826041</v>
      </c>
      <c r="O13" s="11"/>
      <c r="P13" s="2">
        <f>--2206416.89</f>
        <v>2206416.89</v>
      </c>
      <c r="Q13" s="2"/>
      <c r="R13" s="19"/>
      <c r="S13" s="2"/>
      <c r="T13" s="2">
        <v>2170699</v>
      </c>
      <c r="U13" s="2"/>
      <c r="V13" s="19"/>
      <c r="W13" s="2"/>
      <c r="X13" s="2">
        <f t="shared" si="2"/>
        <v>35717.89000000013</v>
      </c>
      <c r="Y13" s="2"/>
      <c r="Z13" s="19">
        <f t="shared" si="3"/>
        <v>1.645455680405258E-2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--18013.61</f>
        <v>18013.61</v>
      </c>
      <c r="E14" s="2"/>
      <c r="F14" s="19"/>
      <c r="G14" s="2"/>
      <c r="H14" s="2">
        <v>9276</v>
      </c>
      <c r="I14" s="2"/>
      <c r="J14" s="19"/>
      <c r="K14" s="2"/>
      <c r="L14" s="2">
        <f t="shared" si="0"/>
        <v>8737.61</v>
      </c>
      <c r="M14" s="2"/>
      <c r="N14" s="19">
        <f t="shared" si="1"/>
        <v>0.94195881845623119</v>
      </c>
      <c r="O14" s="11"/>
      <c r="P14" s="2">
        <f>--273000.52</f>
        <v>273000.52</v>
      </c>
      <c r="Q14" s="2"/>
      <c r="R14" s="19"/>
      <c r="S14" s="2"/>
      <c r="T14" s="2">
        <v>98172</v>
      </c>
      <c r="U14" s="2"/>
      <c r="V14" s="19"/>
      <c r="W14" s="2"/>
      <c r="X14" s="2">
        <f t="shared" si="2"/>
        <v>174828.52000000002</v>
      </c>
      <c r="Y14" s="2"/>
      <c r="Z14" s="19">
        <f t="shared" si="3"/>
        <v>1.7808389357454266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-8289.38</f>
        <v>-8289.3799999999992</v>
      </c>
      <c r="E15" s="2"/>
      <c r="F15" s="19"/>
      <c r="G15" s="2"/>
      <c r="H15" s="2"/>
      <c r="I15" s="2"/>
      <c r="J15" s="19"/>
      <c r="K15" s="2"/>
      <c r="L15" s="2">
        <f t="shared" si="0"/>
        <v>-8289.3799999999992</v>
      </c>
      <c r="M15" s="2"/>
      <c r="N15" s="19">
        <f t="shared" si="1"/>
        <v>0</v>
      </c>
      <c r="O15" s="11"/>
      <c r="P15" s="2">
        <f>-65912.17</f>
        <v>-65912.17</v>
      </c>
      <c r="Q15" s="2"/>
      <c r="R15" s="19"/>
      <c r="S15" s="2"/>
      <c r="T15" s="2"/>
      <c r="U15" s="2"/>
      <c r="V15" s="19"/>
      <c r="W15" s="2"/>
      <c r="X15" s="2">
        <f t="shared" si="2"/>
        <v>-65912.17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"4300", " - ", "NON-TAX RETURNS")</f>
        <v xml:space="preserve">          4300 - NON-TAX RETURNS</v>
      </c>
      <c r="C16" s="11"/>
      <c r="D16" s="2">
        <f>-376.59</f>
        <v>-376.59</v>
      </c>
      <c r="E16" s="2"/>
      <c r="F16" s="19"/>
      <c r="G16" s="2"/>
      <c r="H16" s="2"/>
      <c r="I16" s="2"/>
      <c r="J16" s="19"/>
      <c r="K16" s="2"/>
      <c r="L16" s="2">
        <f t="shared" si="0"/>
        <v>-376.59</v>
      </c>
      <c r="M16" s="2"/>
      <c r="N16" s="19">
        <f t="shared" si="1"/>
        <v>0</v>
      </c>
      <c r="O16" s="11"/>
      <c r="P16" s="2">
        <f>-1652.79</f>
        <v>-1652.79</v>
      </c>
      <c r="Q16" s="2"/>
      <c r="R16" s="19"/>
      <c r="S16" s="2"/>
      <c r="T16" s="2"/>
      <c r="U16" s="2"/>
      <c r="V16" s="19"/>
      <c r="W16" s="2"/>
      <c r="X16" s="2">
        <f t="shared" si="2"/>
        <v>-1652.79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"4500", " - ", "SALES DISCOUNT")</f>
        <v xml:space="preserve">          4500 - SALES DISCOUNT</v>
      </c>
      <c r="C17" s="11"/>
      <c r="D17" s="2">
        <f>-4596.68</f>
        <v>-4596.68</v>
      </c>
      <c r="E17" s="2"/>
      <c r="F17" s="19"/>
      <c r="G17" s="2"/>
      <c r="H17" s="2"/>
      <c r="I17" s="2"/>
      <c r="J17" s="19"/>
      <c r="K17" s="2"/>
      <c r="L17" s="2">
        <f t="shared" si="0"/>
        <v>-4596.68</v>
      </c>
      <c r="M17" s="2"/>
      <c r="N17" s="19">
        <f t="shared" si="1"/>
        <v>0</v>
      </c>
      <c r="O17" s="11"/>
      <c r="P17" s="2">
        <f>-67367.26</f>
        <v>-67367.259999999995</v>
      </c>
      <c r="Q17" s="2"/>
      <c r="R17" s="19"/>
      <c r="S17" s="2"/>
      <c r="T17" s="2"/>
      <c r="U17" s="2"/>
      <c r="V17" s="19"/>
      <c r="W17" s="2"/>
      <c r="X17" s="2">
        <f t="shared" si="2"/>
        <v>-67367.259999999995</v>
      </c>
      <c r="Y17" s="2"/>
      <c r="Z17" s="19">
        <f t="shared" si="3"/>
        <v>0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86084.11</v>
      </c>
      <c r="E19" s="4"/>
      <c r="F19" s="12">
        <f t="shared" ref="F19:F40" si="4">IF(D$12=0,0,D19/D$12)</f>
        <v>0.47318882267908602</v>
      </c>
      <c r="G19" s="4"/>
      <c r="H19" s="4">
        <f>SUM(OSRRefH16x_0)</f>
        <v>161815</v>
      </c>
      <c r="I19" s="4"/>
      <c r="J19" s="12">
        <f t="shared" ref="J19:J40" si="5">IF(H$12=0,0,H19/H$12)</f>
        <v>0.51374081670233096</v>
      </c>
      <c r="K19" s="4"/>
      <c r="L19" s="4">
        <f t="shared" ref="L19:L40" si="6">+D19-H19</f>
        <v>-75730.89</v>
      </c>
      <c r="M19" s="4"/>
      <c r="N19" s="12">
        <f t="shared" ref="N19:N40" si="7">IF(H19=0,0,L19/H19)</f>
        <v>-0.4680090844482897</v>
      </c>
      <c r="O19" s="10"/>
      <c r="P19" s="4">
        <f>SUM(OSRRefP16x_0)</f>
        <v>1157126.5</v>
      </c>
      <c r="Q19" s="4"/>
      <c r="R19" s="12">
        <f t="shared" ref="R19:R40" si="8">IF(P$12=0,0,P19/P$12)</f>
        <v>0.49355248859558792</v>
      </c>
      <c r="S19" s="4"/>
      <c r="T19" s="4">
        <f>SUM(OSRRefT16x_0)</f>
        <v>1182480</v>
      </c>
      <c r="U19" s="4"/>
      <c r="V19" s="12">
        <f t="shared" ref="V19:V40" si="9">IF(T$12=0,0,T19/T$12)</f>
        <v>0.52117550975793692</v>
      </c>
      <c r="W19" s="4"/>
      <c r="X19" s="4">
        <f t="shared" ref="X19:X40" si="10">+P19-T19</f>
        <v>-25353.5</v>
      </c>
      <c r="Y19" s="4"/>
      <c r="Z19" s="12">
        <f t="shared" ref="Z19:Z40" si="11">IF(T19=0,0,X19/T19)</f>
        <v>-2.1440954603883365E-2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2">
        <v>190632.23</v>
      </c>
      <c r="E20" s="2"/>
      <c r="F20" s="19">
        <f t="shared" si="4"/>
        <v>1.0478709773312258</v>
      </c>
      <c r="G20" s="2"/>
      <c r="H20" s="2">
        <v>161815</v>
      </c>
      <c r="I20" s="2"/>
      <c r="J20" s="19">
        <f t="shared" si="5"/>
        <v>0.51374081670233096</v>
      </c>
      <c r="K20" s="2"/>
      <c r="L20" s="2">
        <f t="shared" si="6"/>
        <v>28817.23000000001</v>
      </c>
      <c r="M20" s="2"/>
      <c r="N20" s="19">
        <f t="shared" si="7"/>
        <v>0.17808750733862752</v>
      </c>
      <c r="O20" s="11"/>
      <c r="P20" s="2">
        <v>1318115.6000000001</v>
      </c>
      <c r="Q20" s="2"/>
      <c r="R20" s="19">
        <f t="shared" si="8"/>
        <v>0.56221963167956712</v>
      </c>
      <c r="S20" s="2"/>
      <c r="T20" s="2">
        <v>1182480</v>
      </c>
      <c r="U20" s="2"/>
      <c r="V20" s="19">
        <f t="shared" si="9"/>
        <v>0.52117550975793692</v>
      </c>
      <c r="W20" s="2"/>
      <c r="X20" s="2">
        <f t="shared" si="10"/>
        <v>135635.60000000009</v>
      </c>
      <c r="Y20" s="2"/>
      <c r="Z20" s="19">
        <f t="shared" si="11"/>
        <v>0.11470435017928429</v>
      </c>
    </row>
    <row r="21" spans="1:26" s="24" customFormat="1" hidden="1" outlineLevel="1" x14ac:dyDescent="0.3">
      <c r="A21" s="44"/>
      <c r="B21" s="11" t="str">
        <f>CONCATENATE("          ", "5026", " - ", "PURCHASES @ COST-WRITING INSTR")</f>
        <v xml:space="preserve">          5026 - PURCHASES @ COST-WRITING INSTR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"5027", " - ", "PURCHASES @ COST-SCHOOL SUPPLI")</f>
        <v xml:space="preserve">          5027 - PURCHASES @ COST-SCHOOL SUPPLI</v>
      </c>
      <c r="C22" s="11"/>
      <c r="D22" s="2"/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"5028", " - ", "PURCHASES @ COST-ART/TECH")</f>
        <v xml:space="preserve">          5028 - PURCHASES @ COST-ART/TECH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"5031", " - ", "PURCHASES @ COST-FOOD")</f>
        <v xml:space="preserve">          5031 - PURCHASES @ COST-FOOD</v>
      </c>
      <c r="C24" s="11"/>
      <c r="D24" s="2"/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"5040", " - ", "PURCHASES @ COST-LOGO CLOTHING")</f>
        <v xml:space="preserve">          5040 - PURCHASES @ COST-LOGO CLOTHING</v>
      </c>
      <c r="C25" s="11"/>
      <c r="D25" s="2"/>
      <c r="E25" s="2"/>
      <c r="F25" s="19">
        <f t="shared" si="4"/>
        <v>0</v>
      </c>
      <c r="G25" s="2"/>
      <c r="H25" s="2"/>
      <c r="I25" s="2"/>
      <c r="J25" s="19">
        <f t="shared" si="5"/>
        <v>0</v>
      </c>
      <c r="K25" s="2"/>
      <c r="L25" s="2">
        <f t="shared" si="6"/>
        <v>0</v>
      </c>
      <c r="M25" s="2"/>
      <c r="N25" s="19">
        <f t="shared" si="7"/>
        <v>0</v>
      </c>
      <c r="O25" s="11"/>
      <c r="P25" s="2">
        <v>0</v>
      </c>
      <c r="Q25" s="2"/>
      <c r="R25" s="19">
        <f t="shared" si="8"/>
        <v>0</v>
      </c>
      <c r="S25" s="2"/>
      <c r="T25" s="2"/>
      <c r="U25" s="2"/>
      <c r="V25" s="19">
        <f t="shared" si="9"/>
        <v>0</v>
      </c>
      <c r="W25" s="2"/>
      <c r="X25" s="2">
        <f t="shared" si="10"/>
        <v>0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"5041", " - ", "PURCHASES @ COST-LOGO GIFTS")</f>
        <v xml:space="preserve">          5041 - PURCHASES @ COST-LOGO GIFTS</v>
      </c>
      <c r="C26" s="11"/>
      <c r="D26" s="2"/>
      <c r="E26" s="2"/>
      <c r="F26" s="19">
        <f t="shared" si="4"/>
        <v>0</v>
      </c>
      <c r="G26" s="2"/>
      <c r="H26" s="2"/>
      <c r="I26" s="2"/>
      <c r="J26" s="19">
        <f t="shared" si="5"/>
        <v>0</v>
      </c>
      <c r="K26" s="2"/>
      <c r="L26" s="2">
        <f t="shared" si="6"/>
        <v>0</v>
      </c>
      <c r="M26" s="2"/>
      <c r="N26" s="19">
        <f t="shared" si="7"/>
        <v>0</v>
      </c>
      <c r="O26" s="11"/>
      <c r="P26" s="2">
        <v>0</v>
      </c>
      <c r="Q26" s="2"/>
      <c r="R26" s="19">
        <f t="shared" si="8"/>
        <v>0</v>
      </c>
      <c r="S26" s="2"/>
      <c r="T26" s="2"/>
      <c r="U26" s="2"/>
      <c r="V26" s="19">
        <f t="shared" si="9"/>
        <v>0</v>
      </c>
      <c r="W26" s="2"/>
      <c r="X26" s="2">
        <f t="shared" si="10"/>
        <v>0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"5042", " - ", "PURCHASES @ COST-EVERYDAY GIFT")</f>
        <v xml:space="preserve">          5042 - PURCHASES @ COST-EVERYDAY GIFT</v>
      </c>
      <c r="C27" s="11"/>
      <c r="D27" s="2"/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"5043", " - ", "PURCHASES @ COST-CARDS")</f>
        <v xml:space="preserve">          5043 - PURCHASES @ COST-CARDS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s="24" customFormat="1" hidden="1" outlineLevel="1" x14ac:dyDescent="0.3">
      <c r="A29" s="44"/>
      <c r="B29" s="11" t="str">
        <f>CONCATENATE("          ", "5044", " - ", "PURCHASES @ COST-ACCESSORIES")</f>
        <v xml:space="preserve">          5044 - PURCHASES @ COST-ACCESSORIES</v>
      </c>
      <c r="C29" s="11"/>
      <c r="D29" s="2"/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s="24" customFormat="1" hidden="1" outlineLevel="1" x14ac:dyDescent="0.3">
      <c r="A30" s="44"/>
      <c r="B30" s="11" t="str">
        <f>CONCATENATE("          ", "5045", " - ", "PURCHASES @ COST-SPECIAL ORDER")</f>
        <v xml:space="preserve">          5045 - PURCHASES @ COST-SPECIAL ORDER</v>
      </c>
      <c r="C30" s="11"/>
      <c r="D30" s="2"/>
      <c r="E30" s="2"/>
      <c r="F30" s="19">
        <f t="shared" si="4"/>
        <v>0</v>
      </c>
      <c r="G30" s="2"/>
      <c r="H30" s="2"/>
      <c r="I30" s="2"/>
      <c r="J30" s="19">
        <f t="shared" si="5"/>
        <v>0</v>
      </c>
      <c r="K30" s="2"/>
      <c r="L30" s="2">
        <f t="shared" si="6"/>
        <v>0</v>
      </c>
      <c r="M30" s="2"/>
      <c r="N30" s="19">
        <f t="shared" si="7"/>
        <v>0</v>
      </c>
      <c r="O30" s="11"/>
      <c r="P30" s="2">
        <v>0</v>
      </c>
      <c r="Q30" s="2"/>
      <c r="R30" s="19">
        <f t="shared" si="8"/>
        <v>0</v>
      </c>
      <c r="S30" s="2"/>
      <c r="T30" s="2"/>
      <c r="U30" s="2"/>
      <c r="V30" s="19">
        <f t="shared" si="9"/>
        <v>0</v>
      </c>
      <c r="W30" s="2"/>
      <c r="X30" s="2">
        <f t="shared" si="10"/>
        <v>0</v>
      </c>
      <c r="Y30" s="2"/>
      <c r="Z30" s="19">
        <f t="shared" si="11"/>
        <v>0</v>
      </c>
    </row>
    <row r="31" spans="1:26" s="24" customFormat="1" hidden="1" outlineLevel="1" x14ac:dyDescent="0.3">
      <c r="A31" s="44"/>
      <c r="B31" s="11" t="str">
        <f>CONCATENATE("          ", "5200", " - ", "PURCHASES OFFSET")</f>
        <v xml:space="preserve">          5200 - PURCHASES OFFSET</v>
      </c>
      <c r="C31" s="11"/>
      <c r="D31" s="2">
        <v>-201208.82</v>
      </c>
      <c r="E31" s="2"/>
      <c r="F31" s="19">
        <f t="shared" si="4"/>
        <v>-1.106008584493098</v>
      </c>
      <c r="G31" s="2"/>
      <c r="H31" s="2"/>
      <c r="I31" s="2"/>
      <c r="J31" s="19">
        <f t="shared" si="5"/>
        <v>0</v>
      </c>
      <c r="K31" s="2"/>
      <c r="L31" s="2">
        <f t="shared" si="6"/>
        <v>-201208.82</v>
      </c>
      <c r="M31" s="2"/>
      <c r="N31" s="19">
        <f t="shared" si="7"/>
        <v>0</v>
      </c>
      <c r="O31" s="11"/>
      <c r="P31" s="2">
        <v>-1361624.55</v>
      </c>
      <c r="Q31" s="2"/>
      <c r="R31" s="19">
        <f t="shared" si="8"/>
        <v>-0.58077762905382213</v>
      </c>
      <c r="S31" s="2"/>
      <c r="T31" s="2"/>
      <c r="U31" s="2"/>
      <c r="V31" s="19">
        <f t="shared" si="9"/>
        <v>0</v>
      </c>
      <c r="W31" s="2"/>
      <c r="X31" s="2">
        <f t="shared" si="10"/>
        <v>-1361624.55</v>
      </c>
      <c r="Y31" s="2"/>
      <c r="Z31" s="19">
        <f t="shared" si="11"/>
        <v>0</v>
      </c>
    </row>
    <row r="32" spans="1:26" s="24" customFormat="1" hidden="1" outlineLevel="1" x14ac:dyDescent="0.3">
      <c r="A32" s="44"/>
      <c r="B32" s="11" t="str">
        <f>CONCATENATE("          ", "5300", " - ", "COG$ OFFSET")</f>
        <v xml:space="preserve">          5300 - COG$ OFFSET</v>
      </c>
      <c r="C32" s="11"/>
      <c r="D32" s="2">
        <v>86084.11</v>
      </c>
      <c r="E32" s="2"/>
      <c r="F32" s="19">
        <f t="shared" si="4"/>
        <v>0.47318882267908602</v>
      </c>
      <c r="G32" s="2"/>
      <c r="H32" s="2"/>
      <c r="I32" s="2"/>
      <c r="J32" s="19">
        <f t="shared" si="5"/>
        <v>0</v>
      </c>
      <c r="K32" s="2"/>
      <c r="L32" s="2">
        <f t="shared" si="6"/>
        <v>86084.11</v>
      </c>
      <c r="M32" s="2"/>
      <c r="N32" s="19">
        <f t="shared" si="7"/>
        <v>0</v>
      </c>
      <c r="O32" s="11"/>
      <c r="P32" s="2">
        <v>1157126.5</v>
      </c>
      <c r="Q32" s="2"/>
      <c r="R32" s="19">
        <f t="shared" si="8"/>
        <v>0.49355248859558792</v>
      </c>
      <c r="S32" s="2"/>
      <c r="T32" s="2"/>
      <c r="U32" s="2"/>
      <c r="V32" s="19">
        <f t="shared" si="9"/>
        <v>0</v>
      </c>
      <c r="W32" s="2"/>
      <c r="X32" s="2">
        <f t="shared" si="10"/>
        <v>1157126.5</v>
      </c>
      <c r="Y32" s="2"/>
      <c r="Z32" s="19">
        <f t="shared" si="11"/>
        <v>0</v>
      </c>
    </row>
    <row r="33" spans="1:26" s="24" customFormat="1" hidden="1" outlineLevel="1" x14ac:dyDescent="0.3">
      <c r="A33" s="44"/>
      <c r="B33" s="11" t="str">
        <f>CONCATENATE("          ", "5500", " - ", "FREIGHT-IN")</f>
        <v xml:space="preserve">          5500 - FREIGHT-IN</v>
      </c>
      <c r="C33" s="11"/>
      <c r="D33" s="2">
        <v>10576.59</v>
      </c>
      <c r="E33" s="2"/>
      <c r="F33" s="19">
        <f t="shared" si="4"/>
        <v>5.8137607161872204E-2</v>
      </c>
      <c r="G33" s="2"/>
      <c r="H33" s="2"/>
      <c r="I33" s="2"/>
      <c r="J33" s="19">
        <f t="shared" si="5"/>
        <v>0</v>
      </c>
      <c r="K33" s="2"/>
      <c r="L33" s="2">
        <f t="shared" si="6"/>
        <v>10576.59</v>
      </c>
      <c r="M33" s="2"/>
      <c r="N33" s="19">
        <f t="shared" si="7"/>
        <v>0</v>
      </c>
      <c r="O33" s="11"/>
      <c r="P33" s="2">
        <v>43508.95</v>
      </c>
      <c r="Q33" s="2"/>
      <c r="R33" s="19">
        <f t="shared" si="8"/>
        <v>1.8557997374255109E-2</v>
      </c>
      <c r="S33" s="2"/>
      <c r="T33" s="2"/>
      <c r="U33" s="2"/>
      <c r="V33" s="19">
        <f t="shared" si="9"/>
        <v>0</v>
      </c>
      <c r="W33" s="2"/>
      <c r="X33" s="2">
        <f t="shared" si="10"/>
        <v>43508.95</v>
      </c>
      <c r="Y33" s="2"/>
      <c r="Z33" s="19">
        <f t="shared" si="11"/>
        <v>0</v>
      </c>
    </row>
    <row r="34" spans="1:26" s="24" customFormat="1" hidden="1" outlineLevel="1" x14ac:dyDescent="0.3">
      <c r="A34" s="44"/>
      <c r="B34" s="11" t="str">
        <f>CONCATENATE("          ", "5527", " - ", "FREIGHT-IN-SCHOOL SUPPLIES")</f>
        <v xml:space="preserve">          5527 - FREIGHT-IN-SCHOOL SUPPLIES</v>
      </c>
      <c r="C34" s="11"/>
      <c r="D34" s="2"/>
      <c r="E34" s="2"/>
      <c r="F34" s="19">
        <f t="shared" si="4"/>
        <v>0</v>
      </c>
      <c r="G34" s="2"/>
      <c r="H34" s="2"/>
      <c r="I34" s="2"/>
      <c r="J34" s="19">
        <f t="shared" si="5"/>
        <v>0</v>
      </c>
      <c r="K34" s="2"/>
      <c r="L34" s="2">
        <f t="shared" si="6"/>
        <v>0</v>
      </c>
      <c r="M34" s="2"/>
      <c r="N34" s="19">
        <f t="shared" si="7"/>
        <v>0</v>
      </c>
      <c r="O34" s="11"/>
      <c r="P34" s="2">
        <v>0</v>
      </c>
      <c r="Q34" s="2"/>
      <c r="R34" s="19">
        <f t="shared" si="8"/>
        <v>0</v>
      </c>
      <c r="S34" s="2"/>
      <c r="T34" s="2"/>
      <c r="U34" s="2"/>
      <c r="V34" s="19">
        <f t="shared" si="9"/>
        <v>0</v>
      </c>
      <c r="W34" s="2"/>
      <c r="X34" s="2">
        <f t="shared" si="10"/>
        <v>0</v>
      </c>
      <c r="Y34" s="2"/>
      <c r="Z34" s="19">
        <f t="shared" si="11"/>
        <v>0</v>
      </c>
    </row>
    <row r="35" spans="1:26" s="24" customFormat="1" hidden="1" outlineLevel="1" x14ac:dyDescent="0.3">
      <c r="A35" s="44"/>
      <c r="B35" s="11" t="str">
        <f>CONCATENATE("          ", "5528", " - ", "FREIGHT-IN-ART/TECH")</f>
        <v xml:space="preserve">          5528 - FREIGHT-IN-ART/TECH</v>
      </c>
      <c r="C35" s="11"/>
      <c r="D35" s="2"/>
      <c r="E35" s="2"/>
      <c r="F35" s="19">
        <f t="shared" si="4"/>
        <v>0</v>
      </c>
      <c r="G35" s="2"/>
      <c r="H35" s="2"/>
      <c r="I35" s="2"/>
      <c r="J35" s="19">
        <f t="shared" si="5"/>
        <v>0</v>
      </c>
      <c r="K35" s="2"/>
      <c r="L35" s="2">
        <f t="shared" si="6"/>
        <v>0</v>
      </c>
      <c r="M35" s="2"/>
      <c r="N35" s="19">
        <f t="shared" si="7"/>
        <v>0</v>
      </c>
      <c r="O35" s="11"/>
      <c r="P35" s="2">
        <v>0</v>
      </c>
      <c r="Q35" s="2"/>
      <c r="R35" s="19">
        <f t="shared" si="8"/>
        <v>0</v>
      </c>
      <c r="S35" s="2"/>
      <c r="T35" s="2"/>
      <c r="U35" s="2"/>
      <c r="V35" s="19">
        <f t="shared" si="9"/>
        <v>0</v>
      </c>
      <c r="W35" s="2"/>
      <c r="X35" s="2">
        <f t="shared" si="10"/>
        <v>0</v>
      </c>
      <c r="Y35" s="2"/>
      <c r="Z35" s="19">
        <f t="shared" si="11"/>
        <v>0</v>
      </c>
    </row>
    <row r="36" spans="1:26" s="24" customFormat="1" hidden="1" outlineLevel="1" x14ac:dyDescent="0.3">
      <c r="A36" s="44"/>
      <c r="B36" s="11" t="str">
        <f>CONCATENATE("          ", "5540", " - ", "FREIGHT-IN-LOGO CLOTHING")</f>
        <v xml:space="preserve">          5540 - FREIGHT-IN-LOGO CLOTHING</v>
      </c>
      <c r="C36" s="11"/>
      <c r="D36" s="2"/>
      <c r="E36" s="2"/>
      <c r="F36" s="19">
        <f t="shared" si="4"/>
        <v>0</v>
      </c>
      <c r="G36" s="2"/>
      <c r="H36" s="2"/>
      <c r="I36" s="2"/>
      <c r="J36" s="19">
        <f t="shared" si="5"/>
        <v>0</v>
      </c>
      <c r="K36" s="2"/>
      <c r="L36" s="2">
        <f t="shared" si="6"/>
        <v>0</v>
      </c>
      <c r="M36" s="2"/>
      <c r="N36" s="19">
        <f t="shared" si="7"/>
        <v>0</v>
      </c>
      <c r="O36" s="11"/>
      <c r="P36" s="2">
        <v>0</v>
      </c>
      <c r="Q36" s="2"/>
      <c r="R36" s="19">
        <f t="shared" si="8"/>
        <v>0</v>
      </c>
      <c r="S36" s="2"/>
      <c r="T36" s="2"/>
      <c r="U36" s="2"/>
      <c r="V36" s="19">
        <f t="shared" si="9"/>
        <v>0</v>
      </c>
      <c r="W36" s="2"/>
      <c r="X36" s="2">
        <f t="shared" si="10"/>
        <v>0</v>
      </c>
      <c r="Y36" s="2"/>
      <c r="Z36" s="19">
        <f t="shared" si="11"/>
        <v>0</v>
      </c>
    </row>
    <row r="37" spans="1:26" s="24" customFormat="1" hidden="1" outlineLevel="1" x14ac:dyDescent="0.3">
      <c r="A37" s="44"/>
      <c r="B37" s="11" t="str">
        <f>CONCATENATE("          ", "5541", " - ", "FREIGHT-IN-LOGO GIFTS")</f>
        <v xml:space="preserve">          5541 - FREIGHT-IN-LOGO GIFTS</v>
      </c>
      <c r="C37" s="11"/>
      <c r="D37" s="2"/>
      <c r="E37" s="2"/>
      <c r="F37" s="19">
        <f t="shared" si="4"/>
        <v>0</v>
      </c>
      <c r="G37" s="2"/>
      <c r="H37" s="2"/>
      <c r="I37" s="2"/>
      <c r="J37" s="19">
        <f t="shared" si="5"/>
        <v>0</v>
      </c>
      <c r="K37" s="2"/>
      <c r="L37" s="2">
        <f t="shared" si="6"/>
        <v>0</v>
      </c>
      <c r="M37" s="2"/>
      <c r="N37" s="19">
        <f t="shared" si="7"/>
        <v>0</v>
      </c>
      <c r="O37" s="11"/>
      <c r="P37" s="2">
        <v>0</v>
      </c>
      <c r="Q37" s="2"/>
      <c r="R37" s="19">
        <f t="shared" si="8"/>
        <v>0</v>
      </c>
      <c r="S37" s="2"/>
      <c r="T37" s="2"/>
      <c r="U37" s="2"/>
      <c r="V37" s="19">
        <f t="shared" si="9"/>
        <v>0</v>
      </c>
      <c r="W37" s="2"/>
      <c r="X37" s="2">
        <f t="shared" si="10"/>
        <v>0</v>
      </c>
      <c r="Y37" s="2"/>
      <c r="Z37" s="19">
        <f t="shared" si="11"/>
        <v>0</v>
      </c>
    </row>
    <row r="38" spans="1:26" s="24" customFormat="1" hidden="1" outlineLevel="1" x14ac:dyDescent="0.3">
      <c r="A38" s="44"/>
      <c r="B38" s="11" t="str">
        <f>CONCATENATE("          ", "5542", " - ", "FREIGHT-IN-EVERYDAY GIFTS")</f>
        <v xml:space="preserve">          5542 - FREIGHT-IN-EVERYDAY GIFTS</v>
      </c>
      <c r="C38" s="11"/>
      <c r="D38" s="2"/>
      <c r="E38" s="2"/>
      <c r="F38" s="19">
        <f t="shared" si="4"/>
        <v>0</v>
      </c>
      <c r="G38" s="2"/>
      <c r="H38" s="2"/>
      <c r="I38" s="2"/>
      <c r="J38" s="19">
        <f t="shared" si="5"/>
        <v>0</v>
      </c>
      <c r="K38" s="2"/>
      <c r="L38" s="2">
        <f t="shared" si="6"/>
        <v>0</v>
      </c>
      <c r="M38" s="2"/>
      <c r="N38" s="19">
        <f t="shared" si="7"/>
        <v>0</v>
      </c>
      <c r="O38" s="11"/>
      <c r="P38" s="2">
        <v>0</v>
      </c>
      <c r="Q38" s="2"/>
      <c r="R38" s="19">
        <f t="shared" si="8"/>
        <v>0</v>
      </c>
      <c r="S38" s="2"/>
      <c r="T38" s="2"/>
      <c r="U38" s="2"/>
      <c r="V38" s="19">
        <f t="shared" si="9"/>
        <v>0</v>
      </c>
      <c r="W38" s="2"/>
      <c r="X38" s="2">
        <f t="shared" si="10"/>
        <v>0</v>
      </c>
      <c r="Y38" s="2"/>
      <c r="Z38" s="19">
        <f t="shared" si="11"/>
        <v>0</v>
      </c>
    </row>
    <row r="39" spans="1:26" s="24" customFormat="1" hidden="1" outlineLevel="1" x14ac:dyDescent="0.3">
      <c r="A39" s="44"/>
      <c r="B39" s="11" t="str">
        <f>CONCATENATE("          ", "5544", " - ", "FREIGHT-IN-ACCESSORIES")</f>
        <v xml:space="preserve">          5544 - FREIGHT-IN-ACCESSORIES</v>
      </c>
      <c r="C39" s="11"/>
      <c r="D39" s="2"/>
      <c r="E39" s="2"/>
      <c r="F39" s="19">
        <f t="shared" si="4"/>
        <v>0</v>
      </c>
      <c r="G39" s="2"/>
      <c r="H39" s="2"/>
      <c r="I39" s="2"/>
      <c r="J39" s="19">
        <f t="shared" si="5"/>
        <v>0</v>
      </c>
      <c r="K39" s="2"/>
      <c r="L39" s="2">
        <f t="shared" si="6"/>
        <v>0</v>
      </c>
      <c r="M39" s="2"/>
      <c r="N39" s="19">
        <f t="shared" si="7"/>
        <v>0</v>
      </c>
      <c r="O39" s="11"/>
      <c r="P39" s="2">
        <v>0</v>
      </c>
      <c r="Q39" s="2"/>
      <c r="R39" s="19">
        <f t="shared" si="8"/>
        <v>0</v>
      </c>
      <c r="S39" s="2"/>
      <c r="T39" s="2"/>
      <c r="U39" s="2"/>
      <c r="V39" s="19">
        <f t="shared" si="9"/>
        <v>0</v>
      </c>
      <c r="W39" s="2"/>
      <c r="X39" s="2">
        <f t="shared" si="10"/>
        <v>0</v>
      </c>
      <c r="Y39" s="2"/>
      <c r="Z39" s="19">
        <f t="shared" si="11"/>
        <v>0</v>
      </c>
    </row>
    <row r="40" spans="1:26" s="24" customFormat="1" hidden="1" outlineLevel="1" x14ac:dyDescent="0.3">
      <c r="A40" s="44"/>
      <c r="B40" s="11" t="str">
        <f>CONCATENATE("          ", "5545", " - ", "FREIGHT-IN-SPECIAL ORDERS")</f>
        <v xml:space="preserve">          5545 - FREIGHT-IN-SPECIAL ORDERS</v>
      </c>
      <c r="C40" s="11"/>
      <c r="D40" s="2"/>
      <c r="E40" s="2"/>
      <c r="F40" s="19">
        <f t="shared" si="4"/>
        <v>0</v>
      </c>
      <c r="G40" s="2"/>
      <c r="H40" s="2"/>
      <c r="I40" s="2"/>
      <c r="J40" s="19">
        <f t="shared" si="5"/>
        <v>0</v>
      </c>
      <c r="K40" s="2"/>
      <c r="L40" s="2">
        <f t="shared" si="6"/>
        <v>0</v>
      </c>
      <c r="M40" s="2"/>
      <c r="N40" s="19">
        <f t="shared" si="7"/>
        <v>0</v>
      </c>
      <c r="O40" s="11"/>
      <c r="P40" s="2">
        <v>0</v>
      </c>
      <c r="Q40" s="2"/>
      <c r="R40" s="19">
        <f t="shared" si="8"/>
        <v>0</v>
      </c>
      <c r="S40" s="2"/>
      <c r="T40" s="2"/>
      <c r="U40" s="2"/>
      <c r="V40" s="19">
        <f t="shared" si="9"/>
        <v>0</v>
      </c>
      <c r="W40" s="2"/>
      <c r="X40" s="2">
        <f t="shared" si="10"/>
        <v>0</v>
      </c>
      <c r="Y40" s="2"/>
      <c r="Z40" s="19">
        <f t="shared" si="11"/>
        <v>0</v>
      </c>
    </row>
    <row r="41" spans="1:26" x14ac:dyDescent="0.3">
      <c r="A41" s="9"/>
      <c r="B41" s="10"/>
      <c r="C41" s="10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O41" s="10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x14ac:dyDescent="0.3">
      <c r="A42" s="10"/>
      <c r="B42" s="26" t="s">
        <v>108</v>
      </c>
      <c r="C42" s="26"/>
      <c r="D42" s="21">
        <f>D12-D19</f>
        <v>95839.270000000033</v>
      </c>
      <c r="E42" s="13"/>
      <c r="F42" s="22">
        <f>IF(D$12=0,0,D42/D$12)</f>
        <v>0.52681117732091398</v>
      </c>
      <c r="G42" s="13"/>
      <c r="H42" s="21">
        <f>H12-H19</f>
        <v>153159</v>
      </c>
      <c r="I42" s="13"/>
      <c r="J42" s="22">
        <f>IF(H$12=0,0,H42/H$12)</f>
        <v>0.48625918329766904</v>
      </c>
      <c r="K42" s="15"/>
      <c r="L42" s="21">
        <f>+D42-H42</f>
        <v>-57319.729999999967</v>
      </c>
      <c r="M42" s="15"/>
      <c r="N42" s="22">
        <f>IF(H42=0,0,L42/H42)</f>
        <v>-0.3742498318740653</v>
      </c>
      <c r="O42" s="25"/>
      <c r="P42" s="21">
        <f>P12-P19</f>
        <v>1187358.6900000004</v>
      </c>
      <c r="Q42" s="13"/>
      <c r="R42" s="22">
        <f>IF(P$12=0,0,P42/P$12)</f>
        <v>0.50644751140441202</v>
      </c>
      <c r="S42" s="13"/>
      <c r="T42" s="21">
        <f>T12-T19</f>
        <v>1086391</v>
      </c>
      <c r="U42" s="13"/>
      <c r="V42" s="22">
        <f>IF(T$12=0,0,T42/T$12)</f>
        <v>0.47882449024206314</v>
      </c>
      <c r="W42" s="15"/>
      <c r="X42" s="21">
        <f>+P42-T42</f>
        <v>100967.69000000041</v>
      </c>
      <c r="Y42" s="15"/>
      <c r="Z42" s="22">
        <f>IF(T42=0,0,X42/T42)</f>
        <v>9.2938628909849594E-2</v>
      </c>
    </row>
    <row r="43" spans="1:26" x14ac:dyDescent="0.3">
      <c r="A43" s="9"/>
      <c r="B43" s="10"/>
      <c r="C43" s="9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6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3" customFormat="1" x14ac:dyDescent="0.3">
      <c r="A44" s="10"/>
      <c r="B44" s="25" t="s">
        <v>295</v>
      </c>
      <c r="C44" s="10"/>
      <c r="D44" s="20">
        <f>SUM(OSRRefD22x_0)</f>
        <v>135202.20000000001</v>
      </c>
      <c r="E44" s="20"/>
      <c r="F44" s="33">
        <f t="shared" ref="F44:F54" si="12">IF(D$12=0,0,D44/D$12)</f>
        <v>0.74318210226744896</v>
      </c>
      <c r="G44" s="20"/>
      <c r="H44" s="20">
        <f>SUM(OSRRefH22x_0)</f>
        <v>140712.93929236536</v>
      </c>
      <c r="I44" s="20"/>
      <c r="J44" s="33">
        <f t="shared" ref="J44:J54" si="13">IF(H$12=0,0,H44/H$12)</f>
        <v>0.44674461794422832</v>
      </c>
      <c r="K44" s="4"/>
      <c r="L44" s="20">
        <f t="shared" ref="L44:L54" si="14">+D44-H44</f>
        <v>-5510.7392923653533</v>
      </c>
      <c r="M44" s="4"/>
      <c r="N44" s="33">
        <f t="shared" ref="N44:N54" si="15">IF(H44=0,0,L44/H44)</f>
        <v>-3.9162988990766881E-2</v>
      </c>
      <c r="O44" s="10"/>
      <c r="P44" s="20">
        <f>SUM(OSRRefP22x_0)</f>
        <v>717993.69000000006</v>
      </c>
      <c r="Q44" s="20"/>
      <c r="R44" s="33">
        <f t="shared" ref="R44:R54" si="16">IF(P$12=0,0,P44/P$12)</f>
        <v>0.30624791022885495</v>
      </c>
      <c r="S44" s="20"/>
      <c r="T44" s="20">
        <f>SUM(OSRRefT22x_0)</f>
        <v>844272.46177486563</v>
      </c>
      <c r="U44" s="20"/>
      <c r="V44" s="33">
        <f t="shared" ref="V44:V54" si="17">IF(T$12=0,0,T44/T$12)</f>
        <v>0.37211126669381628</v>
      </c>
      <c r="W44" s="4"/>
      <c r="X44" s="20">
        <f t="shared" ref="X44:X54" si="18">+P44-T44</f>
        <v>-126278.77177486557</v>
      </c>
      <c r="Y44" s="4"/>
      <c r="Z44" s="33">
        <f t="shared" ref="Z44:Z54" si="19">IF(T44=0,0,X44/T44)</f>
        <v>-0.14957111299046394</v>
      </c>
    </row>
    <row r="45" spans="1:26" s="28" customFormat="1" outlineLevel="1" collapsed="1" x14ac:dyDescent="0.3">
      <c r="A45" s="29"/>
      <c r="B45" s="14" t="str">
        <f>CONCATENATE("     ","*Benefits                                         ")</f>
        <v xml:space="preserve">     *Benefits                                         </v>
      </c>
      <c r="C45" s="14"/>
      <c r="D45" s="1">
        <f>SUM(OSRRefD22_0x_0)</f>
        <v>18987.850000000002</v>
      </c>
      <c r="E45" s="1"/>
      <c r="F45" s="5">
        <f t="shared" si="12"/>
        <v>0.10437278594977731</v>
      </c>
      <c r="G45" s="1"/>
      <c r="H45" s="1">
        <f>SUM(OSRRefH22_0x_0)</f>
        <v>24583.557176980768</v>
      </c>
      <c r="I45" s="1"/>
      <c r="J45" s="5">
        <f t="shared" si="13"/>
        <v>7.8049480836452426E-2</v>
      </c>
      <c r="K45" s="1"/>
      <c r="L45" s="1">
        <f t="shared" si="14"/>
        <v>-5595.7071769807662</v>
      </c>
      <c r="M45" s="1"/>
      <c r="N45" s="5">
        <f t="shared" si="15"/>
        <v>-0.22761991426612588</v>
      </c>
      <c r="O45" s="14"/>
      <c r="P45" s="1">
        <f>SUM(OSRRefP22_0x_0)</f>
        <v>105436.82999999999</v>
      </c>
      <c r="Q45" s="1"/>
      <c r="R45" s="5">
        <f t="shared" si="16"/>
        <v>4.4972273849168555E-2</v>
      </c>
      <c r="S45" s="1"/>
      <c r="T45" s="1">
        <f>SUM(OSRRefT22_0x_0)</f>
        <v>151852.12965948076</v>
      </c>
      <c r="U45" s="1"/>
      <c r="V45" s="5">
        <f t="shared" si="17"/>
        <v>6.6928498649540133E-2</v>
      </c>
      <c r="W45" s="1"/>
      <c r="X45" s="1">
        <f t="shared" si="18"/>
        <v>-46415.299659480777</v>
      </c>
      <c r="Y45" s="1"/>
      <c r="Z45" s="5">
        <f t="shared" si="19"/>
        <v>-0.30566117026849926</v>
      </c>
    </row>
    <row r="46" spans="1:26" s="24" customFormat="1" hidden="1" outlineLevel="2" x14ac:dyDescent="0.3">
      <c r="A46" s="27"/>
      <c r="B46" s="11" t="str">
        <f>CONCATENATE("          ", "6111", " - ", "F.I.C.A.")</f>
        <v xml:space="preserve">          6111 - F.I.C.A.</v>
      </c>
      <c r="C46" s="11"/>
      <c r="D46" s="7">
        <v>2350.34</v>
      </c>
      <c r="E46" s="2"/>
      <c r="F46" s="6">
        <f t="shared" si="12"/>
        <v>1.2919394967265888E-2</v>
      </c>
      <c r="G46" s="2"/>
      <c r="H46" s="7">
        <v>6482.5952149615396</v>
      </c>
      <c r="I46" s="2"/>
      <c r="J46" s="6">
        <f t="shared" si="13"/>
        <v>2.0581366128510734E-2</v>
      </c>
      <c r="K46" s="2"/>
      <c r="L46" s="7">
        <f t="shared" si="14"/>
        <v>-4132.2552149615394</v>
      </c>
      <c r="M46" s="2"/>
      <c r="N46" s="6">
        <f t="shared" si="15"/>
        <v>-0.63743841439065629</v>
      </c>
      <c r="O46" s="11"/>
      <c r="P46" s="7">
        <v>19677.95</v>
      </c>
      <c r="Q46" s="2"/>
      <c r="R46" s="6">
        <f t="shared" si="16"/>
        <v>8.3932925163839479E-3</v>
      </c>
      <c r="S46" s="2"/>
      <c r="T46" s="7">
        <v>35647.814697461501</v>
      </c>
      <c r="U46" s="2"/>
      <c r="V46" s="6">
        <f t="shared" si="17"/>
        <v>1.5711697446642626E-2</v>
      </c>
      <c r="W46" s="2"/>
      <c r="X46" s="7">
        <f t="shared" si="18"/>
        <v>-15969.8646974615</v>
      </c>
      <c r="Y46" s="2"/>
      <c r="Z46" s="6">
        <f t="shared" si="19"/>
        <v>-0.44799000536206002</v>
      </c>
    </row>
    <row r="47" spans="1:26" s="24" customFormat="1" hidden="1" outlineLevel="2" x14ac:dyDescent="0.3">
      <c r="A47" s="27"/>
      <c r="B47" s="11" t="str">
        <f>CONCATENATE("          ", "6112", " - ", "COMPENSATION INSURANCE")</f>
        <v xml:space="preserve">          6112 - COMPENSATION INSURANCE</v>
      </c>
      <c r="C47" s="11"/>
      <c r="D47" s="7">
        <v>911.47</v>
      </c>
      <c r="E47" s="2"/>
      <c r="F47" s="6">
        <f t="shared" si="12"/>
        <v>5.0101861563917726E-3</v>
      </c>
      <c r="G47" s="2"/>
      <c r="H47" s="7">
        <v>1497.585975</v>
      </c>
      <c r="I47" s="2"/>
      <c r="J47" s="6">
        <f t="shared" si="13"/>
        <v>4.7546336364271335E-3</v>
      </c>
      <c r="K47" s="2"/>
      <c r="L47" s="7">
        <f t="shared" si="14"/>
        <v>-586.11597499999993</v>
      </c>
      <c r="M47" s="2"/>
      <c r="N47" s="6">
        <f t="shared" si="15"/>
        <v>-0.39137384082406351</v>
      </c>
      <c r="O47" s="11"/>
      <c r="P47" s="7">
        <v>6654.77</v>
      </c>
      <c r="Q47" s="2"/>
      <c r="R47" s="6">
        <f t="shared" si="16"/>
        <v>2.8384781564774991E-3</v>
      </c>
      <c r="S47" s="2"/>
      <c r="T47" s="7">
        <v>8985.4299749999991</v>
      </c>
      <c r="U47" s="2"/>
      <c r="V47" s="6">
        <f t="shared" si="17"/>
        <v>3.9603088826998091E-3</v>
      </c>
      <c r="W47" s="2"/>
      <c r="X47" s="7">
        <f t="shared" si="18"/>
        <v>-2330.6599749999987</v>
      </c>
      <c r="Y47" s="2"/>
      <c r="Z47" s="6">
        <f t="shared" si="19"/>
        <v>-0.25938213101482649</v>
      </c>
    </row>
    <row r="48" spans="1:26" s="24" customFormat="1" hidden="1" outlineLevel="2" x14ac:dyDescent="0.3">
      <c r="A48" s="27"/>
      <c r="B48" s="11" t="str">
        <f>CONCATENATE("          ", "6113", " - ", "GROUP INSURANCE")</f>
        <v xml:space="preserve">          6113 - GROUP INSURANCE</v>
      </c>
      <c r="C48" s="11"/>
      <c r="D48" s="7">
        <v>4432.75</v>
      </c>
      <c r="E48" s="2"/>
      <c r="F48" s="6">
        <f t="shared" si="12"/>
        <v>2.4366027060403118E-2</v>
      </c>
      <c r="G48" s="2"/>
      <c r="H48" s="7">
        <v>8382.1538461538494</v>
      </c>
      <c r="I48" s="2"/>
      <c r="J48" s="6">
        <f t="shared" si="13"/>
        <v>2.6612208773276046E-2</v>
      </c>
      <c r="K48" s="2"/>
      <c r="L48" s="7">
        <f t="shared" si="14"/>
        <v>-3949.4038461538494</v>
      </c>
      <c r="M48" s="2"/>
      <c r="N48" s="6">
        <f t="shared" si="15"/>
        <v>-0.47116814110564592</v>
      </c>
      <c r="O48" s="11"/>
      <c r="P48" s="7">
        <v>33333.279999999999</v>
      </c>
      <c r="Q48" s="2"/>
      <c r="R48" s="6">
        <f t="shared" si="16"/>
        <v>1.4217739630933644E-2</v>
      </c>
      <c r="S48" s="2"/>
      <c r="T48" s="7">
        <v>56238.153846153902</v>
      </c>
      <c r="U48" s="2"/>
      <c r="V48" s="6">
        <f t="shared" si="17"/>
        <v>2.478684501946294E-2</v>
      </c>
      <c r="W48" s="2"/>
      <c r="X48" s="7">
        <f t="shared" si="18"/>
        <v>-22904.873846153903</v>
      </c>
      <c r="Y48" s="2"/>
      <c r="Z48" s="6">
        <f t="shared" si="19"/>
        <v>-0.40728353048026583</v>
      </c>
    </row>
    <row r="49" spans="1:26" s="24" customFormat="1" hidden="1" outlineLevel="2" x14ac:dyDescent="0.3">
      <c r="A49" s="27"/>
      <c r="B49" s="11" t="str">
        <f>CONCATENATE("          ", "6114", " - ", "STATE UNEMPLOYMENT INSURANCE")</f>
        <v xml:space="preserve">          6114 - STATE UNEMPLOYMENT INSURANCE</v>
      </c>
      <c r="C49" s="11"/>
      <c r="D49" s="7">
        <v>160.22999999999999</v>
      </c>
      <c r="E49" s="2"/>
      <c r="F49" s="6">
        <f t="shared" si="12"/>
        <v>8.8075540373095513E-4</v>
      </c>
      <c r="G49" s="2"/>
      <c r="H49" s="7">
        <v>201.598112019231</v>
      </c>
      <c r="I49" s="2"/>
      <c r="J49" s="6">
        <f t="shared" si="13"/>
        <v>6.400468356728841E-4</v>
      </c>
      <c r="K49" s="2"/>
      <c r="L49" s="7">
        <f t="shared" si="14"/>
        <v>-41.368112019231006</v>
      </c>
      <c r="M49" s="2"/>
      <c r="N49" s="6">
        <f t="shared" si="15"/>
        <v>-0.20520089005240677</v>
      </c>
      <c r="O49" s="11"/>
      <c r="P49" s="7">
        <v>1169.18</v>
      </c>
      <c r="Q49" s="2"/>
      <c r="R49" s="6">
        <f t="shared" si="16"/>
        <v>4.9869370256077402E-4</v>
      </c>
      <c r="S49" s="2"/>
      <c r="T49" s="7">
        <v>1209.5771120192301</v>
      </c>
      <c r="U49" s="2"/>
      <c r="V49" s="6">
        <f t="shared" si="17"/>
        <v>5.331185034403587E-4</v>
      </c>
      <c r="W49" s="2"/>
      <c r="X49" s="7">
        <f t="shared" si="18"/>
        <v>-40.397112019230008</v>
      </c>
      <c r="Y49" s="2"/>
      <c r="Z49" s="6">
        <f t="shared" si="19"/>
        <v>-3.3397715298855428E-2</v>
      </c>
    </row>
    <row r="50" spans="1:26" s="24" customFormat="1" hidden="1" outlineLevel="2" x14ac:dyDescent="0.3">
      <c r="A50" s="27"/>
      <c r="B50" s="11" t="str">
        <f>CONCATENATE("          ", "6115", " - ", "P.E.R.S.")</f>
        <v xml:space="preserve">          6115 - P.E.R.S.</v>
      </c>
      <c r="C50" s="11"/>
      <c r="D50" s="7">
        <v>1642.66</v>
      </c>
      <c r="E50" s="2"/>
      <c r="F50" s="6">
        <f t="shared" si="12"/>
        <v>9.029405676169824E-3</v>
      </c>
      <c r="G50" s="2"/>
      <c r="H50" s="7">
        <v>1766.6798076923101</v>
      </c>
      <c r="I50" s="2"/>
      <c r="J50" s="6">
        <f t="shared" si="13"/>
        <v>5.6089702886343322E-3</v>
      </c>
      <c r="K50" s="2"/>
      <c r="L50" s="7">
        <f t="shared" si="14"/>
        <v>-124.01980769231</v>
      </c>
      <c r="M50" s="2"/>
      <c r="N50" s="6">
        <f t="shared" si="15"/>
        <v>-7.0199368981472859E-2</v>
      </c>
      <c r="O50" s="11"/>
      <c r="P50" s="7">
        <v>12035.65</v>
      </c>
      <c r="Q50" s="2"/>
      <c r="R50" s="6">
        <f t="shared" si="16"/>
        <v>5.1336003534319611E-3</v>
      </c>
      <c r="S50" s="2"/>
      <c r="T50" s="7">
        <v>10953.414807692299</v>
      </c>
      <c r="U50" s="2"/>
      <c r="V50" s="6">
        <f t="shared" si="17"/>
        <v>4.8276939533769435E-3</v>
      </c>
      <c r="W50" s="2"/>
      <c r="X50" s="7">
        <f t="shared" si="18"/>
        <v>1082.2351923077003</v>
      </c>
      <c r="Y50" s="2"/>
      <c r="Z50" s="6">
        <f t="shared" si="19"/>
        <v>9.8803451828344407E-2</v>
      </c>
    </row>
    <row r="51" spans="1:26" s="24" customFormat="1" hidden="1" outlineLevel="2" x14ac:dyDescent="0.3">
      <c r="A51" s="27"/>
      <c r="B51" s="11" t="str">
        <f>CONCATENATE("          ", "6116", " - ", "EDUCATIONAL BENEFITS")</f>
        <v xml:space="preserve">          6116 - EDUCATIONAL BENEFITS</v>
      </c>
      <c r="C51" s="11"/>
      <c r="D51" s="7"/>
      <c r="E51" s="2"/>
      <c r="F51" s="6">
        <f t="shared" si="12"/>
        <v>0</v>
      </c>
      <c r="G51" s="2"/>
      <c r="H51" s="7">
        <v>0</v>
      </c>
      <c r="I51" s="2"/>
      <c r="J51" s="6">
        <f t="shared" si="13"/>
        <v>0</v>
      </c>
      <c r="K51" s="2"/>
      <c r="L51" s="7">
        <f t="shared" si="14"/>
        <v>0</v>
      </c>
      <c r="M51" s="2"/>
      <c r="N51" s="6">
        <f t="shared" si="15"/>
        <v>0</v>
      </c>
      <c r="O51" s="11"/>
      <c r="P51" s="7"/>
      <c r="Q51" s="2"/>
      <c r="R51" s="6">
        <f t="shared" si="16"/>
        <v>0</v>
      </c>
      <c r="S51" s="2"/>
      <c r="T51" s="7">
        <v>0</v>
      </c>
      <c r="U51" s="2"/>
      <c r="V51" s="6">
        <f t="shared" si="17"/>
        <v>0</v>
      </c>
      <c r="W51" s="2"/>
      <c r="X51" s="7">
        <f t="shared" si="18"/>
        <v>0</v>
      </c>
      <c r="Y51" s="2"/>
      <c r="Z51" s="6">
        <f t="shared" si="19"/>
        <v>0</v>
      </c>
    </row>
    <row r="52" spans="1:26" s="24" customFormat="1" hidden="1" outlineLevel="2" x14ac:dyDescent="0.3">
      <c r="A52" s="27"/>
      <c r="B52" s="11" t="str">
        <f>CONCATENATE("          ", "6118", " - ", "VACATION")</f>
        <v xml:space="preserve">          6118 - VACATION</v>
      </c>
      <c r="C52" s="11"/>
      <c r="D52" s="7">
        <v>3374.6</v>
      </c>
      <c r="E52" s="2"/>
      <c r="F52" s="6">
        <f t="shared" si="12"/>
        <v>1.8549567405794679E-2</v>
      </c>
      <c r="G52" s="2"/>
      <c r="H52" s="7">
        <v>1542.1394230769199</v>
      </c>
      <c r="I52" s="2"/>
      <c r="J52" s="6">
        <f t="shared" si="13"/>
        <v>4.8960848294682096E-3</v>
      </c>
      <c r="K52" s="2"/>
      <c r="L52" s="7">
        <f t="shared" si="14"/>
        <v>1832.46057692308</v>
      </c>
      <c r="M52" s="2"/>
      <c r="N52" s="6">
        <f t="shared" si="15"/>
        <v>1.1882586940595183</v>
      </c>
      <c r="O52" s="11"/>
      <c r="P52" s="7">
        <v>14505.29</v>
      </c>
      <c r="Q52" s="2"/>
      <c r="R52" s="6">
        <f t="shared" si="16"/>
        <v>6.1869829939083546E-3</v>
      </c>
      <c r="S52" s="2"/>
      <c r="T52" s="7">
        <v>9561.2644230769201</v>
      </c>
      <c r="U52" s="2"/>
      <c r="V52" s="6">
        <f t="shared" si="17"/>
        <v>4.2141066737936706E-3</v>
      </c>
      <c r="W52" s="2"/>
      <c r="X52" s="7">
        <f t="shared" si="18"/>
        <v>4944.0255769230807</v>
      </c>
      <c r="Y52" s="2"/>
      <c r="Z52" s="6">
        <f t="shared" si="19"/>
        <v>0.51708909597670549</v>
      </c>
    </row>
    <row r="53" spans="1:26" s="24" customFormat="1" hidden="1" outlineLevel="2" x14ac:dyDescent="0.3">
      <c r="A53" s="27"/>
      <c r="B53" s="11" t="str">
        <f>CONCATENATE("          ", "6119", " - ", "SICK LEAVE")</f>
        <v xml:space="preserve">          6119 - SICK LEAVE</v>
      </c>
      <c r="C53" s="11"/>
      <c r="D53" s="7">
        <v>5294.1</v>
      </c>
      <c r="E53" s="2"/>
      <c r="F53" s="6">
        <f t="shared" si="12"/>
        <v>2.910071261868595E-2</v>
      </c>
      <c r="G53" s="2"/>
      <c r="H53" s="7">
        <v>3835.8047980769202</v>
      </c>
      <c r="I53" s="2"/>
      <c r="J53" s="6">
        <f t="shared" si="13"/>
        <v>1.2178163270863374E-2</v>
      </c>
      <c r="K53" s="2"/>
      <c r="L53" s="7">
        <f t="shared" si="14"/>
        <v>1458.2952019230802</v>
      </c>
      <c r="M53" s="2"/>
      <c r="N53" s="6">
        <f t="shared" si="15"/>
        <v>0.38017972203752293</v>
      </c>
      <c r="O53" s="11"/>
      <c r="P53" s="7">
        <v>12666.43</v>
      </c>
      <c r="Q53" s="2"/>
      <c r="R53" s="6">
        <f t="shared" si="16"/>
        <v>5.4026487580414182E-3</v>
      </c>
      <c r="S53" s="2"/>
      <c r="T53" s="7">
        <v>23131.474798076899</v>
      </c>
      <c r="U53" s="2"/>
      <c r="V53" s="6">
        <f t="shared" si="17"/>
        <v>1.0195147629846253E-2</v>
      </c>
      <c r="W53" s="2"/>
      <c r="X53" s="7">
        <f t="shared" si="18"/>
        <v>-10465.044798076899</v>
      </c>
      <c r="Y53" s="2"/>
      <c r="Z53" s="6">
        <f t="shared" si="19"/>
        <v>-0.45241580527960717</v>
      </c>
    </row>
    <row r="54" spans="1:26" s="24" customFormat="1" hidden="1" outlineLevel="2" x14ac:dyDescent="0.3">
      <c r="A54" s="27"/>
      <c r="B54" s="11" t="str">
        <f>CONCATENATE("          ", "6156", " - ", "EMPLOYEE MEALS")</f>
        <v xml:space="preserve">          6156 - EMPLOYEE MEALS</v>
      </c>
      <c r="C54" s="11"/>
      <c r="D54" s="7">
        <v>821.7</v>
      </c>
      <c r="E54" s="2"/>
      <c r="F54" s="6">
        <f t="shared" si="12"/>
        <v>4.5167366613351172E-3</v>
      </c>
      <c r="G54" s="2"/>
      <c r="H54" s="7">
        <v>875</v>
      </c>
      <c r="I54" s="2"/>
      <c r="J54" s="6">
        <f t="shared" si="13"/>
        <v>2.7780070735997256E-3</v>
      </c>
      <c r="K54" s="2"/>
      <c r="L54" s="7">
        <f t="shared" si="14"/>
        <v>-53.299999999999955</v>
      </c>
      <c r="M54" s="2"/>
      <c r="N54" s="6">
        <f t="shared" si="15"/>
        <v>-6.0914285714285664E-2</v>
      </c>
      <c r="O54" s="11"/>
      <c r="P54" s="7">
        <v>5394.28</v>
      </c>
      <c r="Q54" s="2"/>
      <c r="R54" s="6">
        <f t="shared" si="16"/>
        <v>2.3008377374309618E-3</v>
      </c>
      <c r="S54" s="2"/>
      <c r="T54" s="7">
        <v>6125</v>
      </c>
      <c r="U54" s="2"/>
      <c r="V54" s="6">
        <f t="shared" si="17"/>
        <v>2.6995805402775211E-3</v>
      </c>
      <c r="W54" s="2"/>
      <c r="X54" s="7">
        <f t="shared" si="18"/>
        <v>-730.72000000000025</v>
      </c>
      <c r="Y54" s="2"/>
      <c r="Z54" s="6">
        <f t="shared" si="19"/>
        <v>-0.11930122448979597</v>
      </c>
    </row>
    <row r="55" spans="1:26" s="28" customFormat="1" outlineLevel="1" collapsed="1" x14ac:dyDescent="0.3">
      <c r="A55" s="29"/>
      <c r="B55" s="14" t="str">
        <f>CONCATENATE("     ","*Payroll                                          ")</f>
        <v xml:space="preserve">     *Payroll                                          </v>
      </c>
      <c r="C55" s="14"/>
      <c r="D55" s="1">
        <f>SUM(OSRRefD22_1x_0)</f>
        <v>78558.989999999991</v>
      </c>
      <c r="E55" s="1"/>
      <c r="F55" s="5">
        <f t="shared" ref="F55:F65" si="20">IF(D$12=0,0,D55/D$12)</f>
        <v>0.43182459560722747</v>
      </c>
      <c r="G55" s="1"/>
      <c r="H55" s="1">
        <f>SUM(OSRRefH22_1x_0)</f>
        <v>92067.382115384593</v>
      </c>
      <c r="I55" s="1"/>
      <c r="J55" s="5">
        <f t="shared" ref="J55:J65" si="21">IF(H$12=0,0,H55/H$12)</f>
        <v>0.29230153001639686</v>
      </c>
      <c r="K55" s="1"/>
      <c r="L55" s="1">
        <f t="shared" ref="L55:L65" si="22">+D55-H55</f>
        <v>-13508.392115384602</v>
      </c>
      <c r="M55" s="1"/>
      <c r="N55" s="5">
        <f t="shared" ref="N55:N65" si="23">IF(H55=0,0,L55/H55)</f>
        <v>-0.14672288713993237</v>
      </c>
      <c r="O55" s="14"/>
      <c r="P55" s="1">
        <f>SUM(OSRRefP22_1x_0)</f>
        <v>457897.34</v>
      </c>
      <c r="Q55" s="1"/>
      <c r="R55" s="5">
        <f t="shared" ref="R55:R65" si="24">IF(P$12=0,0,P55/P$12)</f>
        <v>0.1953082672277405</v>
      </c>
      <c r="S55" s="1"/>
      <c r="T55" s="1">
        <f>SUM(OSRRefT22_1x_0)</f>
        <v>551798.33211538498</v>
      </c>
      <c r="U55" s="1"/>
      <c r="V55" s="5">
        <f t="shared" ref="V55:V65" si="25">IF(T$12=0,0,T55/T$12)</f>
        <v>0.24320392482225078</v>
      </c>
      <c r="W55" s="1"/>
      <c r="X55" s="1">
        <f t="shared" ref="X55:X65" si="26">+P55-T55</f>
        <v>-93900.992115384957</v>
      </c>
      <c r="Y55" s="1"/>
      <c r="Z55" s="5">
        <f t="shared" ref="Z55:Z65" si="27">IF(T55=0,0,X55/T55)</f>
        <v>-0.17017266390676511</v>
      </c>
    </row>
    <row r="56" spans="1:26" s="24" customFormat="1" hidden="1" outlineLevel="2" x14ac:dyDescent="0.3">
      <c r="A56" s="27"/>
      <c r="B56" s="11" t="str">
        <f>CONCATENATE("          ", "6001", " - ", "ADMINISTRATIVE SALARIES")</f>
        <v xml:space="preserve">          6001 - ADMINISTRATIVE SALARIES</v>
      </c>
      <c r="C56" s="11"/>
      <c r="D56" s="7"/>
      <c r="E56" s="2"/>
      <c r="F56" s="6">
        <f t="shared" si="20"/>
        <v>0</v>
      </c>
      <c r="G56" s="2"/>
      <c r="H56" s="7">
        <v>0</v>
      </c>
      <c r="I56" s="2"/>
      <c r="J56" s="6">
        <f t="shared" si="21"/>
        <v>0</v>
      </c>
      <c r="K56" s="2"/>
      <c r="L56" s="7">
        <f t="shared" si="22"/>
        <v>0</v>
      </c>
      <c r="M56" s="2"/>
      <c r="N56" s="6">
        <f t="shared" si="23"/>
        <v>0</v>
      </c>
      <c r="O56" s="11"/>
      <c r="P56" s="7"/>
      <c r="Q56" s="2"/>
      <c r="R56" s="6">
        <f t="shared" si="24"/>
        <v>0</v>
      </c>
      <c r="S56" s="2"/>
      <c r="T56" s="7">
        <v>0</v>
      </c>
      <c r="U56" s="2"/>
      <c r="V56" s="6">
        <f t="shared" si="25"/>
        <v>0</v>
      </c>
      <c r="W56" s="2"/>
      <c r="X56" s="7">
        <f t="shared" si="26"/>
        <v>0</v>
      </c>
      <c r="Y56" s="2"/>
      <c r="Z56" s="6">
        <f t="shared" si="27"/>
        <v>0</v>
      </c>
    </row>
    <row r="57" spans="1:26" s="24" customFormat="1" hidden="1" outlineLevel="2" x14ac:dyDescent="0.3">
      <c r="A57" s="27"/>
      <c r="B57" s="11" t="str">
        <f>CONCATENATE("          ", "6002", " - ", "STAFF SALARIES")</f>
        <v xml:space="preserve">          6002 - STAFF SALARIES</v>
      </c>
      <c r="C57" s="11"/>
      <c r="D57" s="7">
        <v>18768.439999999999</v>
      </c>
      <c r="E57" s="2"/>
      <c r="F57" s="6">
        <f t="shared" si="20"/>
        <v>0.10316672876240533</v>
      </c>
      <c r="G57" s="2"/>
      <c r="H57" s="7">
        <v>18488.509615384599</v>
      </c>
      <c r="I57" s="2"/>
      <c r="J57" s="6">
        <f t="shared" si="21"/>
        <v>5.869852627640567E-2</v>
      </c>
      <c r="K57" s="2"/>
      <c r="L57" s="7">
        <f t="shared" si="22"/>
        <v>279.93038461539982</v>
      </c>
      <c r="M57" s="2"/>
      <c r="N57" s="6">
        <f t="shared" si="23"/>
        <v>1.5140776105742187E-2</v>
      </c>
      <c r="O57" s="11"/>
      <c r="P57" s="7">
        <v>118622.39</v>
      </c>
      <c r="Q57" s="2"/>
      <c r="R57" s="6">
        <f t="shared" si="24"/>
        <v>5.0596348616729792E-2</v>
      </c>
      <c r="S57" s="2"/>
      <c r="T57" s="7">
        <v>114628.759615385</v>
      </c>
      <c r="U57" s="2"/>
      <c r="V57" s="6">
        <f t="shared" si="25"/>
        <v>5.0522378581851941E-2</v>
      </c>
      <c r="W57" s="2"/>
      <c r="X57" s="7">
        <f t="shared" si="26"/>
        <v>3993.6303846149967</v>
      </c>
      <c r="Y57" s="2"/>
      <c r="Z57" s="6">
        <f t="shared" si="27"/>
        <v>3.483968942885593E-2</v>
      </c>
    </row>
    <row r="58" spans="1:26" s="24" customFormat="1" hidden="1" outlineLevel="2" x14ac:dyDescent="0.3">
      <c r="A58" s="27"/>
      <c r="B58" s="11" t="str">
        <f>CONCATENATE("          ", "6003", " - ", "STAFF HOURLY-9 MONTH")</f>
        <v xml:space="preserve">          6003 - STAFF HOURLY-9 MONTH</v>
      </c>
      <c r="C58" s="11"/>
      <c r="D58" s="7"/>
      <c r="E58" s="2"/>
      <c r="F58" s="6">
        <f t="shared" si="20"/>
        <v>0</v>
      </c>
      <c r="G58" s="2"/>
      <c r="H58" s="7">
        <v>0</v>
      </c>
      <c r="I58" s="2"/>
      <c r="J58" s="6">
        <f t="shared" si="21"/>
        <v>0</v>
      </c>
      <c r="K58" s="2"/>
      <c r="L58" s="7">
        <f t="shared" si="22"/>
        <v>0</v>
      </c>
      <c r="M58" s="2"/>
      <c r="N58" s="6">
        <f t="shared" si="23"/>
        <v>0</v>
      </c>
      <c r="O58" s="11"/>
      <c r="P58" s="7"/>
      <c r="Q58" s="2"/>
      <c r="R58" s="6">
        <f t="shared" si="24"/>
        <v>0</v>
      </c>
      <c r="S58" s="2"/>
      <c r="T58" s="7">
        <v>0</v>
      </c>
      <c r="U58" s="2"/>
      <c r="V58" s="6">
        <f t="shared" si="25"/>
        <v>0</v>
      </c>
      <c r="W58" s="2"/>
      <c r="X58" s="7">
        <f t="shared" si="26"/>
        <v>0</v>
      </c>
      <c r="Y58" s="2"/>
      <c r="Z58" s="6">
        <f t="shared" si="27"/>
        <v>0</v>
      </c>
    </row>
    <row r="59" spans="1:26" s="24" customFormat="1" hidden="1" outlineLevel="2" x14ac:dyDescent="0.3">
      <c r="A59" s="27"/>
      <c r="B59" s="11" t="str">
        <f>CONCATENATE("          ", "6004", " - ", "STAFF HOURLY")</f>
        <v xml:space="preserve">          6004 - STAFF HOURLY</v>
      </c>
      <c r="C59" s="11"/>
      <c r="D59" s="7">
        <v>6306.96</v>
      </c>
      <c r="E59" s="2"/>
      <c r="F59" s="6">
        <f t="shared" si="20"/>
        <v>3.4668221313830024E-2</v>
      </c>
      <c r="G59" s="2"/>
      <c r="H59" s="7">
        <v>25371.360000000001</v>
      </c>
      <c r="I59" s="2"/>
      <c r="J59" s="6">
        <f t="shared" si="21"/>
        <v>8.0550648624965873E-2</v>
      </c>
      <c r="K59" s="2"/>
      <c r="L59" s="7">
        <f t="shared" si="22"/>
        <v>-19064.400000000001</v>
      </c>
      <c r="M59" s="2"/>
      <c r="N59" s="6">
        <f t="shared" si="23"/>
        <v>-0.7514141930113325</v>
      </c>
      <c r="O59" s="11"/>
      <c r="P59" s="7">
        <v>60595.14</v>
      </c>
      <c r="Q59" s="2"/>
      <c r="R59" s="6">
        <f t="shared" si="24"/>
        <v>2.5845819055909665E-2</v>
      </c>
      <c r="S59" s="2"/>
      <c r="T59" s="7">
        <v>153770.56</v>
      </c>
      <c r="U59" s="2"/>
      <c r="V59" s="6">
        <f t="shared" si="25"/>
        <v>6.7774042684665636E-2</v>
      </c>
      <c r="W59" s="2"/>
      <c r="X59" s="7">
        <f t="shared" si="26"/>
        <v>-93175.42</v>
      </c>
      <c r="Y59" s="2"/>
      <c r="Z59" s="6">
        <f t="shared" si="27"/>
        <v>-0.6059379636778327</v>
      </c>
    </row>
    <row r="60" spans="1:26" s="24" customFormat="1" hidden="1" outlineLevel="2" x14ac:dyDescent="0.3">
      <c r="A60" s="27"/>
      <c r="B60" s="11" t="str">
        <f>CONCATENATE("          ", "6005", " - ", "TEMPORARY WAGES-HOURLY")</f>
        <v xml:space="preserve">          6005 - TEMPORARY WAGES-HOURLY</v>
      </c>
      <c r="C60" s="11"/>
      <c r="D60" s="7">
        <v>4908.21</v>
      </c>
      <c r="E60" s="2"/>
      <c r="F60" s="6">
        <f t="shared" si="20"/>
        <v>2.6979544905113347E-2</v>
      </c>
      <c r="G60" s="2"/>
      <c r="H60" s="7">
        <v>0</v>
      </c>
      <c r="I60" s="2"/>
      <c r="J60" s="6">
        <f t="shared" si="21"/>
        <v>0</v>
      </c>
      <c r="K60" s="2"/>
      <c r="L60" s="7">
        <f t="shared" si="22"/>
        <v>4908.21</v>
      </c>
      <c r="M60" s="2"/>
      <c r="N60" s="6">
        <f t="shared" si="23"/>
        <v>0</v>
      </c>
      <c r="O60" s="11"/>
      <c r="P60" s="7">
        <v>25119.67</v>
      </c>
      <c r="Q60" s="2"/>
      <c r="R60" s="6">
        <f t="shared" si="24"/>
        <v>1.0714364973233205E-2</v>
      </c>
      <c r="S60" s="2"/>
      <c r="T60" s="7">
        <v>0</v>
      </c>
      <c r="U60" s="2"/>
      <c r="V60" s="6">
        <f t="shared" si="25"/>
        <v>0</v>
      </c>
      <c r="W60" s="2"/>
      <c r="X60" s="7">
        <f t="shared" si="26"/>
        <v>25119.67</v>
      </c>
      <c r="Y60" s="2"/>
      <c r="Z60" s="6">
        <f t="shared" si="27"/>
        <v>0</v>
      </c>
    </row>
    <row r="61" spans="1:26" s="24" customFormat="1" hidden="1" outlineLevel="2" x14ac:dyDescent="0.3">
      <c r="A61" s="27"/>
      <c r="B61" s="11" t="str">
        <f>CONCATENATE("          ", "6006", " - ", "TEMPORARY PART TIME")</f>
        <v xml:space="preserve">          6006 - TEMPORARY PART TIME</v>
      </c>
      <c r="C61" s="11"/>
      <c r="D61" s="7"/>
      <c r="E61" s="2"/>
      <c r="F61" s="6">
        <f t="shared" si="20"/>
        <v>0</v>
      </c>
      <c r="G61" s="2"/>
      <c r="H61" s="7">
        <v>0</v>
      </c>
      <c r="I61" s="2"/>
      <c r="J61" s="6">
        <f t="shared" si="21"/>
        <v>0</v>
      </c>
      <c r="K61" s="2"/>
      <c r="L61" s="7">
        <f t="shared" si="22"/>
        <v>0</v>
      </c>
      <c r="M61" s="2"/>
      <c r="N61" s="6">
        <f t="shared" si="23"/>
        <v>0</v>
      </c>
      <c r="O61" s="11"/>
      <c r="P61" s="7"/>
      <c r="Q61" s="2"/>
      <c r="R61" s="6">
        <f t="shared" si="24"/>
        <v>0</v>
      </c>
      <c r="S61" s="2"/>
      <c r="T61" s="7">
        <v>0</v>
      </c>
      <c r="U61" s="2"/>
      <c r="V61" s="6">
        <f t="shared" si="25"/>
        <v>0</v>
      </c>
      <c r="W61" s="2"/>
      <c r="X61" s="7">
        <f t="shared" si="26"/>
        <v>0</v>
      </c>
      <c r="Y61" s="2"/>
      <c r="Z61" s="6">
        <f t="shared" si="27"/>
        <v>0</v>
      </c>
    </row>
    <row r="62" spans="1:26" s="24" customFormat="1" hidden="1" outlineLevel="2" x14ac:dyDescent="0.3">
      <c r="A62" s="27"/>
      <c r="B62" s="11" t="str">
        <f>CONCATENATE("          ", "6007", " - ", "STUDENT HOURLY")</f>
        <v xml:space="preserve">          6007 - STUDENT HOURLY</v>
      </c>
      <c r="C62" s="11"/>
      <c r="D62" s="7">
        <v>43939.74</v>
      </c>
      <c r="E62" s="2"/>
      <c r="F62" s="6">
        <f t="shared" si="20"/>
        <v>0.24152882383781563</v>
      </c>
      <c r="G62" s="2"/>
      <c r="H62" s="7">
        <v>36915</v>
      </c>
      <c r="I62" s="2"/>
      <c r="J62" s="6">
        <f t="shared" si="21"/>
        <v>0.11720014985363872</v>
      </c>
      <c r="K62" s="2"/>
      <c r="L62" s="7">
        <f t="shared" si="22"/>
        <v>7024.739999999998</v>
      </c>
      <c r="M62" s="2"/>
      <c r="N62" s="6">
        <f t="shared" si="23"/>
        <v>0.19029500203169439</v>
      </c>
      <c r="O62" s="11"/>
      <c r="P62" s="7">
        <v>206209.87</v>
      </c>
      <c r="Q62" s="2"/>
      <c r="R62" s="6">
        <f t="shared" si="24"/>
        <v>8.7955287958120978E-2</v>
      </c>
      <c r="S62" s="2"/>
      <c r="T62" s="7">
        <v>173211.75</v>
      </c>
      <c r="U62" s="2"/>
      <c r="V62" s="6">
        <f t="shared" si="25"/>
        <v>7.6342705248557546E-2</v>
      </c>
      <c r="W62" s="2"/>
      <c r="X62" s="7">
        <f t="shared" si="26"/>
        <v>32998.119999999995</v>
      </c>
      <c r="Y62" s="2"/>
      <c r="Z62" s="6">
        <f t="shared" si="27"/>
        <v>0.19050739918048282</v>
      </c>
    </row>
    <row r="63" spans="1:26" s="24" customFormat="1" hidden="1" outlineLevel="2" x14ac:dyDescent="0.3">
      <c r="A63" s="27"/>
      <c r="B63" s="11" t="str">
        <f>CONCATENATE("          ", "6008", " - ", "STUDENT HOURLY-FICA EXEMPT")</f>
        <v xml:space="preserve">          6008 - STUDENT HOURLY-FICA EXEMPT</v>
      </c>
      <c r="C63" s="11"/>
      <c r="D63" s="7">
        <v>4635.6400000000003</v>
      </c>
      <c r="E63" s="2"/>
      <c r="F63" s="6">
        <f t="shared" si="20"/>
        <v>2.5481276788063192E-2</v>
      </c>
      <c r="G63" s="2"/>
      <c r="H63" s="7">
        <v>11292.512500000001</v>
      </c>
      <c r="I63" s="2"/>
      <c r="J63" s="6">
        <f t="shared" si="21"/>
        <v>3.5852205261386653E-2</v>
      </c>
      <c r="K63" s="2"/>
      <c r="L63" s="7">
        <f t="shared" si="22"/>
        <v>-6656.8725000000004</v>
      </c>
      <c r="M63" s="2"/>
      <c r="N63" s="6">
        <f t="shared" si="23"/>
        <v>-0.58949436628916729</v>
      </c>
      <c r="O63" s="11"/>
      <c r="P63" s="7">
        <v>47350.27</v>
      </c>
      <c r="Q63" s="2"/>
      <c r="R63" s="6">
        <f t="shared" si="24"/>
        <v>2.0196446623746849E-2</v>
      </c>
      <c r="S63" s="2"/>
      <c r="T63" s="7">
        <v>110187.2625</v>
      </c>
      <c r="U63" s="2"/>
      <c r="V63" s="6">
        <f t="shared" si="25"/>
        <v>4.856479830717568E-2</v>
      </c>
      <c r="W63" s="2"/>
      <c r="X63" s="7">
        <f t="shared" si="26"/>
        <v>-62836.9925</v>
      </c>
      <c r="Y63" s="2"/>
      <c r="Z63" s="6">
        <f t="shared" si="27"/>
        <v>-0.57027455873132338</v>
      </c>
    </row>
    <row r="64" spans="1:26" s="24" customFormat="1" hidden="1" outlineLevel="2" x14ac:dyDescent="0.3">
      <c r="A64" s="27"/>
      <c r="B64" s="11" t="str">
        <f>CONCATENATE("          ", "6009", " - ", "TEMPORARY-SEASONAL")</f>
        <v xml:space="preserve">          6009 - TEMPORARY-SEASONAL</v>
      </c>
      <c r="C64" s="11"/>
      <c r="D64" s="7"/>
      <c r="E64" s="2"/>
      <c r="F64" s="6">
        <f t="shared" si="20"/>
        <v>0</v>
      </c>
      <c r="G64" s="2"/>
      <c r="H64" s="7">
        <v>0</v>
      </c>
      <c r="I64" s="2"/>
      <c r="J64" s="6">
        <f t="shared" si="21"/>
        <v>0</v>
      </c>
      <c r="K64" s="2"/>
      <c r="L64" s="7">
        <f t="shared" si="22"/>
        <v>0</v>
      </c>
      <c r="M64" s="2"/>
      <c r="N64" s="6">
        <f t="shared" si="23"/>
        <v>0</v>
      </c>
      <c r="O64" s="11"/>
      <c r="P64" s="7"/>
      <c r="Q64" s="2"/>
      <c r="R64" s="6">
        <f t="shared" si="24"/>
        <v>0</v>
      </c>
      <c r="S64" s="2"/>
      <c r="T64" s="7">
        <v>0</v>
      </c>
      <c r="U64" s="2"/>
      <c r="V64" s="6">
        <f t="shared" si="25"/>
        <v>0</v>
      </c>
      <c r="W64" s="2"/>
      <c r="X64" s="7">
        <f t="shared" si="26"/>
        <v>0</v>
      </c>
      <c r="Y64" s="2"/>
      <c r="Z64" s="6">
        <f t="shared" si="27"/>
        <v>0</v>
      </c>
    </row>
    <row r="65" spans="1:26" s="24" customFormat="1" hidden="1" outlineLevel="2" x14ac:dyDescent="0.3">
      <c r="A65" s="27"/>
      <c r="B65" s="11" t="str">
        <f>CONCATENATE("          ", "6010", " - ", "GRATUITY")</f>
        <v xml:space="preserve">          6010 - GRATUITY</v>
      </c>
      <c r="C65" s="11"/>
      <c r="D65" s="7"/>
      <c r="E65" s="2"/>
      <c r="F65" s="6">
        <f t="shared" si="20"/>
        <v>0</v>
      </c>
      <c r="G65" s="2"/>
      <c r="H65" s="7">
        <v>0</v>
      </c>
      <c r="I65" s="2"/>
      <c r="J65" s="6">
        <f t="shared" si="21"/>
        <v>0</v>
      </c>
      <c r="K65" s="2"/>
      <c r="L65" s="7">
        <f t="shared" si="22"/>
        <v>0</v>
      </c>
      <c r="M65" s="2"/>
      <c r="N65" s="6">
        <f t="shared" si="23"/>
        <v>0</v>
      </c>
      <c r="O65" s="11"/>
      <c r="P65" s="7"/>
      <c r="Q65" s="2"/>
      <c r="R65" s="6">
        <f t="shared" si="24"/>
        <v>0</v>
      </c>
      <c r="S65" s="2"/>
      <c r="T65" s="7">
        <v>0</v>
      </c>
      <c r="U65" s="2"/>
      <c r="V65" s="6">
        <f t="shared" si="25"/>
        <v>0</v>
      </c>
      <c r="W65" s="2"/>
      <c r="X65" s="7">
        <f t="shared" si="26"/>
        <v>0</v>
      </c>
      <c r="Y65" s="2"/>
      <c r="Z65" s="6">
        <f t="shared" si="27"/>
        <v>0</v>
      </c>
    </row>
    <row r="66" spans="1:26" s="28" customFormat="1" outlineLevel="1" collapsed="1" x14ac:dyDescent="0.3">
      <c r="A66" s="29"/>
      <c r="B66" s="14" t="str">
        <f>CONCATENATE("     ","Advertising/Promo                                 ")</f>
        <v xml:space="preserve">     Advertising/Promo                                 </v>
      </c>
      <c r="C66" s="14"/>
      <c r="D66" s="1">
        <f>SUM(OSRRefD22_2x_0)</f>
        <v>1204.52</v>
      </c>
      <c r="E66" s="1"/>
      <c r="F66" s="5">
        <f t="shared" ref="F66:F74" si="28">IF(D$12=0,0,D66/D$12)</f>
        <v>6.6210291387506087E-3</v>
      </c>
      <c r="G66" s="1"/>
      <c r="H66" s="1">
        <f>SUM(OSRRefH22_2x_0)</f>
        <v>150</v>
      </c>
      <c r="I66" s="1"/>
      <c r="J66" s="5">
        <f t="shared" ref="J66:J74" si="29">IF(H$12=0,0,H66/H$12)</f>
        <v>4.7622978404566725E-4</v>
      </c>
      <c r="K66" s="1"/>
      <c r="L66" s="1">
        <f t="shared" ref="L66:L74" si="30">+D66-H66</f>
        <v>1054.52</v>
      </c>
      <c r="M66" s="1"/>
      <c r="N66" s="5">
        <f t="shared" ref="N66:N74" si="31">IF(H66=0,0,L66/H66)</f>
        <v>7.0301333333333336</v>
      </c>
      <c r="O66" s="14"/>
      <c r="P66" s="1">
        <f>SUM(OSRRefP22_2x_0)</f>
        <v>5704.51</v>
      </c>
      <c r="Q66" s="1"/>
      <c r="R66" s="5">
        <f t="shared" ref="R66:R74" si="32">IF(P$12=0,0,P66/P$12)</f>
        <v>2.4331610301193667E-3</v>
      </c>
      <c r="S66" s="1"/>
      <c r="T66" s="1">
        <f>SUM(OSRRefT22_2x_0)</f>
        <v>2450</v>
      </c>
      <c r="U66" s="1"/>
      <c r="V66" s="5">
        <f t="shared" ref="V66:V74" si="33">IF(T$12=0,0,T66/T$12)</f>
        <v>1.0798322161110086E-3</v>
      </c>
      <c r="W66" s="1"/>
      <c r="X66" s="1">
        <f t="shared" ref="X66:X74" si="34">+P66-T66</f>
        <v>3254.51</v>
      </c>
      <c r="Y66" s="1"/>
      <c r="Z66" s="5">
        <f t="shared" ref="Z66:Z74" si="35">IF(T66=0,0,X66/T66)</f>
        <v>1.3283714285714288</v>
      </c>
    </row>
    <row r="67" spans="1:26" s="24" customFormat="1" hidden="1" outlineLevel="2" x14ac:dyDescent="0.3">
      <c r="A67" s="27"/>
      <c r="B67" s="11" t="str">
        <f>CONCATENATE("          ", "6362", " - ", "ADVERTISING EXPENSE")</f>
        <v xml:space="preserve">          6362 - ADVERTISING EXPENSE</v>
      </c>
      <c r="C67" s="11"/>
      <c r="D67" s="7">
        <v>1204.52</v>
      </c>
      <c r="E67" s="2"/>
      <c r="F67" s="6">
        <f t="shared" si="28"/>
        <v>6.6210291387506087E-3</v>
      </c>
      <c r="G67" s="2"/>
      <c r="H67" s="7">
        <v>150</v>
      </c>
      <c r="I67" s="2"/>
      <c r="J67" s="6">
        <f t="shared" si="29"/>
        <v>4.7622978404566725E-4</v>
      </c>
      <c r="K67" s="2"/>
      <c r="L67" s="7">
        <f t="shared" si="30"/>
        <v>1054.52</v>
      </c>
      <c r="M67" s="2"/>
      <c r="N67" s="6">
        <f t="shared" si="31"/>
        <v>7.0301333333333336</v>
      </c>
      <c r="O67" s="11"/>
      <c r="P67" s="7">
        <v>5704.51</v>
      </c>
      <c r="Q67" s="2"/>
      <c r="R67" s="6">
        <f t="shared" si="32"/>
        <v>2.4331610301193667E-3</v>
      </c>
      <c r="S67" s="2"/>
      <c r="T67" s="7">
        <v>2450</v>
      </c>
      <c r="U67" s="2"/>
      <c r="V67" s="6">
        <f t="shared" si="33"/>
        <v>1.0798322161110086E-3</v>
      </c>
      <c r="W67" s="2"/>
      <c r="X67" s="7">
        <f t="shared" si="34"/>
        <v>3254.51</v>
      </c>
      <c r="Y67" s="2"/>
      <c r="Z67" s="6">
        <f t="shared" si="35"/>
        <v>1.3283714285714288</v>
      </c>
    </row>
    <row r="68" spans="1:26" s="28" customFormat="1" outlineLevel="1" collapsed="1" x14ac:dyDescent="0.3">
      <c r="A68" s="29"/>
      <c r="B68" s="14" t="str">
        <f>CONCATENATE("     ","Bad Debts/Over/Short                              ")</f>
        <v xml:space="preserve">     Bad Debts/Over/Short                              </v>
      </c>
      <c r="C68" s="14"/>
      <c r="D68" s="1">
        <f>SUM(OSRRefD22_3x_0)</f>
        <v>-8.1999999999999993</v>
      </c>
      <c r="E68" s="1"/>
      <c r="F68" s="5">
        <f t="shared" si="28"/>
        <v>-4.507392068023361E-5</v>
      </c>
      <c r="G68" s="1"/>
      <c r="H68" s="1">
        <f>SUM(OSRRefH22_3x_0)</f>
        <v>35</v>
      </c>
      <c r="I68" s="1"/>
      <c r="J68" s="5">
        <f t="shared" si="29"/>
        <v>1.1112028294398903E-4</v>
      </c>
      <c r="K68" s="1"/>
      <c r="L68" s="1">
        <f t="shared" si="30"/>
        <v>-43.2</v>
      </c>
      <c r="M68" s="1"/>
      <c r="N68" s="5">
        <f t="shared" si="31"/>
        <v>-1.2342857142857144</v>
      </c>
      <c r="O68" s="14"/>
      <c r="P68" s="1">
        <f>SUM(OSRRefP22_3x_0)</f>
        <v>-21.68</v>
      </c>
      <c r="Q68" s="1"/>
      <c r="R68" s="5">
        <f t="shared" si="32"/>
        <v>-9.2472326515314845E-6</v>
      </c>
      <c r="S68" s="1"/>
      <c r="T68" s="1">
        <f>SUM(OSRRefT22_3x_0)</f>
        <v>245</v>
      </c>
      <c r="U68" s="1"/>
      <c r="V68" s="5">
        <f t="shared" si="33"/>
        <v>1.0798322161110085E-4</v>
      </c>
      <c r="W68" s="1"/>
      <c r="X68" s="1">
        <f t="shared" si="34"/>
        <v>-266.68</v>
      </c>
      <c r="Y68" s="1"/>
      <c r="Z68" s="5">
        <f t="shared" si="35"/>
        <v>-1.0884897959183675</v>
      </c>
    </row>
    <row r="69" spans="1:26" s="24" customFormat="1" hidden="1" outlineLevel="2" x14ac:dyDescent="0.3">
      <c r="A69" s="27"/>
      <c r="B69" s="11" t="str">
        <f>CONCATENATE("          ", "6272", " - ", "CASH (OVER/SHORT)")</f>
        <v xml:space="preserve">          6272 - CASH (OVER/SHORT)</v>
      </c>
      <c r="C69" s="11"/>
      <c r="D69" s="7">
        <v>-8.1999999999999993</v>
      </c>
      <c r="E69" s="2"/>
      <c r="F69" s="6">
        <f t="shared" si="28"/>
        <v>-4.507392068023361E-5</v>
      </c>
      <c r="G69" s="2"/>
      <c r="H69" s="7">
        <v>35</v>
      </c>
      <c r="I69" s="2"/>
      <c r="J69" s="6">
        <f t="shared" si="29"/>
        <v>1.1112028294398903E-4</v>
      </c>
      <c r="K69" s="2"/>
      <c r="L69" s="7">
        <f t="shared" si="30"/>
        <v>-43.2</v>
      </c>
      <c r="M69" s="2"/>
      <c r="N69" s="6">
        <f t="shared" si="31"/>
        <v>-1.2342857142857144</v>
      </c>
      <c r="O69" s="11"/>
      <c r="P69" s="7">
        <v>-21.68</v>
      </c>
      <c r="Q69" s="2"/>
      <c r="R69" s="6">
        <f t="shared" si="32"/>
        <v>-9.2472326515314845E-6</v>
      </c>
      <c r="S69" s="2"/>
      <c r="T69" s="7">
        <v>245</v>
      </c>
      <c r="U69" s="2"/>
      <c r="V69" s="6">
        <f t="shared" si="33"/>
        <v>1.0798322161110085E-4</v>
      </c>
      <c r="W69" s="2"/>
      <c r="X69" s="7">
        <f t="shared" si="34"/>
        <v>-266.68</v>
      </c>
      <c r="Y69" s="2"/>
      <c r="Z69" s="6">
        <f t="shared" si="35"/>
        <v>-1.0884897959183675</v>
      </c>
    </row>
    <row r="70" spans="1:26" s="28" customFormat="1" outlineLevel="1" collapsed="1" x14ac:dyDescent="0.3">
      <c r="A70" s="29"/>
      <c r="B70" s="14" t="str">
        <f>CONCATENATE("     ","Bank/card Fees                                    ")</f>
        <v xml:space="preserve">     Bank/card Fees                                    </v>
      </c>
      <c r="C70" s="14"/>
      <c r="D70" s="1">
        <f>SUM(OSRRefD22_4x_0)</f>
        <v>339.5</v>
      </c>
      <c r="E70" s="1"/>
      <c r="F70" s="5">
        <f t="shared" si="28"/>
        <v>1.8661702525535747E-3</v>
      </c>
      <c r="G70" s="1"/>
      <c r="H70" s="1">
        <f>SUM(OSRRefH22_4x_0)</f>
        <v>1405</v>
      </c>
      <c r="I70" s="1"/>
      <c r="J70" s="5">
        <f t="shared" si="29"/>
        <v>4.4606856438944168E-3</v>
      </c>
      <c r="K70" s="1"/>
      <c r="L70" s="1">
        <f t="shared" si="30"/>
        <v>-1065.5</v>
      </c>
      <c r="M70" s="1"/>
      <c r="N70" s="5">
        <f t="shared" si="31"/>
        <v>-0.75836298932384338</v>
      </c>
      <c r="O70" s="14"/>
      <c r="P70" s="1">
        <f>SUM(OSRRefP22_4x_0)</f>
        <v>3814.08</v>
      </c>
      <c r="Q70" s="1"/>
      <c r="R70" s="5">
        <f t="shared" si="32"/>
        <v>1.6268304940753322E-3</v>
      </c>
      <c r="S70" s="1"/>
      <c r="T70" s="1">
        <f>SUM(OSRRefT22_4x_0)</f>
        <v>9682</v>
      </c>
      <c r="U70" s="1"/>
      <c r="V70" s="5">
        <f t="shared" si="33"/>
        <v>4.2673206189333818E-3</v>
      </c>
      <c r="W70" s="1"/>
      <c r="X70" s="1">
        <f t="shared" si="34"/>
        <v>-5867.92</v>
      </c>
      <c r="Y70" s="1"/>
      <c r="Z70" s="5">
        <f t="shared" si="35"/>
        <v>-0.60606486263168768</v>
      </c>
    </row>
    <row r="71" spans="1:26" s="24" customFormat="1" hidden="1" outlineLevel="2" x14ac:dyDescent="0.3">
      <c r="A71" s="27"/>
      <c r="B71" s="11" t="str">
        <f>CONCATENATE("          ", "6381", " - ", "BANK/CREDIT CARD FEES")</f>
        <v xml:space="preserve">          6381 - BANK/CREDIT CARD FEES</v>
      </c>
      <c r="C71" s="11"/>
      <c r="D71" s="7">
        <v>339.5</v>
      </c>
      <c r="E71" s="2"/>
      <c r="F71" s="6">
        <f t="shared" si="28"/>
        <v>1.8661702525535747E-3</v>
      </c>
      <c r="G71" s="2"/>
      <c r="H71" s="7">
        <v>1405</v>
      </c>
      <c r="I71" s="2"/>
      <c r="J71" s="6">
        <f t="shared" si="29"/>
        <v>4.4606856438944168E-3</v>
      </c>
      <c r="K71" s="2"/>
      <c r="L71" s="7">
        <f t="shared" si="30"/>
        <v>-1065.5</v>
      </c>
      <c r="M71" s="2"/>
      <c r="N71" s="6">
        <f t="shared" si="31"/>
        <v>-0.75836298932384338</v>
      </c>
      <c r="O71" s="11"/>
      <c r="P71" s="7">
        <v>3814.08</v>
      </c>
      <c r="Q71" s="2"/>
      <c r="R71" s="6">
        <f t="shared" si="32"/>
        <v>1.6268304940753322E-3</v>
      </c>
      <c r="S71" s="2"/>
      <c r="T71" s="7">
        <v>9682</v>
      </c>
      <c r="U71" s="2"/>
      <c r="V71" s="6">
        <f t="shared" si="33"/>
        <v>4.2673206189333818E-3</v>
      </c>
      <c r="W71" s="2"/>
      <c r="X71" s="7">
        <f t="shared" si="34"/>
        <v>-5867.92</v>
      </c>
      <c r="Y71" s="2"/>
      <c r="Z71" s="6">
        <f t="shared" si="35"/>
        <v>-0.60606486263168768</v>
      </c>
    </row>
    <row r="72" spans="1:26" s="28" customFormat="1" outlineLevel="1" collapsed="1" x14ac:dyDescent="0.3">
      <c r="A72" s="29"/>
      <c r="B72" s="14" t="str">
        <f>CONCATENATE("     ","Discounts and Markdowns                           ")</f>
        <v xml:space="preserve">     Discounts and Markdowns                           </v>
      </c>
      <c r="C72" s="14"/>
      <c r="D72" s="1">
        <f>SUM(OSRRefD22_5x_0)</f>
        <v>27.91</v>
      </c>
      <c r="E72" s="1"/>
      <c r="F72" s="5">
        <f t="shared" si="28"/>
        <v>1.5341623490064881E-4</v>
      </c>
      <c r="G72" s="1"/>
      <c r="H72" s="1">
        <f>SUM(OSRRefH22_5x_0)</f>
        <v>0</v>
      </c>
      <c r="I72" s="1"/>
      <c r="J72" s="5">
        <f t="shared" si="29"/>
        <v>0</v>
      </c>
      <c r="K72" s="1"/>
      <c r="L72" s="1">
        <f t="shared" si="30"/>
        <v>27.91</v>
      </c>
      <c r="M72" s="1"/>
      <c r="N72" s="5">
        <f t="shared" si="31"/>
        <v>0</v>
      </c>
      <c r="O72" s="14"/>
      <c r="P72" s="1">
        <f>SUM(OSRRefP22_5x_0)</f>
        <v>-0.98</v>
      </c>
      <c r="Q72" s="1"/>
      <c r="R72" s="5">
        <f t="shared" si="32"/>
        <v>-4.1800221395299147E-7</v>
      </c>
      <c r="S72" s="1"/>
      <c r="T72" s="1">
        <f>SUM(OSRRefT22_5x_0)</f>
        <v>0</v>
      </c>
      <c r="U72" s="1"/>
      <c r="V72" s="5">
        <f t="shared" si="33"/>
        <v>0</v>
      </c>
      <c r="W72" s="1"/>
      <c r="X72" s="1">
        <f t="shared" si="34"/>
        <v>-0.98</v>
      </c>
      <c r="Y72" s="1"/>
      <c r="Z72" s="5">
        <f t="shared" si="35"/>
        <v>0</v>
      </c>
    </row>
    <row r="73" spans="1:26" s="24" customFormat="1" hidden="1" outlineLevel="2" x14ac:dyDescent="0.3">
      <c r="A73" s="27"/>
      <c r="B73" s="11" t="str">
        <f>CONCATENATE("          ", "6382", " - ", "DISCOUNTS/MARK DOWNS")</f>
        <v xml:space="preserve">          6382 - DISCOUNTS/MARK DOWNS</v>
      </c>
      <c r="C73" s="11"/>
      <c r="D73" s="7"/>
      <c r="E73" s="2"/>
      <c r="F73" s="6">
        <f t="shared" si="28"/>
        <v>0</v>
      </c>
      <c r="G73" s="2"/>
      <c r="H73" s="7"/>
      <c r="I73" s="2"/>
      <c r="J73" s="6">
        <f t="shared" si="29"/>
        <v>0</v>
      </c>
      <c r="K73" s="2"/>
      <c r="L73" s="7">
        <f t="shared" si="30"/>
        <v>0</v>
      </c>
      <c r="M73" s="2"/>
      <c r="N73" s="6">
        <f t="shared" si="31"/>
        <v>0</v>
      </c>
      <c r="O73" s="11"/>
      <c r="P73" s="7"/>
      <c r="Q73" s="2"/>
      <c r="R73" s="6">
        <f t="shared" si="32"/>
        <v>0</v>
      </c>
      <c r="S73" s="2"/>
      <c r="T73" s="7">
        <v>0</v>
      </c>
      <c r="U73" s="2"/>
      <c r="V73" s="6">
        <f t="shared" si="33"/>
        <v>0</v>
      </c>
      <c r="W73" s="2"/>
      <c r="X73" s="7">
        <f t="shared" si="34"/>
        <v>0</v>
      </c>
      <c r="Y73" s="2"/>
      <c r="Z73" s="6">
        <f t="shared" si="35"/>
        <v>0</v>
      </c>
    </row>
    <row r="74" spans="1:26" s="24" customFormat="1" hidden="1" outlineLevel="2" x14ac:dyDescent="0.3">
      <c r="A74" s="27"/>
      <c r="B74" s="11" t="str">
        <f>CONCATENATE("          ", "9175", " - ", "EARNED DISCOUNTS")</f>
        <v xml:space="preserve">          9175 - EARNED DISCOUNTS</v>
      </c>
      <c r="C74" s="11"/>
      <c r="D74" s="7">
        <v>27.91</v>
      </c>
      <c r="E74" s="2"/>
      <c r="F74" s="6">
        <f t="shared" si="28"/>
        <v>1.5341623490064881E-4</v>
      </c>
      <c r="G74" s="2"/>
      <c r="H74" s="7"/>
      <c r="I74" s="2"/>
      <c r="J74" s="6">
        <f t="shared" si="29"/>
        <v>0</v>
      </c>
      <c r="K74" s="2"/>
      <c r="L74" s="7">
        <f t="shared" si="30"/>
        <v>27.91</v>
      </c>
      <c r="M74" s="2"/>
      <c r="N74" s="6">
        <f t="shared" si="31"/>
        <v>0</v>
      </c>
      <c r="O74" s="11"/>
      <c r="P74" s="7">
        <v>-0.98</v>
      </c>
      <c r="Q74" s="2"/>
      <c r="R74" s="6">
        <f t="shared" si="32"/>
        <v>-4.1800221395299147E-7</v>
      </c>
      <c r="S74" s="2"/>
      <c r="T74" s="7"/>
      <c r="U74" s="2"/>
      <c r="V74" s="6">
        <f t="shared" si="33"/>
        <v>0</v>
      </c>
      <c r="W74" s="2"/>
      <c r="X74" s="7">
        <f t="shared" si="34"/>
        <v>-0.98</v>
      </c>
      <c r="Y74" s="2"/>
      <c r="Z74" s="6">
        <f t="shared" si="35"/>
        <v>0</v>
      </c>
    </row>
    <row r="75" spans="1:26" s="28" customFormat="1" outlineLevel="1" collapsed="1" x14ac:dyDescent="0.3">
      <c r="A75" s="29"/>
      <c r="B75" s="14" t="str">
        <f>CONCATENATE("     ","Employees' Appreciation                           ")</f>
        <v xml:space="preserve">     Employees' Appreciation                           </v>
      </c>
      <c r="C75" s="14"/>
      <c r="D75" s="1">
        <f>SUM(OSRRefD22_6x_0)</f>
        <v>0</v>
      </c>
      <c r="E75" s="1"/>
      <c r="F75" s="5">
        <f t="shared" ref="F75:F81" si="36">IF(D$12=0,0,D75/D$12)</f>
        <v>0</v>
      </c>
      <c r="G75" s="1"/>
      <c r="H75" s="1">
        <f>SUM(OSRRefH22_6x_0)</f>
        <v>75</v>
      </c>
      <c r="I75" s="1"/>
      <c r="J75" s="5">
        <f t="shared" ref="J75:J81" si="37">IF(H$12=0,0,H75/H$12)</f>
        <v>2.3811489202283363E-4</v>
      </c>
      <c r="K75" s="1"/>
      <c r="L75" s="1">
        <f t="shared" ref="L75:L81" si="38">+D75-H75</f>
        <v>-75</v>
      </c>
      <c r="M75" s="1"/>
      <c r="N75" s="5">
        <f t="shared" ref="N75:N81" si="39">IF(H75=0,0,L75/H75)</f>
        <v>-1</v>
      </c>
      <c r="O75" s="14"/>
      <c r="P75" s="1">
        <f>SUM(OSRRefP22_6x_0)</f>
        <v>216.44</v>
      </c>
      <c r="Q75" s="1"/>
      <c r="R75" s="5">
        <f t="shared" ref="R75:R81" si="40">IF(P$12=0,0,P75/P$12)</f>
        <v>9.2318774681617824E-5</v>
      </c>
      <c r="S75" s="1"/>
      <c r="T75" s="1">
        <f>SUM(OSRRefT22_6x_0)</f>
        <v>525</v>
      </c>
      <c r="U75" s="1"/>
      <c r="V75" s="5">
        <f t="shared" ref="V75:V81" si="41">IF(T$12=0,0,T75/T$12)</f>
        <v>2.3139261773807326E-4</v>
      </c>
      <c r="W75" s="1"/>
      <c r="X75" s="1">
        <f t="shared" ref="X75:X81" si="42">+P75-T75</f>
        <v>-308.56</v>
      </c>
      <c r="Y75" s="1"/>
      <c r="Z75" s="5">
        <f t="shared" ref="Z75:Z81" si="43">IF(T75=0,0,X75/T75)</f>
        <v>-0.58773333333333333</v>
      </c>
    </row>
    <row r="76" spans="1:26" s="24" customFormat="1" hidden="1" outlineLevel="2" x14ac:dyDescent="0.3">
      <c r="A76" s="27"/>
      <c r="B76" s="11" t="str">
        <f>CONCATENATE("          ", "6277", " - ", "EMPLOYEE APPRECIATION")</f>
        <v xml:space="preserve">          6277 - EMPLOYEE APPRECIATION</v>
      </c>
      <c r="C76" s="11"/>
      <c r="D76" s="7"/>
      <c r="E76" s="2"/>
      <c r="F76" s="6">
        <f t="shared" si="36"/>
        <v>0</v>
      </c>
      <c r="G76" s="2"/>
      <c r="H76" s="7">
        <v>75</v>
      </c>
      <c r="I76" s="2"/>
      <c r="J76" s="6">
        <f t="shared" si="37"/>
        <v>2.3811489202283363E-4</v>
      </c>
      <c r="K76" s="2"/>
      <c r="L76" s="7">
        <f t="shared" si="38"/>
        <v>-75</v>
      </c>
      <c r="M76" s="2"/>
      <c r="N76" s="6">
        <f t="shared" si="39"/>
        <v>-1</v>
      </c>
      <c r="O76" s="11"/>
      <c r="P76" s="7">
        <v>216.44</v>
      </c>
      <c r="Q76" s="2"/>
      <c r="R76" s="6">
        <f t="shared" si="40"/>
        <v>9.2318774681617824E-5</v>
      </c>
      <c r="S76" s="2"/>
      <c r="T76" s="7">
        <v>525</v>
      </c>
      <c r="U76" s="2"/>
      <c r="V76" s="6">
        <f t="shared" si="41"/>
        <v>2.3139261773807326E-4</v>
      </c>
      <c r="W76" s="2"/>
      <c r="X76" s="7">
        <f t="shared" si="42"/>
        <v>-308.56</v>
      </c>
      <c r="Y76" s="2"/>
      <c r="Z76" s="6">
        <f t="shared" si="43"/>
        <v>-0.58773333333333333</v>
      </c>
    </row>
    <row r="77" spans="1:26" s="28" customFormat="1" outlineLevel="1" collapsed="1" x14ac:dyDescent="0.3">
      <c r="A77" s="29"/>
      <c r="B77" s="14" t="str">
        <f>CONCATENATE("     ","Equipment Rental                                  ")</f>
        <v xml:space="preserve">     Equipment Rental                                  </v>
      </c>
      <c r="C77" s="14"/>
      <c r="D77" s="1">
        <f>SUM(OSRRefD22_7x_0)</f>
        <v>0</v>
      </c>
      <c r="E77" s="1"/>
      <c r="F77" s="5">
        <f t="shared" si="36"/>
        <v>0</v>
      </c>
      <c r="G77" s="1"/>
      <c r="H77" s="1">
        <f>SUM(OSRRefH22_7x_0)</f>
        <v>0</v>
      </c>
      <c r="I77" s="1"/>
      <c r="J77" s="5">
        <f t="shared" si="37"/>
        <v>0</v>
      </c>
      <c r="K77" s="1"/>
      <c r="L77" s="1">
        <f t="shared" si="38"/>
        <v>0</v>
      </c>
      <c r="M77" s="1"/>
      <c r="N77" s="5">
        <f t="shared" si="39"/>
        <v>0</v>
      </c>
      <c r="O77" s="14"/>
      <c r="P77" s="1">
        <f>SUM(OSRRefP22_7x_0)</f>
        <v>118.91</v>
      </c>
      <c r="Q77" s="1"/>
      <c r="R77" s="5">
        <f t="shared" si="40"/>
        <v>5.0719023735867567E-5</v>
      </c>
      <c r="S77" s="1"/>
      <c r="T77" s="1">
        <f>SUM(OSRRefT22_7x_0)</f>
        <v>0</v>
      </c>
      <c r="U77" s="1"/>
      <c r="V77" s="5">
        <f t="shared" si="41"/>
        <v>0</v>
      </c>
      <c r="W77" s="1"/>
      <c r="X77" s="1">
        <f t="shared" si="42"/>
        <v>118.91</v>
      </c>
      <c r="Y77" s="1"/>
      <c r="Z77" s="5">
        <f t="shared" si="43"/>
        <v>0</v>
      </c>
    </row>
    <row r="78" spans="1:26" s="24" customFormat="1" hidden="1" outlineLevel="2" x14ac:dyDescent="0.3">
      <c r="A78" s="27"/>
      <c r="B78" s="11" t="str">
        <f>CONCATENATE("          ", "6351", " - ", "EQUIPMENT RENTAL")</f>
        <v xml:space="preserve">          6351 - EQUIPMENT RENTAL</v>
      </c>
      <c r="C78" s="11"/>
      <c r="D78" s="7"/>
      <c r="E78" s="2"/>
      <c r="F78" s="6">
        <f t="shared" si="36"/>
        <v>0</v>
      </c>
      <c r="G78" s="2"/>
      <c r="H78" s="7"/>
      <c r="I78" s="2"/>
      <c r="J78" s="6">
        <f t="shared" si="37"/>
        <v>0</v>
      </c>
      <c r="K78" s="2"/>
      <c r="L78" s="7">
        <f t="shared" si="38"/>
        <v>0</v>
      </c>
      <c r="M78" s="2"/>
      <c r="N78" s="6">
        <f t="shared" si="39"/>
        <v>0</v>
      </c>
      <c r="O78" s="11"/>
      <c r="P78" s="7">
        <v>118.91</v>
      </c>
      <c r="Q78" s="2"/>
      <c r="R78" s="6">
        <f t="shared" si="40"/>
        <v>5.0719023735867567E-5</v>
      </c>
      <c r="S78" s="2"/>
      <c r="T78" s="7"/>
      <c r="U78" s="2"/>
      <c r="V78" s="6">
        <f t="shared" si="41"/>
        <v>0</v>
      </c>
      <c r="W78" s="2"/>
      <c r="X78" s="7">
        <f t="shared" si="42"/>
        <v>118.91</v>
      </c>
      <c r="Y78" s="2"/>
      <c r="Z78" s="6">
        <f t="shared" si="43"/>
        <v>0</v>
      </c>
    </row>
    <row r="79" spans="1:26" s="28" customFormat="1" outlineLevel="1" collapsed="1" x14ac:dyDescent="0.3">
      <c r="A79" s="29"/>
      <c r="B79" s="14" t="str">
        <f>CONCATENATE("     ","Freight out/Postage                               ")</f>
        <v xml:space="preserve">     Freight out/Postage                               </v>
      </c>
      <c r="C79" s="14"/>
      <c r="D79" s="1">
        <f>SUM(OSRRefD22_8x_0)</f>
        <v>0</v>
      </c>
      <c r="E79" s="1"/>
      <c r="F79" s="5">
        <f t="shared" si="36"/>
        <v>0</v>
      </c>
      <c r="G79" s="1"/>
      <c r="H79" s="1">
        <f>SUM(OSRRefH22_8x_0)</f>
        <v>50</v>
      </c>
      <c r="I79" s="1"/>
      <c r="J79" s="5">
        <f t="shared" si="37"/>
        <v>1.5874326134855576E-4</v>
      </c>
      <c r="K79" s="1"/>
      <c r="L79" s="1">
        <f t="shared" si="38"/>
        <v>-50</v>
      </c>
      <c r="M79" s="1"/>
      <c r="N79" s="5">
        <f t="shared" si="39"/>
        <v>-1</v>
      </c>
      <c r="O79" s="14"/>
      <c r="P79" s="1">
        <f>SUM(OSRRefP22_8x_0)</f>
        <v>983.79</v>
      </c>
      <c r="Q79" s="1"/>
      <c r="R79" s="5">
        <f t="shared" si="40"/>
        <v>4.196187735355239E-4</v>
      </c>
      <c r="S79" s="1"/>
      <c r="T79" s="1">
        <f>SUM(OSRRefT22_8x_0)</f>
        <v>350</v>
      </c>
      <c r="U79" s="1"/>
      <c r="V79" s="5">
        <f t="shared" si="41"/>
        <v>1.5426174515871551E-4</v>
      </c>
      <c r="W79" s="1"/>
      <c r="X79" s="1">
        <f t="shared" si="42"/>
        <v>633.79</v>
      </c>
      <c r="Y79" s="1"/>
      <c r="Z79" s="5">
        <f t="shared" si="43"/>
        <v>1.8108285714285712</v>
      </c>
    </row>
    <row r="80" spans="1:26" s="24" customFormat="1" hidden="1" outlineLevel="2" x14ac:dyDescent="0.3">
      <c r="A80" s="27"/>
      <c r="B80" s="11" t="str">
        <f>CONCATENATE("          ", "6305", " - ", "FREIGHT OUT")</f>
        <v xml:space="preserve">          6305 - FREIGHT OUT</v>
      </c>
      <c r="C80" s="11"/>
      <c r="D80" s="7"/>
      <c r="E80" s="2"/>
      <c r="F80" s="6">
        <f t="shared" si="36"/>
        <v>0</v>
      </c>
      <c r="G80" s="2"/>
      <c r="H80" s="7">
        <v>50</v>
      </c>
      <c r="I80" s="2"/>
      <c r="J80" s="6">
        <f t="shared" si="37"/>
        <v>1.5874326134855576E-4</v>
      </c>
      <c r="K80" s="2"/>
      <c r="L80" s="7">
        <f t="shared" si="38"/>
        <v>-50</v>
      </c>
      <c r="M80" s="2"/>
      <c r="N80" s="6">
        <f t="shared" si="39"/>
        <v>-1</v>
      </c>
      <c r="O80" s="11"/>
      <c r="P80" s="7">
        <v>893.87</v>
      </c>
      <c r="Q80" s="2"/>
      <c r="R80" s="6">
        <f t="shared" si="40"/>
        <v>3.8126493774098006E-4</v>
      </c>
      <c r="S80" s="2"/>
      <c r="T80" s="7">
        <v>350</v>
      </c>
      <c r="U80" s="2"/>
      <c r="V80" s="6">
        <f t="shared" si="41"/>
        <v>1.5426174515871551E-4</v>
      </c>
      <c r="W80" s="2"/>
      <c r="X80" s="7">
        <f t="shared" si="42"/>
        <v>543.87</v>
      </c>
      <c r="Y80" s="2"/>
      <c r="Z80" s="6">
        <f t="shared" si="43"/>
        <v>1.5539142857142858</v>
      </c>
    </row>
    <row r="81" spans="1:26" s="24" customFormat="1" hidden="1" outlineLevel="2" x14ac:dyDescent="0.3">
      <c r="A81" s="27"/>
      <c r="B81" s="11" t="str">
        <f>CONCATENATE("          ", "6307", " - ", "POSTAGE")</f>
        <v xml:space="preserve">          6307 - POSTAGE</v>
      </c>
      <c r="C81" s="11"/>
      <c r="D81" s="7"/>
      <c r="E81" s="2"/>
      <c r="F81" s="6">
        <f t="shared" si="36"/>
        <v>0</v>
      </c>
      <c r="G81" s="2"/>
      <c r="H81" s="7"/>
      <c r="I81" s="2"/>
      <c r="J81" s="6">
        <f t="shared" si="37"/>
        <v>0</v>
      </c>
      <c r="K81" s="2"/>
      <c r="L81" s="7">
        <f t="shared" si="38"/>
        <v>0</v>
      </c>
      <c r="M81" s="2"/>
      <c r="N81" s="6">
        <f t="shared" si="39"/>
        <v>0</v>
      </c>
      <c r="O81" s="11"/>
      <c r="P81" s="7">
        <v>89.92</v>
      </c>
      <c r="Q81" s="2"/>
      <c r="R81" s="6">
        <f t="shared" si="40"/>
        <v>3.8353835794543868E-5</v>
      </c>
      <c r="S81" s="2"/>
      <c r="T81" s="7"/>
      <c r="U81" s="2"/>
      <c r="V81" s="6">
        <f t="shared" si="41"/>
        <v>0</v>
      </c>
      <c r="W81" s="2"/>
      <c r="X81" s="7">
        <f t="shared" si="42"/>
        <v>89.92</v>
      </c>
      <c r="Y81" s="2"/>
      <c r="Z81" s="6">
        <f t="shared" si="43"/>
        <v>0</v>
      </c>
    </row>
    <row r="82" spans="1:26" s="28" customFormat="1" outlineLevel="1" collapsed="1" x14ac:dyDescent="0.3">
      <c r="A82" s="29"/>
      <c r="B82" s="14" t="str">
        <f>CONCATENATE("     ","General                                           ")</f>
        <v xml:space="preserve">     General                                           </v>
      </c>
      <c r="C82" s="14"/>
      <c r="D82" s="1">
        <f>SUM(OSRRefD22_9x_0)</f>
        <v>0</v>
      </c>
      <c r="E82" s="1"/>
      <c r="F82" s="5">
        <f t="shared" ref="F82:F84" si="44">IF(D$12=0,0,D82/D$12)</f>
        <v>0</v>
      </c>
      <c r="G82" s="1"/>
      <c r="H82" s="1">
        <f>SUM(OSRRefH22_9x_0)</f>
        <v>0</v>
      </c>
      <c r="I82" s="1"/>
      <c r="J82" s="5">
        <f t="shared" ref="J82:J84" si="45">IF(H$12=0,0,H82/H$12)</f>
        <v>0</v>
      </c>
      <c r="K82" s="1"/>
      <c r="L82" s="1">
        <f t="shared" ref="L82:L84" si="46">+D82-H82</f>
        <v>0</v>
      </c>
      <c r="M82" s="1"/>
      <c r="N82" s="5">
        <f t="shared" ref="N82:N84" si="47">IF(H82=0,0,L82/H82)</f>
        <v>0</v>
      </c>
      <c r="O82" s="14"/>
      <c r="P82" s="1">
        <f>SUM(OSRRefP22_9x_0)</f>
        <v>1683.13</v>
      </c>
      <c r="Q82" s="1"/>
      <c r="R82" s="5">
        <f t="shared" ref="R82:R84" si="48">IF(P$12=0,0,P82/P$12)</f>
        <v>7.1791027180683527E-4</v>
      </c>
      <c r="S82" s="1"/>
      <c r="T82" s="1">
        <f>SUM(OSRRefT22_9x_0)</f>
        <v>1250</v>
      </c>
      <c r="U82" s="1"/>
      <c r="V82" s="5">
        <f t="shared" ref="V82:V84" si="49">IF(T$12=0,0,T82/T$12)</f>
        <v>5.5093480413826964E-4</v>
      </c>
      <c r="W82" s="1"/>
      <c r="X82" s="1">
        <f t="shared" ref="X82:X84" si="50">+P82-T82</f>
        <v>433.13000000000011</v>
      </c>
      <c r="Y82" s="1"/>
      <c r="Z82" s="5">
        <f t="shared" ref="Z82:Z84" si="51">IF(T82=0,0,X82/T82)</f>
        <v>0.34650400000000009</v>
      </c>
    </row>
    <row r="83" spans="1:26" s="24" customFormat="1" hidden="1" outlineLevel="2" x14ac:dyDescent="0.3">
      <c r="A83" s="27"/>
      <c r="B83" s="11" t="str">
        <f>CONCATENATE("          ", "6276", " - ", "PROPERTY TAX")</f>
        <v xml:space="preserve">          6276 - PROPERTY TAX</v>
      </c>
      <c r="C83" s="11"/>
      <c r="D83" s="7"/>
      <c r="E83" s="2"/>
      <c r="F83" s="6">
        <f t="shared" si="44"/>
        <v>0</v>
      </c>
      <c r="G83" s="2"/>
      <c r="H83" s="7"/>
      <c r="I83" s="2"/>
      <c r="J83" s="6">
        <f t="shared" si="45"/>
        <v>0</v>
      </c>
      <c r="K83" s="2"/>
      <c r="L83" s="7">
        <f t="shared" si="46"/>
        <v>0</v>
      </c>
      <c r="M83" s="2"/>
      <c r="N83" s="6">
        <f t="shared" si="47"/>
        <v>0</v>
      </c>
      <c r="O83" s="11"/>
      <c r="P83" s="7"/>
      <c r="Q83" s="2"/>
      <c r="R83" s="6">
        <f t="shared" si="48"/>
        <v>0</v>
      </c>
      <c r="S83" s="2"/>
      <c r="T83" s="7">
        <v>1250</v>
      </c>
      <c r="U83" s="2"/>
      <c r="V83" s="6">
        <f t="shared" si="49"/>
        <v>5.5093480413826964E-4</v>
      </c>
      <c r="W83" s="2"/>
      <c r="X83" s="7">
        <f t="shared" si="50"/>
        <v>-1250</v>
      </c>
      <c r="Y83" s="2"/>
      <c r="Z83" s="6">
        <f t="shared" si="51"/>
        <v>-1</v>
      </c>
    </row>
    <row r="84" spans="1:26" s="24" customFormat="1" hidden="1" outlineLevel="2" x14ac:dyDescent="0.3">
      <c r="A84" s="27"/>
      <c r="B84" s="11" t="str">
        <f>CONCATENATE("          ", "6279", " - ", "GENERAL EXPENSE")</f>
        <v xml:space="preserve">          6279 - GENERAL EXPENSE</v>
      </c>
      <c r="C84" s="11"/>
      <c r="D84" s="7"/>
      <c r="E84" s="2"/>
      <c r="F84" s="6">
        <f t="shared" si="44"/>
        <v>0</v>
      </c>
      <c r="G84" s="2"/>
      <c r="H84" s="7">
        <v>0</v>
      </c>
      <c r="I84" s="2"/>
      <c r="J84" s="6">
        <f t="shared" si="45"/>
        <v>0</v>
      </c>
      <c r="K84" s="2"/>
      <c r="L84" s="7">
        <f t="shared" si="46"/>
        <v>0</v>
      </c>
      <c r="M84" s="2"/>
      <c r="N84" s="6">
        <f t="shared" si="47"/>
        <v>0</v>
      </c>
      <c r="O84" s="11"/>
      <c r="P84" s="7">
        <v>1683.13</v>
      </c>
      <c r="Q84" s="2"/>
      <c r="R84" s="6">
        <f t="shared" si="48"/>
        <v>7.1791027180683527E-4</v>
      </c>
      <c r="S84" s="2"/>
      <c r="T84" s="7">
        <v>0</v>
      </c>
      <c r="U84" s="2"/>
      <c r="V84" s="6">
        <f t="shared" si="49"/>
        <v>0</v>
      </c>
      <c r="W84" s="2"/>
      <c r="X84" s="7">
        <f t="shared" si="50"/>
        <v>1683.13</v>
      </c>
      <c r="Y84" s="2"/>
      <c r="Z84" s="6">
        <f t="shared" si="51"/>
        <v>0</v>
      </c>
    </row>
    <row r="85" spans="1:26" s="28" customFormat="1" outlineLevel="1" collapsed="1" x14ac:dyDescent="0.3">
      <c r="A85" s="29"/>
      <c r="B85" s="14" t="str">
        <f>CONCATENATE("     ","Insurance                                         ")</f>
        <v xml:space="preserve">     Insurance                                         </v>
      </c>
      <c r="C85" s="14"/>
      <c r="D85" s="1">
        <f>SUM(OSRRefD22_10x_0)</f>
        <v>219.08</v>
      </c>
      <c r="E85" s="1"/>
      <c r="F85" s="5">
        <f t="shared" ref="F85:F95" si="52">IF(D$12=0,0,D85/D$12)</f>
        <v>1.2042432369055586E-3</v>
      </c>
      <c r="G85" s="1"/>
      <c r="H85" s="1">
        <f>SUM(OSRRefH22_10x_0)</f>
        <v>175</v>
      </c>
      <c r="I85" s="1"/>
      <c r="J85" s="5">
        <f t="shared" ref="J85:J95" si="53">IF(H$12=0,0,H85/H$12)</f>
        <v>5.5560141471994509E-4</v>
      </c>
      <c r="K85" s="1"/>
      <c r="L85" s="1">
        <f t="shared" ref="L85:L95" si="54">+D85-H85</f>
        <v>44.080000000000013</v>
      </c>
      <c r="M85" s="1"/>
      <c r="N85" s="5">
        <f t="shared" ref="N85:N95" si="55">IF(H85=0,0,L85/H85)</f>
        <v>0.25188571428571438</v>
      </c>
      <c r="O85" s="14"/>
      <c r="P85" s="1">
        <f>SUM(OSRRefP22_10x_0)</f>
        <v>1533.56</v>
      </c>
      <c r="Q85" s="1"/>
      <c r="R85" s="5">
        <f t="shared" ref="R85:R95" si="56">IF(P$12=0,0,P85/P$12)</f>
        <v>6.5411375023443827E-4</v>
      </c>
      <c r="S85" s="1"/>
      <c r="T85" s="1">
        <f>SUM(OSRRefT22_10x_0)</f>
        <v>1225</v>
      </c>
      <c r="U85" s="1"/>
      <c r="V85" s="5">
        <f t="shared" ref="V85:V95" si="57">IF(T$12=0,0,T85/T$12)</f>
        <v>5.3991610805550431E-4</v>
      </c>
      <c r="W85" s="1"/>
      <c r="X85" s="1">
        <f t="shared" ref="X85:X95" si="58">+P85-T85</f>
        <v>308.55999999999995</v>
      </c>
      <c r="Y85" s="1"/>
      <c r="Z85" s="5">
        <f t="shared" ref="Z85:Z95" si="59">IF(T85=0,0,X85/T85)</f>
        <v>0.25188571428571427</v>
      </c>
    </row>
    <row r="86" spans="1:26" s="24" customFormat="1" hidden="1" outlineLevel="2" x14ac:dyDescent="0.3">
      <c r="A86" s="27"/>
      <c r="B86" s="11" t="str">
        <f>CONCATENATE("          ", "6314", " - ", "LIABILITY INSURANCE")</f>
        <v xml:space="preserve">          6314 - LIABILITY INSURANCE</v>
      </c>
      <c r="C86" s="11"/>
      <c r="D86" s="7">
        <v>219.08</v>
      </c>
      <c r="E86" s="2"/>
      <c r="F86" s="6">
        <f t="shared" si="52"/>
        <v>1.2042432369055586E-3</v>
      </c>
      <c r="G86" s="2"/>
      <c r="H86" s="7">
        <v>175</v>
      </c>
      <c r="I86" s="2"/>
      <c r="J86" s="6">
        <f t="shared" si="53"/>
        <v>5.5560141471994509E-4</v>
      </c>
      <c r="K86" s="2"/>
      <c r="L86" s="7">
        <f t="shared" si="54"/>
        <v>44.080000000000013</v>
      </c>
      <c r="M86" s="2"/>
      <c r="N86" s="6">
        <f t="shared" si="55"/>
        <v>0.25188571428571438</v>
      </c>
      <c r="O86" s="11"/>
      <c r="P86" s="7">
        <v>1533.56</v>
      </c>
      <c r="Q86" s="2"/>
      <c r="R86" s="6">
        <f t="shared" si="56"/>
        <v>6.5411375023443827E-4</v>
      </c>
      <c r="S86" s="2"/>
      <c r="T86" s="7">
        <v>1225</v>
      </c>
      <c r="U86" s="2"/>
      <c r="V86" s="6">
        <f t="shared" si="57"/>
        <v>5.3991610805550431E-4</v>
      </c>
      <c r="W86" s="2"/>
      <c r="X86" s="7">
        <f t="shared" si="58"/>
        <v>308.55999999999995</v>
      </c>
      <c r="Y86" s="2"/>
      <c r="Z86" s="6">
        <f t="shared" si="59"/>
        <v>0.25188571428571427</v>
      </c>
    </row>
    <row r="87" spans="1:26" s="28" customFormat="1" outlineLevel="1" collapsed="1" x14ac:dyDescent="0.3">
      <c r="A87" s="29"/>
      <c r="B87" s="14" t="str">
        <f>CONCATENATE("     ","Inventory Adjustment                              ")</f>
        <v xml:space="preserve">     Inventory Adjustment                              </v>
      </c>
      <c r="C87" s="14"/>
      <c r="D87" s="1">
        <f>SUM(OSRRefD22_11x_0)</f>
        <v>4100</v>
      </c>
      <c r="E87" s="1"/>
      <c r="F87" s="5">
        <f t="shared" si="52"/>
        <v>2.2536960340116808E-2</v>
      </c>
      <c r="G87" s="1"/>
      <c r="H87" s="1">
        <f>SUM(OSRRefH22_11x_0)</f>
        <v>4100</v>
      </c>
      <c r="I87" s="1"/>
      <c r="J87" s="5">
        <f t="shared" si="53"/>
        <v>1.3016947430581571E-2</v>
      </c>
      <c r="K87" s="1"/>
      <c r="L87" s="1">
        <f t="shared" si="54"/>
        <v>0</v>
      </c>
      <c r="M87" s="1"/>
      <c r="N87" s="5">
        <f t="shared" si="55"/>
        <v>0</v>
      </c>
      <c r="O87" s="14"/>
      <c r="P87" s="1">
        <f>SUM(OSRRefP22_11x_0)</f>
        <v>28700</v>
      </c>
      <c r="Q87" s="1"/>
      <c r="R87" s="5">
        <f t="shared" si="56"/>
        <v>1.2241493408623322E-2</v>
      </c>
      <c r="S87" s="1"/>
      <c r="T87" s="1">
        <f>SUM(OSRRefT22_11x_0)</f>
        <v>28700</v>
      </c>
      <c r="U87" s="1"/>
      <c r="V87" s="5">
        <f t="shared" si="57"/>
        <v>1.2649463103014671E-2</v>
      </c>
      <c r="W87" s="1"/>
      <c r="X87" s="1">
        <f t="shared" si="58"/>
        <v>0</v>
      </c>
      <c r="Y87" s="1"/>
      <c r="Z87" s="5">
        <f t="shared" si="59"/>
        <v>0</v>
      </c>
    </row>
    <row r="88" spans="1:26" s="24" customFormat="1" hidden="1" outlineLevel="2" x14ac:dyDescent="0.3">
      <c r="A88" s="27"/>
      <c r="B88" s="11" t="str">
        <f>CONCATENATE("          ", "6408", " - ", "INVENTORY ADJUSTMENT")</f>
        <v xml:space="preserve">          6408 - INVENTORY ADJUSTMENT</v>
      </c>
      <c r="C88" s="11"/>
      <c r="D88" s="7">
        <v>4100</v>
      </c>
      <c r="E88" s="2"/>
      <c r="F88" s="6">
        <f t="shared" si="52"/>
        <v>2.2536960340116808E-2</v>
      </c>
      <c r="G88" s="2"/>
      <c r="H88" s="7">
        <v>4100</v>
      </c>
      <c r="I88" s="2"/>
      <c r="J88" s="6">
        <f t="shared" si="53"/>
        <v>1.3016947430581571E-2</v>
      </c>
      <c r="K88" s="2"/>
      <c r="L88" s="7">
        <f t="shared" si="54"/>
        <v>0</v>
      </c>
      <c r="M88" s="2"/>
      <c r="N88" s="6">
        <f t="shared" si="55"/>
        <v>0</v>
      </c>
      <c r="O88" s="11"/>
      <c r="P88" s="7">
        <v>28700</v>
      </c>
      <c r="Q88" s="2"/>
      <c r="R88" s="6">
        <f t="shared" si="56"/>
        <v>1.2241493408623322E-2</v>
      </c>
      <c r="S88" s="2"/>
      <c r="T88" s="7">
        <v>28700</v>
      </c>
      <c r="U88" s="2"/>
      <c r="V88" s="6">
        <f t="shared" si="57"/>
        <v>1.2649463103014671E-2</v>
      </c>
      <c r="W88" s="2"/>
      <c r="X88" s="7">
        <f t="shared" si="58"/>
        <v>0</v>
      </c>
      <c r="Y88" s="2"/>
      <c r="Z88" s="6">
        <f t="shared" si="59"/>
        <v>0</v>
      </c>
    </row>
    <row r="89" spans="1:26" s="28" customFormat="1" outlineLevel="1" collapsed="1" x14ac:dyDescent="0.3">
      <c r="A89" s="29"/>
      <c r="B89" s="14" t="str">
        <f>CONCATENATE("     ","Professional Services                             ")</f>
        <v xml:space="preserve">     Professional Services                             </v>
      </c>
      <c r="C89" s="14"/>
      <c r="D89" s="1">
        <f>SUM(OSRRefD22_12x_0)</f>
        <v>0</v>
      </c>
      <c r="E89" s="1"/>
      <c r="F89" s="5">
        <f t="shared" si="52"/>
        <v>0</v>
      </c>
      <c r="G89" s="1"/>
      <c r="H89" s="1">
        <f>SUM(OSRRefH22_12x_0)</f>
        <v>250</v>
      </c>
      <c r="I89" s="1"/>
      <c r="J89" s="5">
        <f t="shared" si="53"/>
        <v>7.9371630674277872E-4</v>
      </c>
      <c r="K89" s="1"/>
      <c r="L89" s="1">
        <f t="shared" si="54"/>
        <v>-250</v>
      </c>
      <c r="M89" s="1"/>
      <c r="N89" s="5">
        <f t="shared" si="55"/>
        <v>-1</v>
      </c>
      <c r="O89" s="14"/>
      <c r="P89" s="1">
        <f>SUM(OSRRefP22_12x_0)</f>
        <v>669.1</v>
      </c>
      <c r="Q89" s="1"/>
      <c r="R89" s="5">
        <f t="shared" si="56"/>
        <v>2.8539314424076185E-4</v>
      </c>
      <c r="S89" s="1"/>
      <c r="T89" s="1">
        <f>SUM(OSRRefT22_12x_0)</f>
        <v>1500</v>
      </c>
      <c r="U89" s="1"/>
      <c r="V89" s="5">
        <f t="shared" si="57"/>
        <v>6.6112176496592359E-4</v>
      </c>
      <c r="W89" s="1"/>
      <c r="X89" s="1">
        <f t="shared" si="58"/>
        <v>-830.9</v>
      </c>
      <c r="Y89" s="1"/>
      <c r="Z89" s="5">
        <f t="shared" si="59"/>
        <v>-0.55393333333333328</v>
      </c>
    </row>
    <row r="90" spans="1:26" s="24" customFormat="1" hidden="1" outlineLevel="2" x14ac:dyDescent="0.3">
      <c r="A90" s="27"/>
      <c r="B90" s="11" t="str">
        <f>CONCATENATE("          ", "6336", " - ", "PROFESSIONAL SERVICES")</f>
        <v xml:space="preserve">          6336 - PROFESSIONAL SERVICES</v>
      </c>
      <c r="C90" s="11"/>
      <c r="D90" s="7"/>
      <c r="E90" s="2"/>
      <c r="F90" s="6">
        <f t="shared" si="52"/>
        <v>0</v>
      </c>
      <c r="G90" s="2"/>
      <c r="H90" s="7">
        <v>250</v>
      </c>
      <c r="I90" s="2"/>
      <c r="J90" s="6">
        <f t="shared" si="53"/>
        <v>7.9371630674277872E-4</v>
      </c>
      <c r="K90" s="2"/>
      <c r="L90" s="7">
        <f t="shared" si="54"/>
        <v>-250</v>
      </c>
      <c r="M90" s="2"/>
      <c r="N90" s="6">
        <f t="shared" si="55"/>
        <v>-1</v>
      </c>
      <c r="O90" s="11"/>
      <c r="P90" s="7">
        <v>669.1</v>
      </c>
      <c r="Q90" s="2"/>
      <c r="R90" s="6">
        <f t="shared" si="56"/>
        <v>2.8539314424076185E-4</v>
      </c>
      <c r="S90" s="2"/>
      <c r="T90" s="7">
        <v>1500</v>
      </c>
      <c r="U90" s="2"/>
      <c r="V90" s="6">
        <f t="shared" si="57"/>
        <v>6.6112176496592359E-4</v>
      </c>
      <c r="W90" s="2"/>
      <c r="X90" s="7">
        <f t="shared" si="58"/>
        <v>-830.9</v>
      </c>
      <c r="Y90" s="2"/>
      <c r="Z90" s="6">
        <f t="shared" si="59"/>
        <v>-0.55393333333333328</v>
      </c>
    </row>
    <row r="91" spans="1:26" s="28" customFormat="1" outlineLevel="1" collapsed="1" x14ac:dyDescent="0.3">
      <c r="A91" s="29"/>
      <c r="B91" s="14" t="str">
        <f>CONCATENATE("     ","Rent                                              ")</f>
        <v xml:space="preserve">     Rent                                              </v>
      </c>
      <c r="C91" s="14"/>
      <c r="D91" s="1">
        <f>SUM(OSRRefD22_13x_0)</f>
        <v>6900</v>
      </c>
      <c r="E91" s="1"/>
      <c r="F91" s="5">
        <f t="shared" si="52"/>
        <v>3.7928055206538039E-2</v>
      </c>
      <c r="G91" s="1"/>
      <c r="H91" s="1">
        <f>SUM(OSRRefH22_13x_0)</f>
        <v>6900</v>
      </c>
      <c r="I91" s="1"/>
      <c r="J91" s="5">
        <f t="shared" si="53"/>
        <v>2.1906570066100695E-2</v>
      </c>
      <c r="K91" s="1"/>
      <c r="L91" s="1">
        <f t="shared" si="54"/>
        <v>0</v>
      </c>
      <c r="M91" s="1"/>
      <c r="N91" s="5">
        <f t="shared" si="55"/>
        <v>0</v>
      </c>
      <c r="O91" s="14"/>
      <c r="P91" s="1">
        <f>SUM(OSRRefP22_13x_0)</f>
        <v>48300</v>
      </c>
      <c r="Q91" s="1"/>
      <c r="R91" s="5">
        <f t="shared" si="56"/>
        <v>2.060153768768315E-2</v>
      </c>
      <c r="S91" s="1"/>
      <c r="T91" s="1">
        <f>SUM(OSRRefT22_13x_0)</f>
        <v>48300</v>
      </c>
      <c r="U91" s="1"/>
      <c r="V91" s="5">
        <f t="shared" si="57"/>
        <v>2.1288120831902738E-2</v>
      </c>
      <c r="W91" s="1"/>
      <c r="X91" s="1">
        <f t="shared" si="58"/>
        <v>0</v>
      </c>
      <c r="Y91" s="1"/>
      <c r="Z91" s="5">
        <f t="shared" si="59"/>
        <v>0</v>
      </c>
    </row>
    <row r="92" spans="1:26" s="24" customFormat="1" hidden="1" outlineLevel="2" x14ac:dyDescent="0.3">
      <c r="A92" s="27"/>
      <c r="B92" s="11" t="str">
        <f>CONCATENATE("          ", "6273", " - ", "RENT")</f>
        <v xml:space="preserve">          6273 - RENT</v>
      </c>
      <c r="C92" s="11"/>
      <c r="D92" s="7">
        <v>6900</v>
      </c>
      <c r="E92" s="2"/>
      <c r="F92" s="6">
        <f t="shared" si="52"/>
        <v>3.7928055206538039E-2</v>
      </c>
      <c r="G92" s="2"/>
      <c r="H92" s="7">
        <v>6900</v>
      </c>
      <c r="I92" s="2"/>
      <c r="J92" s="6">
        <f t="shared" si="53"/>
        <v>2.1906570066100695E-2</v>
      </c>
      <c r="K92" s="2"/>
      <c r="L92" s="7">
        <f t="shared" si="54"/>
        <v>0</v>
      </c>
      <c r="M92" s="2"/>
      <c r="N92" s="6">
        <f t="shared" si="55"/>
        <v>0</v>
      </c>
      <c r="O92" s="11"/>
      <c r="P92" s="7">
        <v>48300</v>
      </c>
      <c r="Q92" s="2"/>
      <c r="R92" s="6">
        <f t="shared" si="56"/>
        <v>2.060153768768315E-2</v>
      </c>
      <c r="S92" s="2"/>
      <c r="T92" s="7">
        <v>48300</v>
      </c>
      <c r="U92" s="2"/>
      <c r="V92" s="6">
        <f t="shared" si="57"/>
        <v>2.1288120831902738E-2</v>
      </c>
      <c r="W92" s="2"/>
      <c r="X92" s="7">
        <f t="shared" si="58"/>
        <v>0</v>
      </c>
      <c r="Y92" s="2"/>
      <c r="Z92" s="6">
        <f t="shared" si="59"/>
        <v>0</v>
      </c>
    </row>
    <row r="93" spans="1:26" s="28" customFormat="1" outlineLevel="1" collapsed="1" x14ac:dyDescent="0.3">
      <c r="A93" s="29"/>
      <c r="B93" s="14" t="str">
        <f>CONCATENATE("     ","Repair and Maintenance                            ")</f>
        <v xml:space="preserve">     Repair and Maintenance                            </v>
      </c>
      <c r="C93" s="14"/>
      <c r="D93" s="1">
        <f>SUM(OSRRefD22_14x_0)</f>
        <v>0</v>
      </c>
      <c r="E93" s="1"/>
      <c r="F93" s="5">
        <f t="shared" si="52"/>
        <v>0</v>
      </c>
      <c r="G93" s="1"/>
      <c r="H93" s="1">
        <f>SUM(OSRRefH22_14x_0)</f>
        <v>615</v>
      </c>
      <c r="I93" s="1"/>
      <c r="J93" s="5">
        <f t="shared" si="53"/>
        <v>1.9525421145872358E-3</v>
      </c>
      <c r="K93" s="1"/>
      <c r="L93" s="1">
        <f t="shared" si="54"/>
        <v>-615</v>
      </c>
      <c r="M93" s="1"/>
      <c r="N93" s="5">
        <f t="shared" si="55"/>
        <v>-1</v>
      </c>
      <c r="O93" s="14"/>
      <c r="P93" s="1">
        <f>SUM(OSRRefP22_14x_0)</f>
        <v>3354.3199999999997</v>
      </c>
      <c r="Q93" s="1"/>
      <c r="R93" s="5">
        <f t="shared" si="56"/>
        <v>1.4307277411293859E-3</v>
      </c>
      <c r="S93" s="1"/>
      <c r="T93" s="1">
        <f>SUM(OSRRefT22_14x_0)</f>
        <v>1305</v>
      </c>
      <c r="U93" s="1"/>
      <c r="V93" s="5">
        <f t="shared" si="57"/>
        <v>5.7517593552035349E-4</v>
      </c>
      <c r="W93" s="1"/>
      <c r="X93" s="1">
        <f t="shared" si="58"/>
        <v>2049.3199999999997</v>
      </c>
      <c r="Y93" s="1"/>
      <c r="Z93" s="5">
        <f t="shared" si="59"/>
        <v>1.5703601532567049</v>
      </c>
    </row>
    <row r="94" spans="1:26" s="24" customFormat="1" hidden="1" outlineLevel="2" x14ac:dyDescent="0.3">
      <c r="A94" s="27"/>
      <c r="B94" s="11" t="str">
        <f>CONCATENATE("          ", "6373", " - ", "MAINTENANCE CONTRACTS")</f>
        <v xml:space="preserve">          6373 - MAINTENANCE CONTRACTS</v>
      </c>
      <c r="C94" s="11"/>
      <c r="D94" s="7"/>
      <c r="E94" s="2"/>
      <c r="F94" s="6">
        <f t="shared" si="52"/>
        <v>0</v>
      </c>
      <c r="G94" s="2"/>
      <c r="H94" s="7">
        <v>115</v>
      </c>
      <c r="I94" s="2"/>
      <c r="J94" s="6">
        <f t="shared" si="53"/>
        <v>3.6510950110167824E-4</v>
      </c>
      <c r="K94" s="2"/>
      <c r="L94" s="7">
        <f t="shared" si="54"/>
        <v>-115</v>
      </c>
      <c r="M94" s="2"/>
      <c r="N94" s="6">
        <f t="shared" si="55"/>
        <v>-1</v>
      </c>
      <c r="O94" s="11"/>
      <c r="P94" s="7">
        <v>669.7</v>
      </c>
      <c r="Q94" s="2"/>
      <c r="R94" s="6">
        <f t="shared" si="56"/>
        <v>2.8564906396359019E-4</v>
      </c>
      <c r="S94" s="2"/>
      <c r="T94" s="7">
        <v>805</v>
      </c>
      <c r="U94" s="2"/>
      <c r="V94" s="6">
        <f t="shared" si="57"/>
        <v>3.5480201386504565E-4</v>
      </c>
      <c r="W94" s="2"/>
      <c r="X94" s="7">
        <f t="shared" si="58"/>
        <v>-135.29999999999995</v>
      </c>
      <c r="Y94" s="2"/>
      <c r="Z94" s="6">
        <f t="shared" si="59"/>
        <v>-0.16807453416149062</v>
      </c>
    </row>
    <row r="95" spans="1:26" s="24" customFormat="1" hidden="1" outlineLevel="2" x14ac:dyDescent="0.3">
      <c r="A95" s="27"/>
      <c r="B95" s="11" t="str">
        <f>CONCATENATE("          ", "6375", " - ", "OUTSIDE REPAIRS &amp; MAINTENANCE")</f>
        <v xml:space="preserve">          6375 - OUTSIDE REPAIRS &amp; MAINTENANCE</v>
      </c>
      <c r="C95" s="11"/>
      <c r="D95" s="7"/>
      <c r="E95" s="2"/>
      <c r="F95" s="6">
        <f t="shared" si="52"/>
        <v>0</v>
      </c>
      <c r="G95" s="2"/>
      <c r="H95" s="7">
        <v>500</v>
      </c>
      <c r="I95" s="2"/>
      <c r="J95" s="6">
        <f t="shared" si="53"/>
        <v>1.5874326134855574E-3</v>
      </c>
      <c r="K95" s="2"/>
      <c r="L95" s="7">
        <f t="shared" si="54"/>
        <v>-500</v>
      </c>
      <c r="M95" s="2"/>
      <c r="N95" s="6">
        <f t="shared" si="55"/>
        <v>-1</v>
      </c>
      <c r="O95" s="11"/>
      <c r="P95" s="7">
        <v>2684.62</v>
      </c>
      <c r="Q95" s="2"/>
      <c r="R95" s="6">
        <f t="shared" si="56"/>
        <v>1.1450786771657958E-3</v>
      </c>
      <c r="S95" s="2"/>
      <c r="T95" s="7">
        <v>500</v>
      </c>
      <c r="U95" s="2"/>
      <c r="V95" s="6">
        <f t="shared" si="57"/>
        <v>2.2037392165530787E-4</v>
      </c>
      <c r="W95" s="2"/>
      <c r="X95" s="7">
        <f t="shared" si="58"/>
        <v>2184.62</v>
      </c>
      <c r="Y95" s="2"/>
      <c r="Z95" s="6">
        <f t="shared" si="59"/>
        <v>4.3692399999999996</v>
      </c>
    </row>
    <row r="96" spans="1:26" s="28" customFormat="1" outlineLevel="1" collapsed="1" x14ac:dyDescent="0.3">
      <c r="A96" s="29"/>
      <c r="B96" s="14" t="str">
        <f>CONCATENATE("     ","Royalty &amp; Commissions                             ")</f>
        <v xml:space="preserve">     Royalty &amp; Commissions                             </v>
      </c>
      <c r="C96" s="14"/>
      <c r="D96" s="1">
        <f>SUM(OSRRefD22_15x_0)</f>
        <v>23450.06</v>
      </c>
      <c r="E96" s="1"/>
      <c r="F96" s="5">
        <f t="shared" ref="F96:F99" si="60">IF(D$12=0,0,D96/D$12)</f>
        <v>0.12890074931545356</v>
      </c>
      <c r="G96" s="1"/>
      <c r="H96" s="1">
        <f>SUM(OSRRefH22_15x_0)</f>
        <v>9106</v>
      </c>
      <c r="I96" s="1"/>
      <c r="J96" s="5">
        <f t="shared" ref="J96:J99" si="61">IF(H$12=0,0,H96/H$12)</f>
        <v>2.8910322756798973E-2</v>
      </c>
      <c r="K96" s="1"/>
      <c r="L96" s="1">
        <f t="shared" ref="L96:L99" si="62">+D96-H96</f>
        <v>14344.060000000001</v>
      </c>
      <c r="M96" s="1"/>
      <c r="N96" s="5">
        <f t="shared" ref="N96:N99" si="63">IF(H96=0,0,L96/H96)</f>
        <v>1.575231715352515</v>
      </c>
      <c r="O96" s="14"/>
      <c r="P96" s="1">
        <f>SUM(OSRRefP22_15x_0)</f>
        <v>39582.850000000006</v>
      </c>
      <c r="Q96" s="1"/>
      <c r="R96" s="5">
        <f t="shared" ref="R96:R99" si="64">IF(P$12=0,0,P96/P$12)</f>
        <v>1.6883386667927724E-2</v>
      </c>
      <c r="S96" s="1"/>
      <c r="T96" s="1">
        <f>SUM(OSRRefT22_15x_0)</f>
        <v>35498</v>
      </c>
      <c r="U96" s="1"/>
      <c r="V96" s="5">
        <f t="shared" ref="V96:V99" si="65">IF(T$12=0,0,T96/T$12)</f>
        <v>1.5645666941840237E-2</v>
      </c>
      <c r="W96" s="1"/>
      <c r="X96" s="1">
        <f t="shared" ref="X96:X99" si="66">+P96-T96</f>
        <v>4084.8500000000058</v>
      </c>
      <c r="Y96" s="1"/>
      <c r="Z96" s="5">
        <f t="shared" ref="Z96:Z99" si="67">IF(T96=0,0,X96/T96)</f>
        <v>0.11507268015099459</v>
      </c>
    </row>
    <row r="97" spans="1:26" s="24" customFormat="1" hidden="1" outlineLevel="2" x14ac:dyDescent="0.3">
      <c r="A97" s="27"/>
      <c r="B97" s="11" t="str">
        <f>CONCATENATE("          ", "6252", " - ", "ROYALTY DUE CSTV")</f>
        <v xml:space="preserve">          6252 - ROYALTY DUE CSTV</v>
      </c>
      <c r="C97" s="11"/>
      <c r="D97" s="7"/>
      <c r="E97" s="2"/>
      <c r="F97" s="6">
        <f t="shared" si="60"/>
        <v>0</v>
      </c>
      <c r="G97" s="2"/>
      <c r="H97" s="7">
        <v>821</v>
      </c>
      <c r="I97" s="2"/>
      <c r="J97" s="6">
        <f t="shared" si="61"/>
        <v>2.6065643513432856E-3</v>
      </c>
      <c r="K97" s="2"/>
      <c r="L97" s="7">
        <f t="shared" si="62"/>
        <v>-821</v>
      </c>
      <c r="M97" s="2"/>
      <c r="N97" s="6">
        <f t="shared" si="63"/>
        <v>-1</v>
      </c>
      <c r="O97" s="11"/>
      <c r="P97" s="7"/>
      <c r="Q97" s="2"/>
      <c r="R97" s="6">
        <f t="shared" si="64"/>
        <v>0</v>
      </c>
      <c r="S97" s="2"/>
      <c r="T97" s="7">
        <v>11051</v>
      </c>
      <c r="U97" s="2"/>
      <c r="V97" s="6">
        <f t="shared" si="65"/>
        <v>4.8707044164256145E-3</v>
      </c>
      <c r="W97" s="2"/>
      <c r="X97" s="7">
        <f t="shared" si="66"/>
        <v>-11051</v>
      </c>
      <c r="Y97" s="2"/>
      <c r="Z97" s="6">
        <f t="shared" si="67"/>
        <v>-1</v>
      </c>
    </row>
    <row r="98" spans="1:26" s="24" customFormat="1" hidden="1" outlineLevel="2" x14ac:dyDescent="0.3">
      <c r="A98" s="27"/>
      <c r="B98" s="11" t="str">
        <f>CONCATENATE("          ", "6253", " - ", "ROYALTY DUE ATHLETICS-LRG")</f>
        <v xml:space="preserve">          6253 - ROYALTY DUE ATHLETICS-LRG</v>
      </c>
      <c r="C98" s="11"/>
      <c r="D98" s="7">
        <v>16060.87</v>
      </c>
      <c r="E98" s="2"/>
      <c r="F98" s="6">
        <f t="shared" si="60"/>
        <v>8.8283704931163873E-2</v>
      </c>
      <c r="G98" s="2"/>
      <c r="H98" s="7">
        <v>7785</v>
      </c>
      <c r="I98" s="2"/>
      <c r="J98" s="6">
        <f t="shared" si="61"/>
        <v>2.4716325791970129E-2</v>
      </c>
      <c r="K98" s="2"/>
      <c r="L98" s="7">
        <f t="shared" si="62"/>
        <v>8275.8700000000008</v>
      </c>
      <c r="M98" s="2"/>
      <c r="N98" s="6">
        <f t="shared" si="63"/>
        <v>1.0630533076429032</v>
      </c>
      <c r="O98" s="11"/>
      <c r="P98" s="7">
        <v>39221.160000000003</v>
      </c>
      <c r="Q98" s="2"/>
      <c r="R98" s="6">
        <f t="shared" si="64"/>
        <v>1.6729113993678074E-2</v>
      </c>
      <c r="S98" s="2"/>
      <c r="T98" s="7">
        <v>23947</v>
      </c>
      <c r="U98" s="2"/>
      <c r="V98" s="6">
        <f t="shared" si="65"/>
        <v>1.0554588603759315E-2</v>
      </c>
      <c r="W98" s="2"/>
      <c r="X98" s="7">
        <f t="shared" si="66"/>
        <v>15274.160000000003</v>
      </c>
      <c r="Y98" s="2"/>
      <c r="Z98" s="6">
        <f t="shared" si="67"/>
        <v>0.63783187873220037</v>
      </c>
    </row>
    <row r="99" spans="1:26" s="24" customFormat="1" hidden="1" outlineLevel="2" x14ac:dyDescent="0.3">
      <c r="A99" s="27"/>
      <c r="B99" s="11" t="str">
        <f>CONCATENATE("          ", "6254", " - ", "ROYALTY &amp; COMMISSIONS")</f>
        <v xml:space="preserve">          6254 - ROYALTY &amp; COMMISSIONS</v>
      </c>
      <c r="C99" s="11"/>
      <c r="D99" s="7">
        <v>7389.19</v>
      </c>
      <c r="E99" s="2"/>
      <c r="F99" s="6">
        <f t="shared" si="60"/>
        <v>4.0617044384289681E-2</v>
      </c>
      <c r="G99" s="2"/>
      <c r="H99" s="7">
        <v>500</v>
      </c>
      <c r="I99" s="2"/>
      <c r="J99" s="6">
        <f t="shared" si="61"/>
        <v>1.5874326134855574E-3</v>
      </c>
      <c r="K99" s="2"/>
      <c r="L99" s="7">
        <f t="shared" si="62"/>
        <v>6889.19</v>
      </c>
      <c r="M99" s="2"/>
      <c r="N99" s="6">
        <f t="shared" si="63"/>
        <v>13.778379999999999</v>
      </c>
      <c r="O99" s="11"/>
      <c r="P99" s="7">
        <v>361.69</v>
      </c>
      <c r="Q99" s="2"/>
      <c r="R99" s="6">
        <f t="shared" si="64"/>
        <v>1.542726742496505E-4</v>
      </c>
      <c r="S99" s="2"/>
      <c r="T99" s="7">
        <v>500</v>
      </c>
      <c r="U99" s="2"/>
      <c r="V99" s="6">
        <f t="shared" si="65"/>
        <v>2.2037392165530787E-4</v>
      </c>
      <c r="W99" s="2"/>
      <c r="X99" s="7">
        <f t="shared" si="66"/>
        <v>-138.31</v>
      </c>
      <c r="Y99" s="2"/>
      <c r="Z99" s="6">
        <f t="shared" si="67"/>
        <v>-0.27661999999999998</v>
      </c>
    </row>
    <row r="100" spans="1:26" s="28" customFormat="1" outlineLevel="1" collapsed="1" x14ac:dyDescent="0.3">
      <c r="A100" s="29"/>
      <c r="B100" s="14" t="str">
        <f>CONCATENATE("     ","Services                                          ")</f>
        <v xml:space="preserve">     Services                                          </v>
      </c>
      <c r="C100" s="14"/>
      <c r="D100" s="1">
        <f>SUM(OSRRefD22_16x_0)</f>
        <v>389.96</v>
      </c>
      <c r="E100" s="1"/>
      <c r="F100" s="5">
        <f t="shared" ref="F100:F103" si="68">IF(D$12=0,0,D100/D$12)</f>
        <v>2.1435397693248658E-3</v>
      </c>
      <c r="G100" s="1"/>
      <c r="H100" s="1">
        <f>SUM(OSRRefH22_16x_0)</f>
        <v>60</v>
      </c>
      <c r="I100" s="1"/>
      <c r="J100" s="5">
        <f t="shared" ref="J100:J103" si="69">IF(H$12=0,0,H100/H$12)</f>
        <v>1.9049191361826691E-4</v>
      </c>
      <c r="K100" s="1"/>
      <c r="L100" s="1">
        <f t="shared" ref="L100:L103" si="70">+D100-H100</f>
        <v>329.96</v>
      </c>
      <c r="M100" s="1"/>
      <c r="N100" s="5">
        <f t="shared" ref="N100:N103" si="71">IF(H100=0,0,L100/H100)</f>
        <v>5.4993333333333334</v>
      </c>
      <c r="O100" s="14"/>
      <c r="P100" s="1">
        <f>SUM(OSRRefP22_16x_0)</f>
        <v>4857.13</v>
      </c>
      <c r="Q100" s="1"/>
      <c r="R100" s="5">
        <f t="shared" ref="R100:R103" si="72">IF(P$12=0,0,P100/P$12)</f>
        <v>2.071725605568871E-3</v>
      </c>
      <c r="S100" s="1"/>
      <c r="T100" s="1">
        <f>SUM(OSRRefT22_16x_0)</f>
        <v>540</v>
      </c>
      <c r="U100" s="1"/>
      <c r="V100" s="5">
        <f t="shared" ref="V100:V103" si="73">IF(T$12=0,0,T100/T$12)</f>
        <v>2.3800383538773249E-4</v>
      </c>
      <c r="W100" s="1"/>
      <c r="X100" s="1">
        <f t="shared" ref="X100:X103" si="74">+P100-T100</f>
        <v>4317.13</v>
      </c>
      <c r="Y100" s="1"/>
      <c r="Z100" s="5">
        <f t="shared" ref="Z100:Z103" si="75">IF(T100=0,0,X100/T100)</f>
        <v>7.994685185185185</v>
      </c>
    </row>
    <row r="101" spans="1:26" s="24" customFormat="1" hidden="1" outlineLevel="2" x14ac:dyDescent="0.3">
      <c r="A101" s="27"/>
      <c r="B101" s="11" t="str">
        <f>CONCATENATE("          ", "6282", " - ", "JANITORIAL/EXTERMINATOR EXPENS")</f>
        <v xml:space="preserve">          6282 - JANITORIAL/EXTERMINATOR EXPENS</v>
      </c>
      <c r="C101" s="11"/>
      <c r="D101" s="7">
        <v>69</v>
      </c>
      <c r="E101" s="2"/>
      <c r="F101" s="6">
        <f t="shared" si="68"/>
        <v>3.792805520653804E-4</v>
      </c>
      <c r="G101" s="2"/>
      <c r="H101" s="7"/>
      <c r="I101" s="2"/>
      <c r="J101" s="6">
        <f t="shared" si="69"/>
        <v>0</v>
      </c>
      <c r="K101" s="2"/>
      <c r="L101" s="7">
        <f t="shared" si="70"/>
        <v>69</v>
      </c>
      <c r="M101" s="2"/>
      <c r="N101" s="6">
        <f t="shared" si="71"/>
        <v>0</v>
      </c>
      <c r="O101" s="11"/>
      <c r="P101" s="7">
        <v>698.6</v>
      </c>
      <c r="Q101" s="2"/>
      <c r="R101" s="6">
        <f t="shared" si="72"/>
        <v>2.9797586394648962E-4</v>
      </c>
      <c r="S101" s="2"/>
      <c r="T101" s="7"/>
      <c r="U101" s="2"/>
      <c r="V101" s="6">
        <f t="shared" si="73"/>
        <v>0</v>
      </c>
      <c r="W101" s="2"/>
      <c r="X101" s="7">
        <f t="shared" si="74"/>
        <v>698.6</v>
      </c>
      <c r="Y101" s="2"/>
      <c r="Z101" s="6">
        <f t="shared" si="75"/>
        <v>0</v>
      </c>
    </row>
    <row r="102" spans="1:26" s="24" customFormat="1" hidden="1" outlineLevel="2" x14ac:dyDescent="0.3">
      <c r="A102" s="27"/>
      <c r="B102" s="11" t="str">
        <f>CONCATENATE("          ", "6284", " - ", "TRASH REMOVAL EXPENSE")</f>
        <v xml:space="preserve">          6284 - TRASH REMOVAL EXPENSE</v>
      </c>
      <c r="C102" s="11"/>
      <c r="D102" s="7">
        <v>149.69999999999999</v>
      </c>
      <c r="E102" s="2"/>
      <c r="F102" s="6">
        <f t="shared" si="68"/>
        <v>8.2287389339402099E-4</v>
      </c>
      <c r="G102" s="2"/>
      <c r="H102" s="7">
        <v>60</v>
      </c>
      <c r="I102" s="2"/>
      <c r="J102" s="6">
        <f t="shared" si="69"/>
        <v>1.9049191361826691E-4</v>
      </c>
      <c r="K102" s="2"/>
      <c r="L102" s="7">
        <f t="shared" si="70"/>
        <v>89.699999999999989</v>
      </c>
      <c r="M102" s="2"/>
      <c r="N102" s="6">
        <f t="shared" si="71"/>
        <v>1.4949999999999999</v>
      </c>
      <c r="O102" s="11"/>
      <c r="P102" s="7">
        <v>1040.77</v>
      </c>
      <c r="Q102" s="2"/>
      <c r="R102" s="6">
        <f t="shared" si="72"/>
        <v>4.4392261654679075E-4</v>
      </c>
      <c r="S102" s="2"/>
      <c r="T102" s="7">
        <v>540</v>
      </c>
      <c r="U102" s="2"/>
      <c r="V102" s="6">
        <f t="shared" si="73"/>
        <v>2.3800383538773249E-4</v>
      </c>
      <c r="W102" s="2"/>
      <c r="X102" s="7">
        <f t="shared" si="74"/>
        <v>500.77</v>
      </c>
      <c r="Y102" s="2"/>
      <c r="Z102" s="6">
        <f t="shared" si="75"/>
        <v>0.92735185185185187</v>
      </c>
    </row>
    <row r="103" spans="1:26" s="24" customFormat="1" hidden="1" outlineLevel="2" x14ac:dyDescent="0.3">
      <c r="A103" s="27"/>
      <c r="B103" s="11" t="str">
        <f>CONCATENATE("          ", "6285", " - ", "JANITORIAL SERVICES")</f>
        <v xml:space="preserve">          6285 - JANITORIAL SERVICES</v>
      </c>
      <c r="C103" s="11"/>
      <c r="D103" s="7">
        <v>171.26</v>
      </c>
      <c r="E103" s="2"/>
      <c r="F103" s="6">
        <f t="shared" si="68"/>
        <v>9.4138532386546449E-4</v>
      </c>
      <c r="G103" s="2"/>
      <c r="H103" s="7"/>
      <c r="I103" s="2"/>
      <c r="J103" s="6">
        <f t="shared" si="69"/>
        <v>0</v>
      </c>
      <c r="K103" s="2"/>
      <c r="L103" s="7">
        <f t="shared" si="70"/>
        <v>171.26</v>
      </c>
      <c r="M103" s="2"/>
      <c r="N103" s="6">
        <f t="shared" si="71"/>
        <v>0</v>
      </c>
      <c r="O103" s="11"/>
      <c r="P103" s="7">
        <v>3117.76</v>
      </c>
      <c r="Q103" s="2"/>
      <c r="R103" s="6">
        <f t="shared" si="72"/>
        <v>1.3298271250755905E-3</v>
      </c>
      <c r="S103" s="2"/>
      <c r="T103" s="7"/>
      <c r="U103" s="2"/>
      <c r="V103" s="6">
        <f t="shared" si="73"/>
        <v>0</v>
      </c>
      <c r="W103" s="2"/>
      <c r="X103" s="7">
        <f t="shared" si="74"/>
        <v>3117.76</v>
      </c>
      <c r="Y103" s="2"/>
      <c r="Z103" s="6">
        <f t="shared" si="75"/>
        <v>0</v>
      </c>
    </row>
    <row r="104" spans="1:26" s="28" customFormat="1" outlineLevel="1" collapsed="1" x14ac:dyDescent="0.3">
      <c r="A104" s="29"/>
      <c r="B104" s="14" t="str">
        <f>CONCATENATE("     ","Subscriptions &amp; Dues                              ")</f>
        <v xml:space="preserve">     Subscriptions &amp; Dues                              </v>
      </c>
      <c r="C104" s="14"/>
      <c r="D104" s="1">
        <f>SUM(OSRRefD22_17x_0)</f>
        <v>0</v>
      </c>
      <c r="E104" s="1"/>
      <c r="F104" s="5">
        <f t="shared" ref="F104:F106" si="76">IF(D$12=0,0,D104/D$12)</f>
        <v>0</v>
      </c>
      <c r="G104" s="1"/>
      <c r="H104" s="1">
        <f>SUM(OSRRefH22_17x_0)</f>
        <v>181</v>
      </c>
      <c r="I104" s="1"/>
      <c r="J104" s="5">
        <f t="shared" ref="J104:J106" si="77">IF(H$12=0,0,H104/H$12)</f>
        <v>5.746506060817718E-4</v>
      </c>
      <c r="K104" s="1"/>
      <c r="L104" s="1">
        <f t="shared" ref="L104:L106" si="78">+D104-H104</f>
        <v>-181</v>
      </c>
      <c r="M104" s="1"/>
      <c r="N104" s="5">
        <f t="shared" ref="N104:N106" si="79">IF(H104=0,0,L104/H104)</f>
        <v>-1</v>
      </c>
      <c r="O104" s="14"/>
      <c r="P104" s="1">
        <f>SUM(OSRRefP22_17x_0)</f>
        <v>0</v>
      </c>
      <c r="Q104" s="1"/>
      <c r="R104" s="5">
        <f t="shared" ref="R104:R106" si="80">IF(P$12=0,0,P104/P$12)</f>
        <v>0</v>
      </c>
      <c r="S104" s="1"/>
      <c r="T104" s="1">
        <f>SUM(OSRRefT22_17x_0)</f>
        <v>2002</v>
      </c>
      <c r="U104" s="1"/>
      <c r="V104" s="5">
        <f t="shared" ref="V104:V106" si="81">IF(T$12=0,0,T104/T$12)</f>
        <v>8.8237718230785268E-4</v>
      </c>
      <c r="W104" s="1"/>
      <c r="X104" s="1">
        <f t="shared" ref="X104:X106" si="82">+P104-T104</f>
        <v>-2002</v>
      </c>
      <c r="Y104" s="1"/>
      <c r="Z104" s="5">
        <f t="shared" ref="Z104:Z106" si="83">IF(T104=0,0,X104/T104)</f>
        <v>-1</v>
      </c>
    </row>
    <row r="105" spans="1:26" s="24" customFormat="1" hidden="1" outlineLevel="2" x14ac:dyDescent="0.3">
      <c r="A105" s="27"/>
      <c r="B105" s="11" t="str">
        <f>CONCATENATE("          ", "6258", " - ", "MEMBERSHIP DUES")</f>
        <v xml:space="preserve">          6258 - MEMBERSHIP DUES</v>
      </c>
      <c r="C105" s="11"/>
      <c r="D105" s="7"/>
      <c r="E105" s="2"/>
      <c r="F105" s="6">
        <f t="shared" si="76"/>
        <v>0</v>
      </c>
      <c r="G105" s="2"/>
      <c r="H105" s="7">
        <v>0</v>
      </c>
      <c r="I105" s="2"/>
      <c r="J105" s="6">
        <f t="shared" si="77"/>
        <v>0</v>
      </c>
      <c r="K105" s="2"/>
      <c r="L105" s="7">
        <f t="shared" si="78"/>
        <v>0</v>
      </c>
      <c r="M105" s="2"/>
      <c r="N105" s="6">
        <f t="shared" si="79"/>
        <v>0</v>
      </c>
      <c r="O105" s="11"/>
      <c r="P105" s="7"/>
      <c r="Q105" s="2"/>
      <c r="R105" s="6">
        <f t="shared" si="80"/>
        <v>0</v>
      </c>
      <c r="S105" s="2"/>
      <c r="T105" s="7">
        <v>1395</v>
      </c>
      <c r="U105" s="2"/>
      <c r="V105" s="6">
        <f t="shared" si="81"/>
        <v>6.1484324141830896E-4</v>
      </c>
      <c r="W105" s="2"/>
      <c r="X105" s="7">
        <f t="shared" si="82"/>
        <v>-1395</v>
      </c>
      <c r="Y105" s="2"/>
      <c r="Z105" s="6">
        <f t="shared" si="83"/>
        <v>-1</v>
      </c>
    </row>
    <row r="106" spans="1:26" s="24" customFormat="1" hidden="1" outlineLevel="2" x14ac:dyDescent="0.3">
      <c r="A106" s="27"/>
      <c r="B106" s="11" t="str">
        <f>CONCATENATE("          ", "6275", " - ", "SUBSCRIPTIONS")</f>
        <v xml:space="preserve">          6275 - SUBSCRIPTIONS</v>
      </c>
      <c r="C106" s="11"/>
      <c r="D106" s="7"/>
      <c r="E106" s="2"/>
      <c r="F106" s="6">
        <f t="shared" si="76"/>
        <v>0</v>
      </c>
      <c r="G106" s="2"/>
      <c r="H106" s="7">
        <v>181</v>
      </c>
      <c r="I106" s="2"/>
      <c r="J106" s="6">
        <f t="shared" si="77"/>
        <v>5.746506060817718E-4</v>
      </c>
      <c r="K106" s="2"/>
      <c r="L106" s="7">
        <f t="shared" si="78"/>
        <v>-181</v>
      </c>
      <c r="M106" s="2"/>
      <c r="N106" s="6">
        <f t="shared" si="79"/>
        <v>-1</v>
      </c>
      <c r="O106" s="11"/>
      <c r="P106" s="7"/>
      <c r="Q106" s="2"/>
      <c r="R106" s="6">
        <f t="shared" si="80"/>
        <v>0</v>
      </c>
      <c r="S106" s="2"/>
      <c r="T106" s="7">
        <v>607</v>
      </c>
      <c r="U106" s="2"/>
      <c r="V106" s="6">
        <f t="shared" si="81"/>
        <v>2.6753394088954377E-4</v>
      </c>
      <c r="W106" s="2"/>
      <c r="X106" s="7">
        <f t="shared" si="82"/>
        <v>-607</v>
      </c>
      <c r="Y106" s="2"/>
      <c r="Z106" s="6">
        <f t="shared" si="83"/>
        <v>-1</v>
      </c>
    </row>
    <row r="107" spans="1:26" s="28" customFormat="1" outlineLevel="1" collapsed="1" x14ac:dyDescent="0.3">
      <c r="A107" s="29"/>
      <c r="B107" s="14" t="str">
        <f>CONCATENATE("     ","Supplies                                          ")</f>
        <v xml:space="preserve">     Supplies                                          </v>
      </c>
      <c r="C107" s="14"/>
      <c r="D107" s="1">
        <f>SUM(OSRRefD22_18x_0)</f>
        <v>137.04</v>
      </c>
      <c r="E107" s="1"/>
      <c r="F107" s="5">
        <f t="shared" ref="F107:F113" si="84">IF(D$12=0,0,D107/D$12)</f>
        <v>7.532841573194164E-4</v>
      </c>
      <c r="G107" s="1"/>
      <c r="H107" s="1">
        <f>SUM(OSRRefH22_18x_0)</f>
        <v>180</v>
      </c>
      <c r="I107" s="1"/>
      <c r="J107" s="5">
        <f t="shared" ref="J107:J113" si="85">IF(H$12=0,0,H107/H$12)</f>
        <v>5.7147574085480068E-4</v>
      </c>
      <c r="K107" s="1"/>
      <c r="L107" s="1">
        <f t="shared" ref="L107:L113" si="86">+D107-H107</f>
        <v>-42.960000000000008</v>
      </c>
      <c r="M107" s="1"/>
      <c r="N107" s="5">
        <f t="shared" ref="N107:N113" si="87">IF(H107=0,0,L107/H107)</f>
        <v>-0.23866666666666672</v>
      </c>
      <c r="O107" s="14"/>
      <c r="P107" s="1">
        <f>SUM(OSRRefP22_18x_0)</f>
        <v>10471.09</v>
      </c>
      <c r="Q107" s="1"/>
      <c r="R107" s="5">
        <f t="shared" ref="R107:R113" si="88">IF(P$12=0,0,P107/P$12)</f>
        <v>4.4662640841847236E-3</v>
      </c>
      <c r="S107" s="1"/>
      <c r="T107" s="1">
        <f>SUM(OSRRefT22_18x_0)</f>
        <v>1340</v>
      </c>
      <c r="U107" s="1"/>
      <c r="V107" s="5">
        <f t="shared" ref="V107:V113" si="89">IF(T$12=0,0,T107/T$12)</f>
        <v>5.9060211003622511E-4</v>
      </c>
      <c r="W107" s="1"/>
      <c r="X107" s="1">
        <f t="shared" ref="X107:X113" si="90">+P107-T107</f>
        <v>9131.09</v>
      </c>
      <c r="Y107" s="1"/>
      <c r="Z107" s="5">
        <f t="shared" ref="Z107:Z113" si="91">IF(T107=0,0,X107/T107)</f>
        <v>6.8142462686567162</v>
      </c>
    </row>
    <row r="108" spans="1:26" s="24" customFormat="1" hidden="1" outlineLevel="2" x14ac:dyDescent="0.3">
      <c r="A108" s="27"/>
      <c r="B108" s="11" t="str">
        <f>CONCATENATE("          ", "6234", " - ", "EXPENDABLE SUPPLIES &amp; EQUIPMEN")</f>
        <v xml:space="preserve">          6234 - EXPENDABLE SUPPLIES &amp; EQUIPMEN</v>
      </c>
      <c r="C108" s="11"/>
      <c r="D108" s="7"/>
      <c r="E108" s="2"/>
      <c r="F108" s="6">
        <f t="shared" si="84"/>
        <v>0</v>
      </c>
      <c r="G108" s="2"/>
      <c r="H108" s="7"/>
      <c r="I108" s="2"/>
      <c r="J108" s="6">
        <f t="shared" si="85"/>
        <v>0</v>
      </c>
      <c r="K108" s="2"/>
      <c r="L108" s="7">
        <f t="shared" si="86"/>
        <v>0</v>
      </c>
      <c r="M108" s="2"/>
      <c r="N108" s="6">
        <f t="shared" si="87"/>
        <v>0</v>
      </c>
      <c r="O108" s="11"/>
      <c r="P108" s="7">
        <v>1393.55</v>
      </c>
      <c r="Q108" s="2"/>
      <c r="R108" s="6">
        <f t="shared" si="88"/>
        <v>5.9439488291244003E-4</v>
      </c>
      <c r="S108" s="2"/>
      <c r="T108" s="7"/>
      <c r="U108" s="2"/>
      <c r="V108" s="6">
        <f t="shared" si="89"/>
        <v>0</v>
      </c>
      <c r="W108" s="2"/>
      <c r="X108" s="7">
        <f t="shared" si="90"/>
        <v>1393.55</v>
      </c>
      <c r="Y108" s="2"/>
      <c r="Z108" s="6">
        <f t="shared" si="91"/>
        <v>0</v>
      </c>
    </row>
    <row r="109" spans="1:26" s="24" customFormat="1" hidden="1" outlineLevel="2" x14ac:dyDescent="0.3">
      <c r="A109" s="27"/>
      <c r="B109" s="11" t="str">
        <f>CONCATENATE("          ", "6235", " - ", "COVID-19 EXPENSES")</f>
        <v xml:space="preserve">          6235 - COVID-19 EXPENSES</v>
      </c>
      <c r="C109" s="11"/>
      <c r="D109" s="7"/>
      <c r="E109" s="2"/>
      <c r="F109" s="6">
        <f t="shared" si="84"/>
        <v>0</v>
      </c>
      <c r="G109" s="2"/>
      <c r="H109" s="7">
        <v>25</v>
      </c>
      <c r="I109" s="2"/>
      <c r="J109" s="6">
        <f t="shared" si="85"/>
        <v>7.937163067427788E-5</v>
      </c>
      <c r="K109" s="2"/>
      <c r="L109" s="7">
        <f t="shared" si="86"/>
        <v>-25</v>
      </c>
      <c r="M109" s="2"/>
      <c r="N109" s="6">
        <f t="shared" si="87"/>
        <v>-1</v>
      </c>
      <c r="O109" s="11"/>
      <c r="P109" s="7"/>
      <c r="Q109" s="2"/>
      <c r="R109" s="6">
        <f t="shared" si="88"/>
        <v>0</v>
      </c>
      <c r="S109" s="2"/>
      <c r="T109" s="7">
        <v>175</v>
      </c>
      <c r="U109" s="2"/>
      <c r="V109" s="6">
        <f t="shared" si="89"/>
        <v>7.7130872579357756E-5</v>
      </c>
      <c r="W109" s="2"/>
      <c r="X109" s="7">
        <f t="shared" si="90"/>
        <v>-175</v>
      </c>
      <c r="Y109" s="2"/>
      <c r="Z109" s="6">
        <f t="shared" si="91"/>
        <v>-1</v>
      </c>
    </row>
    <row r="110" spans="1:26" s="24" customFormat="1" hidden="1" outlineLevel="2" x14ac:dyDescent="0.3">
      <c r="A110" s="27"/>
      <c r="B110" s="11" t="str">
        <f>CONCATENATE("          ", "6237", " - ", "JANITORIAL SUPPLIES")</f>
        <v xml:space="preserve">          6237 - JANITORIAL SUPPLIES</v>
      </c>
      <c r="C110" s="11"/>
      <c r="D110" s="7"/>
      <c r="E110" s="2"/>
      <c r="F110" s="6">
        <f t="shared" si="84"/>
        <v>0</v>
      </c>
      <c r="G110" s="2"/>
      <c r="H110" s="7">
        <v>10</v>
      </c>
      <c r="I110" s="2"/>
      <c r="J110" s="6">
        <f t="shared" si="85"/>
        <v>3.1748652269711152E-5</v>
      </c>
      <c r="K110" s="2"/>
      <c r="L110" s="7">
        <f t="shared" si="86"/>
        <v>-10</v>
      </c>
      <c r="M110" s="2"/>
      <c r="N110" s="6">
        <f t="shared" si="87"/>
        <v>-1</v>
      </c>
      <c r="O110" s="11"/>
      <c r="P110" s="7">
        <v>77.17</v>
      </c>
      <c r="Q110" s="2"/>
      <c r="R110" s="6">
        <f t="shared" si="88"/>
        <v>3.2915541684441177E-5</v>
      </c>
      <c r="S110" s="2"/>
      <c r="T110" s="7">
        <v>150</v>
      </c>
      <c r="U110" s="2"/>
      <c r="V110" s="6">
        <f t="shared" si="89"/>
        <v>6.6112176496592359E-5</v>
      </c>
      <c r="W110" s="2"/>
      <c r="X110" s="7">
        <f t="shared" si="90"/>
        <v>-72.83</v>
      </c>
      <c r="Y110" s="2"/>
      <c r="Z110" s="6">
        <f t="shared" si="91"/>
        <v>-0.48553333333333332</v>
      </c>
    </row>
    <row r="111" spans="1:26" s="24" customFormat="1" hidden="1" outlineLevel="2" x14ac:dyDescent="0.3">
      <c r="A111" s="27"/>
      <c r="B111" s="11" t="str">
        <f>CONCATENATE("          ", "6241", " - ", "OFFICE EXPENSE")</f>
        <v xml:space="preserve">          6241 - OFFICE EXPENSE</v>
      </c>
      <c r="C111" s="11"/>
      <c r="D111" s="7">
        <v>137.04</v>
      </c>
      <c r="E111" s="2"/>
      <c r="F111" s="6">
        <f t="shared" si="84"/>
        <v>7.532841573194164E-4</v>
      </c>
      <c r="G111" s="2"/>
      <c r="H111" s="7">
        <v>70</v>
      </c>
      <c r="I111" s="2"/>
      <c r="J111" s="6">
        <f t="shared" si="85"/>
        <v>2.2224056588797806E-4</v>
      </c>
      <c r="K111" s="2"/>
      <c r="L111" s="7">
        <f t="shared" si="86"/>
        <v>67.039999999999992</v>
      </c>
      <c r="M111" s="2"/>
      <c r="N111" s="6">
        <f t="shared" si="87"/>
        <v>0.95771428571428563</v>
      </c>
      <c r="O111" s="11"/>
      <c r="P111" s="7">
        <v>1561.05</v>
      </c>
      <c r="Q111" s="2"/>
      <c r="R111" s="6">
        <f t="shared" si="88"/>
        <v>6.6583913886869117E-4</v>
      </c>
      <c r="S111" s="2"/>
      <c r="T111" s="7">
        <v>490</v>
      </c>
      <c r="U111" s="2"/>
      <c r="V111" s="6">
        <f t="shared" si="89"/>
        <v>2.159664432222017E-4</v>
      </c>
      <c r="W111" s="2"/>
      <c r="X111" s="7">
        <f t="shared" si="90"/>
        <v>1071.05</v>
      </c>
      <c r="Y111" s="2"/>
      <c r="Z111" s="6">
        <f t="shared" si="91"/>
        <v>2.1858163265306123</v>
      </c>
    </row>
    <row r="112" spans="1:26" s="24" customFormat="1" hidden="1" outlineLevel="2" x14ac:dyDescent="0.3">
      <c r="A112" s="27"/>
      <c r="B112" s="11" t="str">
        <f>CONCATENATE("          ", "6245", " - ", "PRINTING")</f>
        <v xml:space="preserve">          6245 - PRINTING</v>
      </c>
      <c r="C112" s="11"/>
      <c r="D112" s="7"/>
      <c r="E112" s="2"/>
      <c r="F112" s="6">
        <f t="shared" si="84"/>
        <v>0</v>
      </c>
      <c r="G112" s="2"/>
      <c r="H112" s="7"/>
      <c r="I112" s="2"/>
      <c r="J112" s="6">
        <f t="shared" si="85"/>
        <v>0</v>
      </c>
      <c r="K112" s="2"/>
      <c r="L112" s="7">
        <f t="shared" si="86"/>
        <v>0</v>
      </c>
      <c r="M112" s="2"/>
      <c r="N112" s="6">
        <f t="shared" si="87"/>
        <v>0</v>
      </c>
      <c r="O112" s="11"/>
      <c r="P112" s="7">
        <v>24.75</v>
      </c>
      <c r="Q112" s="2"/>
      <c r="R112" s="6">
        <f t="shared" si="88"/>
        <v>1.0556688566669938E-5</v>
      </c>
      <c r="S112" s="2"/>
      <c r="T112" s="7"/>
      <c r="U112" s="2"/>
      <c r="V112" s="6">
        <f t="shared" si="89"/>
        <v>0</v>
      </c>
      <c r="W112" s="2"/>
      <c r="X112" s="7">
        <f t="shared" si="90"/>
        <v>24.75</v>
      </c>
      <c r="Y112" s="2"/>
      <c r="Z112" s="6">
        <f t="shared" si="91"/>
        <v>0</v>
      </c>
    </row>
    <row r="113" spans="1:26" s="24" customFormat="1" hidden="1" outlineLevel="2" x14ac:dyDescent="0.3">
      <c r="A113" s="27"/>
      <c r="B113" s="11" t="str">
        <f>CONCATENATE("          ", "6247", " - ", "STORE SUPPLIES")</f>
        <v xml:space="preserve">          6247 - STORE SUPPLIES</v>
      </c>
      <c r="C113" s="11"/>
      <c r="D113" s="7"/>
      <c r="E113" s="2"/>
      <c r="F113" s="6">
        <f t="shared" si="84"/>
        <v>0</v>
      </c>
      <c r="G113" s="2"/>
      <c r="H113" s="7">
        <v>75</v>
      </c>
      <c r="I113" s="2"/>
      <c r="J113" s="6">
        <f t="shared" si="85"/>
        <v>2.3811489202283363E-4</v>
      </c>
      <c r="K113" s="2"/>
      <c r="L113" s="7">
        <f t="shared" si="86"/>
        <v>-75</v>
      </c>
      <c r="M113" s="2"/>
      <c r="N113" s="6">
        <f t="shared" si="87"/>
        <v>-1</v>
      </c>
      <c r="O113" s="11"/>
      <c r="P113" s="7">
        <v>7414.57</v>
      </c>
      <c r="Q113" s="2"/>
      <c r="R113" s="6">
        <f t="shared" si="88"/>
        <v>3.1625578321524813E-3</v>
      </c>
      <c r="S113" s="2"/>
      <c r="T113" s="7">
        <v>525</v>
      </c>
      <c r="U113" s="2"/>
      <c r="V113" s="6">
        <f t="shared" si="89"/>
        <v>2.3139261773807326E-4</v>
      </c>
      <c r="W113" s="2"/>
      <c r="X113" s="7">
        <f t="shared" si="90"/>
        <v>6889.57</v>
      </c>
      <c r="Y113" s="2"/>
      <c r="Z113" s="6">
        <f t="shared" si="91"/>
        <v>13.122990476190475</v>
      </c>
    </row>
    <row r="114" spans="1:26" s="28" customFormat="1" outlineLevel="1" collapsed="1" x14ac:dyDescent="0.3">
      <c r="A114" s="29"/>
      <c r="B114" s="14" t="str">
        <f>CONCATENATE("     ","Telephone/Data Lines                              ")</f>
        <v xml:space="preserve">     Telephone/Data Lines                              </v>
      </c>
      <c r="C114" s="14"/>
      <c r="D114" s="1">
        <f>SUM(OSRRefD22_19x_0)</f>
        <v>602.58000000000004</v>
      </c>
      <c r="E114" s="1"/>
      <c r="F114" s="5">
        <f t="shared" ref="F114:F118" si="92">IF(D$12=0,0,D114/D$12)</f>
        <v>3.3122735516457531E-3</v>
      </c>
      <c r="G114" s="1"/>
      <c r="H114" s="1">
        <f>SUM(OSRRefH22_19x_0)</f>
        <v>610</v>
      </c>
      <c r="I114" s="1"/>
      <c r="J114" s="5">
        <f t="shared" ref="J114:J118" si="93">IF(H$12=0,0,H114/H$12)</f>
        <v>1.9366677884523802E-3</v>
      </c>
      <c r="K114" s="1"/>
      <c r="L114" s="1">
        <f t="shared" ref="L114:L118" si="94">+D114-H114</f>
        <v>-7.4199999999999591</v>
      </c>
      <c r="M114" s="1"/>
      <c r="N114" s="5">
        <f t="shared" ref="N114:N118" si="95">IF(H114=0,0,L114/H114)</f>
        <v>-1.2163934426229442E-2</v>
      </c>
      <c r="O114" s="14"/>
      <c r="P114" s="1">
        <f>SUM(OSRRefP22_19x_0)</f>
        <v>3913.92</v>
      </c>
      <c r="Q114" s="1"/>
      <c r="R114" s="5">
        <f t="shared" ref="R114:R118" si="96">IF(P$12=0,0,P114/P$12)</f>
        <v>1.6694155359539718E-3</v>
      </c>
      <c r="S114" s="1"/>
      <c r="T114" s="1">
        <f>SUM(OSRRefT22_19x_0)</f>
        <v>4270</v>
      </c>
      <c r="U114" s="1"/>
      <c r="V114" s="5">
        <f t="shared" ref="V114:V118" si="97">IF(T$12=0,0,T114/T$12)</f>
        <v>1.8819932909363291E-3</v>
      </c>
      <c r="W114" s="1"/>
      <c r="X114" s="1">
        <f t="shared" ref="X114:X118" si="98">+P114-T114</f>
        <v>-356.07999999999993</v>
      </c>
      <c r="Y114" s="1"/>
      <c r="Z114" s="5">
        <f t="shared" ref="Z114:Z118" si="99">IF(T114=0,0,X114/T114)</f>
        <v>-8.339110070257609E-2</v>
      </c>
    </row>
    <row r="115" spans="1:26" s="24" customFormat="1" hidden="1" outlineLevel="2" x14ac:dyDescent="0.3">
      <c r="A115" s="27"/>
      <c r="B115" s="11" t="str">
        <f>CONCATENATE("          ", "6309", " - ", "TELEPHONE")</f>
        <v xml:space="preserve">          6309 - TELEPHONE</v>
      </c>
      <c r="C115" s="11"/>
      <c r="D115" s="7">
        <v>602.58000000000004</v>
      </c>
      <c r="E115" s="2"/>
      <c r="F115" s="6">
        <f t="shared" si="92"/>
        <v>3.3122735516457531E-3</v>
      </c>
      <c r="G115" s="2"/>
      <c r="H115" s="7">
        <v>610</v>
      </c>
      <c r="I115" s="2"/>
      <c r="J115" s="6">
        <f t="shared" si="93"/>
        <v>1.9366677884523802E-3</v>
      </c>
      <c r="K115" s="2"/>
      <c r="L115" s="7">
        <f t="shared" si="94"/>
        <v>-7.4199999999999591</v>
      </c>
      <c r="M115" s="2"/>
      <c r="N115" s="6">
        <f t="shared" si="95"/>
        <v>-1.2163934426229442E-2</v>
      </c>
      <c r="O115" s="11"/>
      <c r="P115" s="7">
        <v>3913.92</v>
      </c>
      <c r="Q115" s="2"/>
      <c r="R115" s="6">
        <f t="shared" si="96"/>
        <v>1.6694155359539718E-3</v>
      </c>
      <c r="S115" s="2"/>
      <c r="T115" s="7">
        <v>4270</v>
      </c>
      <c r="U115" s="2"/>
      <c r="V115" s="6">
        <f t="shared" si="97"/>
        <v>1.8819932909363291E-3</v>
      </c>
      <c r="W115" s="2"/>
      <c r="X115" s="7">
        <f t="shared" si="98"/>
        <v>-356.07999999999993</v>
      </c>
      <c r="Y115" s="2"/>
      <c r="Z115" s="6">
        <f t="shared" si="99"/>
        <v>-8.339110070257609E-2</v>
      </c>
    </row>
    <row r="116" spans="1:26" s="28" customFormat="1" outlineLevel="1" collapsed="1" x14ac:dyDescent="0.3">
      <c r="A116" s="29"/>
      <c r="B116" s="14" t="str">
        <f>CONCATENATE("     ","Travel                                            ")</f>
        <v xml:space="preserve">     Travel                                            </v>
      </c>
      <c r="C116" s="14"/>
      <c r="D116" s="1">
        <f>SUM(OSRRefD22_20x_0)</f>
        <v>0</v>
      </c>
      <c r="E116" s="1"/>
      <c r="F116" s="5">
        <f t="shared" si="92"/>
        <v>0</v>
      </c>
      <c r="G116" s="1"/>
      <c r="H116" s="1">
        <f>SUM(OSRRefH22_20x_0)</f>
        <v>50</v>
      </c>
      <c r="I116" s="1"/>
      <c r="J116" s="5">
        <f t="shared" si="93"/>
        <v>1.5874326134855576E-4</v>
      </c>
      <c r="K116" s="1"/>
      <c r="L116" s="1">
        <f t="shared" si="94"/>
        <v>-50</v>
      </c>
      <c r="M116" s="1"/>
      <c r="N116" s="5">
        <f t="shared" si="95"/>
        <v>-1</v>
      </c>
      <c r="O116" s="14"/>
      <c r="P116" s="1">
        <f>SUM(OSRRefP22_20x_0)</f>
        <v>239.93</v>
      </c>
      <c r="Q116" s="1"/>
      <c r="R116" s="5">
        <f t="shared" si="96"/>
        <v>1.0233803183034821E-4</v>
      </c>
      <c r="S116" s="1"/>
      <c r="T116" s="1">
        <f>SUM(OSRRefT22_20x_0)</f>
        <v>600</v>
      </c>
      <c r="U116" s="1"/>
      <c r="V116" s="5">
        <f t="shared" si="97"/>
        <v>2.6444870598636943E-4</v>
      </c>
      <c r="W116" s="1"/>
      <c r="X116" s="1">
        <f t="shared" si="98"/>
        <v>-360.07</v>
      </c>
      <c r="Y116" s="1"/>
      <c r="Z116" s="5">
        <f t="shared" si="99"/>
        <v>-0.60011666666666663</v>
      </c>
    </row>
    <row r="117" spans="1:26" s="24" customFormat="1" hidden="1" outlineLevel="2" x14ac:dyDescent="0.3">
      <c r="A117" s="27"/>
      <c r="B117" s="11" t="str">
        <f>CONCATENATE("          ", "6294", " - ", "TRAVEL OPERATIONAL")</f>
        <v xml:space="preserve">          6294 - TRAVEL OPERATIONAL</v>
      </c>
      <c r="C117" s="11"/>
      <c r="D117" s="7"/>
      <c r="E117" s="2"/>
      <c r="F117" s="6">
        <f t="shared" si="92"/>
        <v>0</v>
      </c>
      <c r="G117" s="2"/>
      <c r="H117" s="7">
        <v>25</v>
      </c>
      <c r="I117" s="2"/>
      <c r="J117" s="6">
        <f t="shared" si="93"/>
        <v>7.937163067427788E-5</v>
      </c>
      <c r="K117" s="2"/>
      <c r="L117" s="7">
        <f t="shared" si="94"/>
        <v>-25</v>
      </c>
      <c r="M117" s="2"/>
      <c r="N117" s="6">
        <f t="shared" si="95"/>
        <v>-1</v>
      </c>
      <c r="O117" s="11"/>
      <c r="P117" s="7">
        <v>239.93</v>
      </c>
      <c r="Q117" s="2"/>
      <c r="R117" s="6">
        <f t="shared" si="96"/>
        <v>1.0233803183034821E-4</v>
      </c>
      <c r="S117" s="2"/>
      <c r="T117" s="7">
        <v>175</v>
      </c>
      <c r="U117" s="2"/>
      <c r="V117" s="6">
        <f t="shared" si="97"/>
        <v>7.7130872579357756E-5</v>
      </c>
      <c r="W117" s="2"/>
      <c r="X117" s="7">
        <f t="shared" si="98"/>
        <v>64.930000000000007</v>
      </c>
      <c r="Y117" s="2"/>
      <c r="Z117" s="6">
        <f t="shared" si="99"/>
        <v>0.37102857142857149</v>
      </c>
    </row>
    <row r="118" spans="1:26" s="24" customFormat="1" hidden="1" outlineLevel="2" x14ac:dyDescent="0.3">
      <c r="A118" s="27"/>
      <c r="B118" s="11" t="str">
        <f>CONCATENATE("          ", "6298", " - ", "VEHICLE MILEAGE")</f>
        <v xml:space="preserve">          6298 - VEHICLE MILEAGE</v>
      </c>
      <c r="C118" s="11"/>
      <c r="D118" s="7"/>
      <c r="E118" s="2"/>
      <c r="F118" s="6">
        <f t="shared" si="92"/>
        <v>0</v>
      </c>
      <c r="G118" s="2"/>
      <c r="H118" s="7">
        <v>25</v>
      </c>
      <c r="I118" s="2"/>
      <c r="J118" s="6">
        <f t="shared" si="93"/>
        <v>7.937163067427788E-5</v>
      </c>
      <c r="K118" s="2"/>
      <c r="L118" s="7">
        <f t="shared" si="94"/>
        <v>-25</v>
      </c>
      <c r="M118" s="2"/>
      <c r="N118" s="6">
        <f t="shared" si="95"/>
        <v>-1</v>
      </c>
      <c r="O118" s="11"/>
      <c r="P118" s="7"/>
      <c r="Q118" s="2"/>
      <c r="R118" s="6">
        <f t="shared" si="96"/>
        <v>0</v>
      </c>
      <c r="S118" s="2"/>
      <c r="T118" s="7">
        <v>425</v>
      </c>
      <c r="U118" s="2"/>
      <c r="V118" s="6">
        <f t="shared" si="97"/>
        <v>1.8731783340701169E-4</v>
      </c>
      <c r="W118" s="2"/>
      <c r="X118" s="7">
        <f t="shared" si="98"/>
        <v>-425</v>
      </c>
      <c r="Y118" s="2"/>
      <c r="Z118" s="6">
        <f t="shared" si="99"/>
        <v>-1</v>
      </c>
    </row>
    <row r="119" spans="1:26" s="28" customFormat="1" outlineLevel="1" collapsed="1" x14ac:dyDescent="0.3">
      <c r="A119" s="29"/>
      <c r="B119" s="14" t="str">
        <f>CONCATENATE("     ","Utilities                                         ")</f>
        <v xml:space="preserve">     Utilities                                         </v>
      </c>
      <c r="C119" s="14"/>
      <c r="D119" s="1">
        <f>SUM(OSRRefD22_21x_0)</f>
        <v>292.91000000000003</v>
      </c>
      <c r="E119" s="1"/>
      <c r="F119" s="5">
        <f t="shared" ref="F119:F120" si="100">IF(D$12=0,0,D119/D$12)</f>
        <v>1.6100734276155158E-3</v>
      </c>
      <c r="G119" s="1"/>
      <c r="H119" s="1">
        <f>SUM(OSRRefH22_21x_0)</f>
        <v>120</v>
      </c>
      <c r="I119" s="1"/>
      <c r="J119" s="5">
        <f t="shared" ref="J119:J120" si="101">IF(H$12=0,0,H119/H$12)</f>
        <v>3.8098382723653383E-4</v>
      </c>
      <c r="K119" s="1"/>
      <c r="L119" s="1">
        <f t="shared" ref="L119:L120" si="102">+D119-H119</f>
        <v>172.91000000000003</v>
      </c>
      <c r="M119" s="1"/>
      <c r="N119" s="5">
        <f t="shared" ref="N119:N120" si="103">IF(H119=0,0,L119/H119)</f>
        <v>1.4409166666666668</v>
      </c>
      <c r="O119" s="14"/>
      <c r="P119" s="1">
        <f>SUM(OSRRefP22_21x_0)</f>
        <v>539.41999999999996</v>
      </c>
      <c r="Q119" s="1"/>
      <c r="R119" s="5">
        <f t="shared" ref="R119:R120" si="104">IF(P$12=0,0,P119/P$12)</f>
        <v>2.3008036148012515E-4</v>
      </c>
      <c r="S119" s="1"/>
      <c r="T119" s="1">
        <f>SUM(OSRRefT22_21x_0)</f>
        <v>840</v>
      </c>
      <c r="U119" s="1"/>
      <c r="V119" s="5">
        <f t="shared" ref="V119:V120" si="105">IF(T$12=0,0,T119/T$12)</f>
        <v>3.7022818838091721E-4</v>
      </c>
      <c r="W119" s="1"/>
      <c r="X119" s="1">
        <f t="shared" ref="X119:X120" si="106">+P119-T119</f>
        <v>-300.58000000000004</v>
      </c>
      <c r="Y119" s="1"/>
      <c r="Z119" s="5">
        <f t="shared" ref="Z119:Z120" si="107">IF(T119=0,0,X119/T119)</f>
        <v>-0.35783333333333339</v>
      </c>
    </row>
    <row r="120" spans="1:26" s="24" customFormat="1" hidden="1" outlineLevel="2" x14ac:dyDescent="0.3">
      <c r="A120" s="27"/>
      <c r="B120" s="11" t="str">
        <f>CONCATENATE("          ", "6274", " - ", "UTILITIES")</f>
        <v xml:space="preserve">          6274 - UTILITIES</v>
      </c>
      <c r="C120" s="11"/>
      <c r="D120" s="7">
        <v>292.91000000000003</v>
      </c>
      <c r="E120" s="2"/>
      <c r="F120" s="6">
        <f t="shared" si="100"/>
        <v>1.6100734276155158E-3</v>
      </c>
      <c r="G120" s="2"/>
      <c r="H120" s="7">
        <v>120</v>
      </c>
      <c r="I120" s="2"/>
      <c r="J120" s="6">
        <f t="shared" si="101"/>
        <v>3.8098382723653383E-4</v>
      </c>
      <c r="K120" s="2"/>
      <c r="L120" s="7">
        <f t="shared" si="102"/>
        <v>172.91000000000003</v>
      </c>
      <c r="M120" s="2"/>
      <c r="N120" s="6">
        <f t="shared" si="103"/>
        <v>1.4409166666666668</v>
      </c>
      <c r="O120" s="11"/>
      <c r="P120" s="7">
        <v>539.41999999999996</v>
      </c>
      <c r="Q120" s="2"/>
      <c r="R120" s="6">
        <f t="shared" si="104"/>
        <v>2.3008036148012515E-4</v>
      </c>
      <c r="S120" s="2"/>
      <c r="T120" s="7">
        <v>840</v>
      </c>
      <c r="U120" s="2"/>
      <c r="V120" s="6">
        <f t="shared" si="105"/>
        <v>3.7022818838091721E-4</v>
      </c>
      <c r="W120" s="2"/>
      <c r="X120" s="7">
        <f t="shared" si="106"/>
        <v>-300.58000000000004</v>
      </c>
      <c r="Y120" s="2"/>
      <c r="Z120" s="6">
        <f t="shared" si="107"/>
        <v>-0.35783333333333339</v>
      </c>
    </row>
    <row r="121" spans="1:26" s="55" customFormat="1" x14ac:dyDescent="0.3">
      <c r="A121" s="36"/>
      <c r="B121" s="36"/>
      <c r="C121" s="36"/>
      <c r="D121" s="1"/>
      <c r="E121" s="1"/>
      <c r="F121" s="5"/>
      <c r="G121" s="1"/>
      <c r="H121" s="1"/>
      <c r="I121" s="1"/>
      <c r="J121" s="5"/>
      <c r="K121" s="1"/>
      <c r="L121" s="1"/>
      <c r="M121" s="1"/>
      <c r="N121" s="5"/>
      <c r="O121" s="36"/>
      <c r="P121" s="1"/>
      <c r="Q121" s="1"/>
      <c r="R121" s="5"/>
      <c r="S121" s="1"/>
      <c r="T121" s="1"/>
      <c r="U121" s="1"/>
      <c r="V121" s="5"/>
      <c r="W121" s="1"/>
      <c r="X121" s="1"/>
      <c r="Y121" s="1"/>
      <c r="Z121" s="5"/>
    </row>
    <row r="122" spans="1:26" s="23" customFormat="1" collapsed="1" x14ac:dyDescent="0.3">
      <c r="A122" s="10"/>
      <c r="B122" s="25" t="s">
        <v>293</v>
      </c>
      <c r="C122" s="10"/>
      <c r="D122" s="4">
        <f>SUM(OSRRefD25x_0)</f>
        <v>39149.25</v>
      </c>
      <c r="E122" s="4"/>
      <c r="F122" s="12">
        <f t="shared" ref="F122:F125" si="108">IF(D$12=0,0,D122/D$12)</f>
        <v>0.21519636453544339</v>
      </c>
      <c r="G122" s="4"/>
      <c r="H122" s="4">
        <f>SUM(OSRRefH25x_0)</f>
        <v>15571</v>
      </c>
      <c r="I122" s="4"/>
      <c r="J122" s="12">
        <f t="shared" ref="J122:J125" si="109">IF(H$12=0,0,H122/H$12)</f>
        <v>4.9435826449167233E-2</v>
      </c>
      <c r="K122" s="4"/>
      <c r="L122" s="4">
        <f t="shared" ref="L122:L125" si="110">+D122-H122</f>
        <v>23578.25</v>
      </c>
      <c r="M122" s="4"/>
      <c r="N122" s="12">
        <f t="shared" ref="N122:N125" si="111">IF(H122=0,0,L122/H122)</f>
        <v>1.5142412176481921</v>
      </c>
      <c r="O122" s="10"/>
      <c r="P122" s="4">
        <f>SUM(OSRRefP25x_0)</f>
        <v>158502.37</v>
      </c>
      <c r="Q122" s="4"/>
      <c r="R122" s="12">
        <f t="shared" ref="R122:R125" si="112">IF(P$12=0,0,P122/P$12)</f>
        <v>6.7606470996730825E-2</v>
      </c>
      <c r="S122" s="4"/>
      <c r="T122" s="4">
        <f>SUM(OSRRefT25x_0)</f>
        <v>106228</v>
      </c>
      <c r="U122" s="4"/>
      <c r="V122" s="12">
        <f t="shared" ref="V122:V125" si="113">IF(T$12=0,0,T122/T$12)</f>
        <v>4.6819761899200084E-2</v>
      </c>
      <c r="W122" s="4"/>
      <c r="X122" s="4">
        <f t="shared" ref="X122:X125" si="114">+P122-T122</f>
        <v>52274.369999999995</v>
      </c>
      <c r="Y122" s="4"/>
      <c r="Z122" s="12">
        <f t="shared" ref="Z122:Z125" si="115">IF(T122=0,0,X122/T122)</f>
        <v>0.49209596339948031</v>
      </c>
    </row>
    <row r="123" spans="1:26" s="24" customFormat="1" hidden="1" outlineLevel="1" x14ac:dyDescent="0.3">
      <c r="A123" s="44"/>
      <c r="B123" s="11" t="str">
        <f>CONCATENATE("          ", "9150", " - ", "MISC. INCOME")</f>
        <v xml:space="preserve">          9150 - MISC. INCOME</v>
      </c>
      <c r="C123" s="11"/>
      <c r="D123" s="2">
        <f>--32121.75</f>
        <v>32121.75</v>
      </c>
      <c r="E123" s="2"/>
      <c r="F123" s="19">
        <f t="shared" si="108"/>
        <v>0.17656746483052368</v>
      </c>
      <c r="G123" s="2"/>
      <c r="H123" s="2">
        <v>15571</v>
      </c>
      <c r="I123" s="2"/>
      <c r="J123" s="19">
        <f t="shared" si="109"/>
        <v>4.9435826449167233E-2</v>
      </c>
      <c r="K123" s="2"/>
      <c r="L123" s="2">
        <f t="shared" si="110"/>
        <v>16550.75</v>
      </c>
      <c r="M123" s="2"/>
      <c r="N123" s="19">
        <f t="shared" si="111"/>
        <v>1.0629214565538501</v>
      </c>
      <c r="O123" s="11"/>
      <c r="P123" s="2">
        <f>--78726.67</f>
        <v>78726.67</v>
      </c>
      <c r="Q123" s="2"/>
      <c r="R123" s="19">
        <f t="shared" si="112"/>
        <v>3.3579512609333215E-2</v>
      </c>
      <c r="S123" s="2"/>
      <c r="T123" s="2">
        <v>47895</v>
      </c>
      <c r="U123" s="2"/>
      <c r="V123" s="19">
        <f t="shared" si="113"/>
        <v>2.110961795536194E-2</v>
      </c>
      <c r="W123" s="2"/>
      <c r="X123" s="2">
        <f t="shared" si="114"/>
        <v>30831.67</v>
      </c>
      <c r="Y123" s="2"/>
      <c r="Z123" s="19">
        <f t="shared" si="115"/>
        <v>0.6437346278317152</v>
      </c>
    </row>
    <row r="124" spans="1:26" s="24" customFormat="1" hidden="1" outlineLevel="1" x14ac:dyDescent="0.3">
      <c r="A124" s="44"/>
      <c r="B124" s="11" t="str">
        <f>CONCATENATE("          ", "9160", " - ", "MISC. INCOME")</f>
        <v xml:space="preserve">          9160 - MISC. INCOME</v>
      </c>
      <c r="C124" s="11"/>
      <c r="D124" s="2">
        <f>0</f>
        <v>0</v>
      </c>
      <c r="E124" s="2"/>
      <c r="F124" s="19">
        <f t="shared" si="108"/>
        <v>0</v>
      </c>
      <c r="G124" s="2"/>
      <c r="H124" s="2">
        <v>0</v>
      </c>
      <c r="I124" s="2"/>
      <c r="J124" s="19">
        <f t="shared" si="109"/>
        <v>0</v>
      </c>
      <c r="K124" s="2"/>
      <c r="L124" s="2">
        <f t="shared" si="110"/>
        <v>0</v>
      </c>
      <c r="M124" s="2"/>
      <c r="N124" s="19">
        <f t="shared" si="111"/>
        <v>0</v>
      </c>
      <c r="O124" s="11"/>
      <c r="P124" s="2">
        <f>0</f>
        <v>0</v>
      </c>
      <c r="Q124" s="2"/>
      <c r="R124" s="19">
        <f t="shared" si="112"/>
        <v>0</v>
      </c>
      <c r="S124" s="2"/>
      <c r="T124" s="2">
        <v>58333</v>
      </c>
      <c r="U124" s="2"/>
      <c r="V124" s="19">
        <f t="shared" si="113"/>
        <v>2.5710143943838148E-2</v>
      </c>
      <c r="W124" s="2"/>
      <c r="X124" s="2">
        <f t="shared" si="114"/>
        <v>-58333</v>
      </c>
      <c r="Y124" s="2"/>
      <c r="Z124" s="19">
        <f t="shared" si="115"/>
        <v>-1</v>
      </c>
    </row>
    <row r="125" spans="1:26" s="24" customFormat="1" hidden="1" outlineLevel="1" x14ac:dyDescent="0.3">
      <c r="A125" s="44"/>
      <c r="B125" s="11" t="str">
        <f>CONCATENATE("          ", "9163", " - ", "MISC. INCOME")</f>
        <v xml:space="preserve">          9163 - MISC. INCOME</v>
      </c>
      <c r="C125" s="11"/>
      <c r="D125" s="2">
        <f>--7027.5</f>
        <v>7027.5</v>
      </c>
      <c r="E125" s="2"/>
      <c r="F125" s="19">
        <f t="shared" si="108"/>
        <v>3.8628899704919721E-2</v>
      </c>
      <c r="G125" s="2"/>
      <c r="H125" s="2"/>
      <c r="I125" s="2"/>
      <c r="J125" s="19">
        <f t="shared" si="109"/>
        <v>0</v>
      </c>
      <c r="K125" s="2"/>
      <c r="L125" s="2">
        <f t="shared" si="110"/>
        <v>7027.5</v>
      </c>
      <c r="M125" s="2"/>
      <c r="N125" s="19">
        <f t="shared" si="111"/>
        <v>0</v>
      </c>
      <c r="O125" s="11"/>
      <c r="P125" s="2">
        <f>--79775.7</f>
        <v>79775.7</v>
      </c>
      <c r="Q125" s="2"/>
      <c r="R125" s="19">
        <f t="shared" si="112"/>
        <v>3.402695838739761E-2</v>
      </c>
      <c r="S125" s="2"/>
      <c r="T125" s="2"/>
      <c r="U125" s="2"/>
      <c r="V125" s="19">
        <f t="shared" si="113"/>
        <v>0</v>
      </c>
      <c r="W125" s="2"/>
      <c r="X125" s="2">
        <f t="shared" si="114"/>
        <v>79775.7</v>
      </c>
      <c r="Y125" s="2"/>
      <c r="Z125" s="19">
        <f t="shared" si="115"/>
        <v>0</v>
      </c>
    </row>
    <row r="126" spans="1:26" x14ac:dyDescent="0.3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x14ac:dyDescent="0.3">
      <c r="A127" s="10"/>
      <c r="B127" s="26" t="s">
        <v>277</v>
      </c>
      <c r="C127" s="26"/>
      <c r="D127" s="21">
        <f>+D42-D44+D122</f>
        <v>-213.67999999997846</v>
      </c>
      <c r="E127" s="13"/>
      <c r="F127" s="22">
        <f>IF(D$12=0,0,D127/D$12)</f>
        <v>-1.1745604110916278E-3</v>
      </c>
      <c r="G127" s="13"/>
      <c r="H127" s="21">
        <f>+H42-H44+H122</f>
        <v>28017.060707634635</v>
      </c>
      <c r="I127" s="13"/>
      <c r="J127" s="22">
        <f>IF(H$12=0,0,H127/H$12)</f>
        <v>8.8950391802607942E-2</v>
      </c>
      <c r="K127" s="15"/>
      <c r="L127" s="21">
        <f>+D127-H127</f>
        <v>-28230.740707634613</v>
      </c>
      <c r="M127" s="15"/>
      <c r="N127" s="22">
        <f>IF(H127=0,0,L127/H127)</f>
        <v>-1.0076267814896711</v>
      </c>
      <c r="O127" s="25"/>
      <c r="P127" s="21">
        <f>+P42-P44+P122</f>
        <v>627867.37000000034</v>
      </c>
      <c r="Q127" s="13"/>
      <c r="R127" s="22">
        <f>IF(P$12=0,0,P127/P$12)</f>
        <v>0.26780607217228797</v>
      </c>
      <c r="S127" s="13"/>
      <c r="T127" s="21">
        <f>+T42-T44+T122</f>
        <v>348346.53822513437</v>
      </c>
      <c r="U127" s="13"/>
      <c r="V127" s="22">
        <f>IF(T$12=0,0,T127/T$12)</f>
        <v>0.15353298544744692</v>
      </c>
      <c r="W127" s="15"/>
      <c r="X127" s="21">
        <f>+P127-T127</f>
        <v>279520.83177486598</v>
      </c>
      <c r="Y127" s="15"/>
      <c r="Z127" s="22">
        <f>IF(T127=0,0,X127/T127)</f>
        <v>0.80242172980692361</v>
      </c>
    </row>
    <row r="128" spans="1:26" x14ac:dyDescent="0.3">
      <c r="A128" s="9"/>
      <c r="B128" s="10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3">
      <c r="A129" s="52"/>
      <c r="B129" s="10" t="s">
        <v>128</v>
      </c>
      <c r="C129" s="10"/>
      <c r="D129" s="4">
        <v>50024.08</v>
      </c>
      <c r="E129" s="4"/>
      <c r="F129" s="12">
        <f>IF(D$12=0,0,D129/D$12)</f>
        <v>0.2749733431733733</v>
      </c>
      <c r="G129" s="4"/>
      <c r="H129" s="4">
        <v>31308</v>
      </c>
      <c r="I129" s="4"/>
      <c r="J129" s="12">
        <f>IF(H$12=0,0,H129/H$12)</f>
        <v>9.9398680526011668E-2</v>
      </c>
      <c r="K129" s="4"/>
      <c r="L129" s="4">
        <f>+D129-H129</f>
        <v>18716.080000000002</v>
      </c>
      <c r="M129" s="4"/>
      <c r="N129" s="12">
        <f>IF(H129=0,0,L129/H129)</f>
        <v>0.59780503385716122</v>
      </c>
      <c r="O129" s="10"/>
      <c r="P129" s="4">
        <v>310333.38</v>
      </c>
      <c r="Q129" s="4"/>
      <c r="R129" s="12">
        <f>IF(P$12=0,0,P129/P$12)</f>
        <v>0.13236738765664796</v>
      </c>
      <c r="S129" s="4"/>
      <c r="T129" s="4">
        <v>284282</v>
      </c>
      <c r="U129" s="4"/>
      <c r="V129" s="12">
        <f>IF(T$12=0,0,T129/T$12)</f>
        <v>0.12529667839202846</v>
      </c>
      <c r="W129" s="4"/>
      <c r="X129" s="4">
        <f>+P129-T129</f>
        <v>26051.380000000005</v>
      </c>
      <c r="Y129" s="4"/>
      <c r="Z129" s="12">
        <f>IF(T129=0,0,X129/T129)</f>
        <v>9.1639217396810232E-2</v>
      </c>
    </row>
    <row r="130" spans="1:26" x14ac:dyDescent="0.3">
      <c r="A130" s="9"/>
      <c r="B130" s="10"/>
      <c r="C130" s="10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O130" s="10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" thickBot="1" x14ac:dyDescent="0.35">
      <c r="A131" s="10"/>
      <c r="B131" s="26" t="s">
        <v>126</v>
      </c>
      <c r="C131" s="26"/>
      <c r="D131" s="32">
        <f>+D127-D129</f>
        <v>-50237.75999999998</v>
      </c>
      <c r="E131" s="13"/>
      <c r="F131" s="31">
        <f>IF(D$12=0,0,D131/D$12)</f>
        <v>-0.27614790358446489</v>
      </c>
      <c r="G131" s="13"/>
      <c r="H131" s="32">
        <f>+H127-H129</f>
        <v>-3290.939292365365</v>
      </c>
      <c r="I131" s="13"/>
      <c r="J131" s="31">
        <f>IF(H$12=0,0,H131/H$12)</f>
        <v>-1.0448288723403726E-2</v>
      </c>
      <c r="K131" s="15"/>
      <c r="L131" s="32">
        <f>D131-H131</f>
        <v>-46946.820707634615</v>
      </c>
      <c r="M131" s="15"/>
      <c r="N131" s="31">
        <f>IF(H131=0,0,L131/H131)</f>
        <v>14.265477584635587</v>
      </c>
      <c r="O131" s="25"/>
      <c r="P131" s="32">
        <f>+P127-P129</f>
        <v>317533.99000000034</v>
      </c>
      <c r="Q131" s="13"/>
      <c r="R131" s="31">
        <f>IF(P$12=0,0,P131/P$12)</f>
        <v>0.13543868451563998</v>
      </c>
      <c r="S131" s="13"/>
      <c r="T131" s="32">
        <f>+T127-T129</f>
        <v>64064.538225134369</v>
      </c>
      <c r="U131" s="13"/>
      <c r="V131" s="31">
        <f>IF(T$12=0,0,T131/T$12)</f>
        <v>2.8236307055418474E-2</v>
      </c>
      <c r="W131" s="15"/>
      <c r="X131" s="32">
        <f>P131-T131</f>
        <v>253469.45177486597</v>
      </c>
      <c r="Y131" s="15"/>
      <c r="Z131" s="31">
        <f>IF(T131=0,0,X131/T131)</f>
        <v>3.9564704405443227</v>
      </c>
    </row>
    <row r="132" spans="1:26" ht="15" thickTop="1" x14ac:dyDescent="0.3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x14ac:dyDescent="0.3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" thickBot="1" x14ac:dyDescent="0.35">
      <c r="A134" s="10"/>
      <c r="B134" s="26" t="s">
        <v>294</v>
      </c>
      <c r="C134" s="26"/>
      <c r="D134" s="34">
        <f>SUM(D131:D133)</f>
        <v>-50237.75999999998</v>
      </c>
      <c r="E134" s="13"/>
      <c r="F134" s="35">
        <f>IF(D$12=0,0,D134/D$12)</f>
        <v>-0.27614790358446489</v>
      </c>
      <c r="G134" s="13"/>
      <c r="H134" s="34">
        <f>SUM(H131:H133)</f>
        <v>-3290.939292365365</v>
      </c>
      <c r="I134" s="13"/>
      <c r="J134" s="35">
        <f>IF(H$12=0,0,H134/H$12)</f>
        <v>-1.0448288723403726E-2</v>
      </c>
      <c r="K134" s="15"/>
      <c r="L134" s="34">
        <f>+D134-H134</f>
        <v>-46946.820707634615</v>
      </c>
      <c r="M134" s="15"/>
      <c r="N134" s="35">
        <f>IF(H134=0,0,L134/H134)</f>
        <v>14.265477584635587</v>
      </c>
      <c r="O134" s="25"/>
      <c r="P134" s="34">
        <f>SUM(P131:P133)</f>
        <v>317533.99000000034</v>
      </c>
      <c r="Q134" s="13"/>
      <c r="R134" s="35">
        <f>IF(P$12=0,0,P134/P$12)</f>
        <v>0.13543868451563998</v>
      </c>
      <c r="S134" s="13"/>
      <c r="T134" s="34">
        <f>SUM(T131:T133)</f>
        <v>64064.538225134369</v>
      </c>
      <c r="U134" s="13"/>
      <c r="V134" s="35">
        <f>IF(T$12=0,0,T134/T$12)</f>
        <v>2.8236307055418474E-2</v>
      </c>
      <c r="W134" s="15"/>
      <c r="X134" s="34">
        <f>+P134-T134</f>
        <v>253469.45177486597</v>
      </c>
      <c r="Y134" s="15"/>
      <c r="Z134" s="35">
        <f>IF(T134=0,0,X134/T134)</f>
        <v>3.9564704405443227</v>
      </c>
    </row>
    <row r="135" spans="1:26" ht="15" thickTop="1" x14ac:dyDescent="0.3">
      <c r="A135" s="9"/>
      <c r="C135" s="9"/>
      <c r="D135" s="17"/>
      <c r="E135" s="17"/>
      <c r="G135" s="17"/>
      <c r="H135" s="17"/>
      <c r="I135" s="17"/>
      <c r="J135" s="43"/>
      <c r="K135" s="17"/>
      <c r="L135" s="17"/>
      <c r="M135" s="17"/>
      <c r="P135" s="17"/>
      <c r="Q135" s="17"/>
      <c r="R135" s="43"/>
      <c r="S135" s="17"/>
      <c r="T135" s="17"/>
      <c r="U135" s="17"/>
      <c r="V135" s="43"/>
      <c r="W135" s="17"/>
      <c r="X135" s="17"/>
    </row>
    <row r="136" spans="1:26" x14ac:dyDescent="0.3">
      <c r="A136" s="9"/>
      <c r="B136" s="53">
        <v>44604.019959872683</v>
      </c>
      <c r="D136" s="17"/>
      <c r="E136" s="17"/>
      <c r="G136" s="17"/>
      <c r="H136" s="17"/>
      <c r="I136" s="17"/>
      <c r="J136" s="43"/>
      <c r="K136" s="17"/>
      <c r="L136" s="17"/>
      <c r="M136" s="17"/>
      <c r="P136" s="17"/>
      <c r="Q136" s="17"/>
      <c r="R136" s="43"/>
      <c r="S136" s="17"/>
      <c r="T136" s="17"/>
      <c r="U136" s="17"/>
      <c r="V136" s="43"/>
      <c r="W136" s="17"/>
      <c r="X136" s="17"/>
    </row>
    <row r="137" spans="1:26" x14ac:dyDescent="0.3">
      <c r="A137" s="9"/>
      <c r="B137" s="63" t="s">
        <v>56</v>
      </c>
      <c r="D137" s="17"/>
      <c r="E137" s="17"/>
      <c r="G137" s="17"/>
      <c r="H137" s="17"/>
      <c r="I137" s="17"/>
      <c r="J137" s="43"/>
      <c r="K137" s="17"/>
      <c r="L137" s="17"/>
      <c r="M137" s="17"/>
      <c r="P137" s="17"/>
      <c r="Q137" s="17"/>
      <c r="R137" s="43"/>
      <c r="S137" s="17"/>
      <c r="T137" s="17"/>
      <c r="U137" s="17"/>
      <c r="V137" s="43"/>
      <c r="W137" s="17"/>
      <c r="X137" s="17"/>
    </row>
    <row r="138" spans="1:26" x14ac:dyDescent="0.3">
      <c r="A138" s="9"/>
      <c r="B138" s="58"/>
      <c r="D138" s="17"/>
      <c r="E138" s="17"/>
      <c r="G138" s="17"/>
      <c r="H138" s="17"/>
      <c r="I138" s="17"/>
      <c r="J138" s="43"/>
      <c r="K138" s="17"/>
      <c r="L138" s="17"/>
      <c r="M138" s="17"/>
      <c r="P138" s="17"/>
      <c r="Q138" s="17"/>
      <c r="R138" s="43"/>
      <c r="S138" s="17"/>
      <c r="T138" s="17"/>
      <c r="U138" s="17"/>
      <c r="V138" s="43"/>
      <c r="W138" s="17"/>
      <c r="X138" s="17"/>
    </row>
    <row r="139" spans="1:26" x14ac:dyDescent="0.3">
      <c r="D139" s="17"/>
      <c r="E139" s="17"/>
      <c r="G139" s="17"/>
      <c r="H139" s="17"/>
      <c r="I139" s="17"/>
      <c r="J139" s="43"/>
      <c r="K139" s="17"/>
      <c r="L139" s="17"/>
      <c r="M139" s="17"/>
      <c r="P139" s="17"/>
      <c r="Q139" s="17"/>
      <c r="R139" s="43"/>
      <c r="S139" s="17"/>
      <c r="T139" s="17"/>
      <c r="U139" s="17"/>
      <c r="V139" s="43"/>
      <c r="W139" s="17"/>
      <c r="X139" s="17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","307", " - ", "Art Store")</f>
        <v>Department 307 - Art Store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6007.46</v>
      </c>
      <c r="E12" s="4"/>
      <c r="F12" s="12"/>
      <c r="G12" s="4"/>
      <c r="H12" s="4">
        <f>SUM(OSRRefH13x_0)</f>
        <v>50869</v>
      </c>
      <c r="I12" s="4"/>
      <c r="J12" s="12"/>
      <c r="K12" s="4"/>
      <c r="L12" s="4">
        <f t="shared" ref="L12:L16" si="0">+D12-H12</f>
        <v>-44861.54</v>
      </c>
      <c r="M12" s="4"/>
      <c r="N12" s="12">
        <f t="shared" ref="N12:N16" si="1">IF(H12=0,0,L12/H12)</f>
        <v>-0.88190332029330243</v>
      </c>
      <c r="O12" s="10"/>
      <c r="P12" s="4">
        <f>SUM(OSRRefP13x_0)</f>
        <v>99935.78</v>
      </c>
      <c r="Q12" s="4"/>
      <c r="R12" s="12"/>
      <c r="S12" s="4"/>
      <c r="T12" s="4">
        <f>SUM(OSRRefT13x_0)</f>
        <v>322843</v>
      </c>
      <c r="U12" s="4"/>
      <c r="V12" s="12"/>
      <c r="W12" s="4"/>
      <c r="X12" s="4">
        <f t="shared" ref="X12:X16" si="2">+P12-T12</f>
        <v>-222907.22</v>
      </c>
      <c r="Y12" s="4"/>
      <c r="Z12" s="12">
        <f t="shared" ref="Z12:Z16" si="3">IF(T12=0,0,X12/T12)</f>
        <v>-0.69045083833318366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--5795.29</f>
        <v>5795.29</v>
      </c>
      <c r="E13" s="2"/>
      <c r="F13" s="19"/>
      <c r="G13" s="2"/>
      <c r="H13" s="2">
        <v>41593</v>
      </c>
      <c r="I13" s="2"/>
      <c r="J13" s="19"/>
      <c r="K13" s="2"/>
      <c r="L13" s="2">
        <f t="shared" si="0"/>
        <v>-35797.71</v>
      </c>
      <c r="M13" s="2"/>
      <c r="N13" s="19">
        <f t="shared" si="1"/>
        <v>-0.86066669872334289</v>
      </c>
      <c r="O13" s="11"/>
      <c r="P13" s="2">
        <f>--75538.6</f>
        <v>75538.600000000006</v>
      </c>
      <c r="Q13" s="2"/>
      <c r="R13" s="19"/>
      <c r="S13" s="2"/>
      <c r="T13" s="2">
        <v>224671</v>
      </c>
      <c r="U13" s="2"/>
      <c r="V13" s="19"/>
      <c r="W13" s="2"/>
      <c r="X13" s="2">
        <f t="shared" si="2"/>
        <v>-149132.4</v>
      </c>
      <c r="Y13" s="2"/>
      <c r="Z13" s="19">
        <f t="shared" si="3"/>
        <v>-0.6637812623792122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--518.25</f>
        <v>518.25</v>
      </c>
      <c r="E14" s="2"/>
      <c r="F14" s="19"/>
      <c r="G14" s="2"/>
      <c r="H14" s="2">
        <v>9276</v>
      </c>
      <c r="I14" s="2"/>
      <c r="J14" s="19"/>
      <c r="K14" s="2"/>
      <c r="L14" s="2">
        <f t="shared" si="0"/>
        <v>-8757.75</v>
      </c>
      <c r="M14" s="2"/>
      <c r="N14" s="19">
        <f t="shared" si="1"/>
        <v>-0.94413001293661059</v>
      </c>
      <c r="O14" s="11"/>
      <c r="P14" s="2">
        <f>--27321.21</f>
        <v>27321.21</v>
      </c>
      <c r="Q14" s="2"/>
      <c r="R14" s="19"/>
      <c r="S14" s="2"/>
      <c r="T14" s="2">
        <v>98172</v>
      </c>
      <c r="U14" s="2"/>
      <c r="V14" s="19"/>
      <c r="W14" s="2"/>
      <c r="X14" s="2">
        <f t="shared" si="2"/>
        <v>-70850.790000000008</v>
      </c>
      <c r="Y14" s="2"/>
      <c r="Z14" s="19">
        <f t="shared" si="3"/>
        <v>-0.72170058672533932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-191.36</f>
        <v>-191.36</v>
      </c>
      <c r="E15" s="2"/>
      <c r="F15" s="19"/>
      <c r="G15" s="2"/>
      <c r="H15" s="2"/>
      <c r="I15" s="2"/>
      <c r="J15" s="19"/>
      <c r="K15" s="2"/>
      <c r="L15" s="2">
        <f t="shared" si="0"/>
        <v>-191.36</v>
      </c>
      <c r="M15" s="2"/>
      <c r="N15" s="19">
        <f t="shared" si="1"/>
        <v>0</v>
      </c>
      <c r="O15" s="11"/>
      <c r="P15" s="2">
        <f>-1217.85</f>
        <v>-1217.8499999999999</v>
      </c>
      <c r="Q15" s="2"/>
      <c r="R15" s="19"/>
      <c r="S15" s="2"/>
      <c r="T15" s="2"/>
      <c r="U15" s="2"/>
      <c r="V15" s="19"/>
      <c r="W15" s="2"/>
      <c r="X15" s="2">
        <f t="shared" si="2"/>
        <v>-1217.8499999999999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"4500", " - ", "SALES DISCOUNT")</f>
        <v xml:space="preserve">          4500 - SALES DISCOUNT</v>
      </c>
      <c r="C16" s="11"/>
      <c r="D16" s="2">
        <f>-114.72</f>
        <v>-114.72</v>
      </c>
      <c r="E16" s="2"/>
      <c r="F16" s="19"/>
      <c r="G16" s="2"/>
      <c r="H16" s="2"/>
      <c r="I16" s="2"/>
      <c r="J16" s="19"/>
      <c r="K16" s="2"/>
      <c r="L16" s="2">
        <f t="shared" si="0"/>
        <v>-114.72</v>
      </c>
      <c r="M16" s="2"/>
      <c r="N16" s="19">
        <f t="shared" si="1"/>
        <v>0</v>
      </c>
      <c r="O16" s="11"/>
      <c r="P16" s="2">
        <f>-1706.18</f>
        <v>-1706.18</v>
      </c>
      <c r="Q16" s="2"/>
      <c r="R16" s="19"/>
      <c r="S16" s="2"/>
      <c r="T16" s="2"/>
      <c r="U16" s="2"/>
      <c r="V16" s="19"/>
      <c r="W16" s="2"/>
      <c r="X16" s="2">
        <f t="shared" si="2"/>
        <v>-1706.18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3646.9500000000003</v>
      </c>
      <c r="E18" s="4"/>
      <c r="F18" s="12">
        <f t="shared" ref="F18:F28" si="4">IF(D$12=0,0,D18/D$12)</f>
        <v>0.60707020937301293</v>
      </c>
      <c r="G18" s="4"/>
      <c r="H18" s="4">
        <f>SUM(OSRRefH16x_0)</f>
        <v>30632</v>
      </c>
      <c r="I18" s="4"/>
      <c r="J18" s="12">
        <f t="shared" ref="J18:J28" si="5">IF(H$12=0,0,H18/H$12)</f>
        <v>0.60217421219210132</v>
      </c>
      <c r="K18" s="4"/>
      <c r="L18" s="4">
        <f t="shared" ref="L18:L28" si="6">+D18-H18</f>
        <v>-26985.05</v>
      </c>
      <c r="M18" s="4"/>
      <c r="N18" s="12">
        <f t="shared" ref="N18:N28" si="7">IF(H18=0,0,L18/H18)</f>
        <v>-0.88094313136589186</v>
      </c>
      <c r="O18" s="10"/>
      <c r="P18" s="4">
        <f>SUM(OSRRefP16x_0)</f>
        <v>57238.489999999983</v>
      </c>
      <c r="Q18" s="4"/>
      <c r="R18" s="12">
        <f t="shared" ref="R18:R28" si="8">IF(P$12=0,0,P18/P$12)</f>
        <v>0.57275272179793846</v>
      </c>
      <c r="S18" s="4"/>
      <c r="T18" s="4">
        <f>SUM(OSRRefT16x_0)</f>
        <v>183251</v>
      </c>
      <c r="U18" s="4"/>
      <c r="V18" s="12">
        <f t="shared" ref="V18:V28" si="9">IF(T$12=0,0,T18/T$12)</f>
        <v>0.56761645753508672</v>
      </c>
      <c r="W18" s="4"/>
      <c r="X18" s="4">
        <f t="shared" ref="X18:X28" si="10">+P18-T18</f>
        <v>-126012.51000000001</v>
      </c>
      <c r="Y18" s="4"/>
      <c r="Z18" s="12">
        <f t="shared" ref="Z18:Z28" si="11">IF(T18=0,0,X18/T18)</f>
        <v>-0.687649780901605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>
        <v>19939.46</v>
      </c>
      <c r="E19" s="2"/>
      <c r="F19" s="19">
        <f t="shared" si="4"/>
        <v>3.3191165650707619</v>
      </c>
      <c r="G19" s="2"/>
      <c r="H19" s="2">
        <v>30632</v>
      </c>
      <c r="I19" s="2"/>
      <c r="J19" s="19">
        <f t="shared" si="5"/>
        <v>0.60217421219210132</v>
      </c>
      <c r="K19" s="2"/>
      <c r="L19" s="2">
        <f t="shared" si="6"/>
        <v>-10692.54</v>
      </c>
      <c r="M19" s="2"/>
      <c r="N19" s="19">
        <f t="shared" si="7"/>
        <v>-0.34906437712196398</v>
      </c>
      <c r="O19" s="11"/>
      <c r="P19" s="2">
        <v>102207.43</v>
      </c>
      <c r="Q19" s="2"/>
      <c r="R19" s="19">
        <f t="shared" si="8"/>
        <v>1.0227310979110784</v>
      </c>
      <c r="S19" s="2"/>
      <c r="T19" s="2">
        <v>183251</v>
      </c>
      <c r="U19" s="2"/>
      <c r="V19" s="19">
        <f t="shared" si="9"/>
        <v>0.56761645753508672</v>
      </c>
      <c r="W19" s="2"/>
      <c r="X19" s="2">
        <f t="shared" si="10"/>
        <v>-81043.570000000007</v>
      </c>
      <c r="Y19" s="2"/>
      <c r="Z19" s="19">
        <f t="shared" si="11"/>
        <v>-0.44225444881610471</v>
      </c>
    </row>
    <row r="20" spans="1:26" s="24" customFormat="1" hidden="1" outlineLevel="1" x14ac:dyDescent="0.3">
      <c r="A20" s="44"/>
      <c r="B20" s="11" t="str">
        <f>CONCATENATE("          ", "5026", " - ", "PURCHASES @ COST-WRITING INSTR")</f>
        <v xml:space="preserve">          5026 - PURCHASES @ COST-WRITING INSTR</v>
      </c>
      <c r="C20" s="11"/>
      <c r="D20" s="2"/>
      <c r="E20" s="2"/>
      <c r="F20" s="19">
        <f t="shared" si="4"/>
        <v>0</v>
      </c>
      <c r="G20" s="2"/>
      <c r="H20" s="2"/>
      <c r="I20" s="2"/>
      <c r="J20" s="19">
        <f t="shared" si="5"/>
        <v>0</v>
      </c>
      <c r="K20" s="2"/>
      <c r="L20" s="2">
        <f t="shared" si="6"/>
        <v>0</v>
      </c>
      <c r="M20" s="2"/>
      <c r="N20" s="19">
        <f t="shared" si="7"/>
        <v>0</v>
      </c>
      <c r="O20" s="11"/>
      <c r="P20" s="2">
        <v>0</v>
      </c>
      <c r="Q20" s="2"/>
      <c r="R20" s="19">
        <f t="shared" si="8"/>
        <v>0</v>
      </c>
      <c r="S20" s="2"/>
      <c r="T20" s="2"/>
      <c r="U20" s="2"/>
      <c r="V20" s="19">
        <f t="shared" si="9"/>
        <v>0</v>
      </c>
      <c r="W20" s="2"/>
      <c r="X20" s="2">
        <f t="shared" si="10"/>
        <v>0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"5027", " - ", "PURCHASES @ COST-SCHOOL SUPPLI")</f>
        <v xml:space="preserve">          5027 - PURCHASES @ COST-SCHOOL SUPPLI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"5028", " - ", "PURCHASES @ COST-ART/TECH")</f>
        <v xml:space="preserve">          5028 - PURCHASES @ COST-ART/TECH</v>
      </c>
      <c r="C22" s="11"/>
      <c r="D22" s="2"/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"5031", " - ", "PURCHASES @ COST-FOOD")</f>
        <v xml:space="preserve">          5031 - PURCHASES @ COST-FOOD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"5042", " - ", "PURCHASES @ COST-EVERYDAY GIFT")</f>
        <v xml:space="preserve">          5042 - PURCHASES @ COST-EVERYDAY GIFT</v>
      </c>
      <c r="C24" s="11"/>
      <c r="D24" s="2"/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"5200", " - ", "PURCHASES OFFSET")</f>
        <v xml:space="preserve">          5200 - PURCHASES OFFSET</v>
      </c>
      <c r="C25" s="11"/>
      <c r="D25" s="2">
        <v>-20077.689999999999</v>
      </c>
      <c r="E25" s="2"/>
      <c r="F25" s="19">
        <f t="shared" si="4"/>
        <v>-3.3421262896465391</v>
      </c>
      <c r="G25" s="2"/>
      <c r="H25" s="2"/>
      <c r="I25" s="2"/>
      <c r="J25" s="19">
        <f t="shared" si="5"/>
        <v>0</v>
      </c>
      <c r="K25" s="2"/>
      <c r="L25" s="2">
        <f t="shared" si="6"/>
        <v>-20077.689999999999</v>
      </c>
      <c r="M25" s="2"/>
      <c r="N25" s="19">
        <f t="shared" si="7"/>
        <v>0</v>
      </c>
      <c r="O25" s="11"/>
      <c r="P25" s="2">
        <v>-103335.13</v>
      </c>
      <c r="Q25" s="2"/>
      <c r="R25" s="19">
        <f t="shared" si="8"/>
        <v>-1.034015344654337</v>
      </c>
      <c r="S25" s="2"/>
      <c r="T25" s="2"/>
      <c r="U25" s="2"/>
      <c r="V25" s="19">
        <f t="shared" si="9"/>
        <v>0</v>
      </c>
      <c r="W25" s="2"/>
      <c r="X25" s="2">
        <f t="shared" si="10"/>
        <v>-103335.13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"5300", " - ", "COG$ OFFSET")</f>
        <v xml:space="preserve">          5300 - COG$ OFFSET</v>
      </c>
      <c r="C26" s="11"/>
      <c r="D26" s="2">
        <v>3646.95</v>
      </c>
      <c r="E26" s="2"/>
      <c r="F26" s="19">
        <f t="shared" si="4"/>
        <v>0.60707020937301281</v>
      </c>
      <c r="G26" s="2"/>
      <c r="H26" s="2"/>
      <c r="I26" s="2"/>
      <c r="J26" s="19">
        <f t="shared" si="5"/>
        <v>0</v>
      </c>
      <c r="K26" s="2"/>
      <c r="L26" s="2">
        <f t="shared" si="6"/>
        <v>3646.95</v>
      </c>
      <c r="M26" s="2"/>
      <c r="N26" s="19">
        <f t="shared" si="7"/>
        <v>0</v>
      </c>
      <c r="O26" s="11"/>
      <c r="P26" s="2">
        <v>57238.49</v>
      </c>
      <c r="Q26" s="2"/>
      <c r="R26" s="19">
        <f t="shared" si="8"/>
        <v>0.57275272179793857</v>
      </c>
      <c r="S26" s="2"/>
      <c r="T26" s="2"/>
      <c r="U26" s="2"/>
      <c r="V26" s="19">
        <f t="shared" si="9"/>
        <v>0</v>
      </c>
      <c r="W26" s="2"/>
      <c r="X26" s="2">
        <f t="shared" si="10"/>
        <v>57238.49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"5500", " - ", "FREIGHT-IN")</f>
        <v xml:space="preserve">          5500 - FREIGHT-IN</v>
      </c>
      <c r="C27" s="11"/>
      <c r="D27" s="2">
        <v>138.22999999999999</v>
      </c>
      <c r="E27" s="2"/>
      <c r="F27" s="19">
        <f t="shared" si="4"/>
        <v>2.3009724575777449E-2</v>
      </c>
      <c r="G27" s="2"/>
      <c r="H27" s="2"/>
      <c r="I27" s="2"/>
      <c r="J27" s="19">
        <f t="shared" si="5"/>
        <v>0</v>
      </c>
      <c r="K27" s="2"/>
      <c r="L27" s="2">
        <f t="shared" si="6"/>
        <v>138.22999999999999</v>
      </c>
      <c r="M27" s="2"/>
      <c r="N27" s="19">
        <f t="shared" si="7"/>
        <v>0</v>
      </c>
      <c r="O27" s="11"/>
      <c r="P27" s="2">
        <v>1127.7</v>
      </c>
      <c r="Q27" s="2"/>
      <c r="R27" s="19">
        <f t="shared" si="8"/>
        <v>1.1284246743258522E-2</v>
      </c>
      <c r="S27" s="2"/>
      <c r="T27" s="2"/>
      <c r="U27" s="2"/>
      <c r="V27" s="19">
        <f t="shared" si="9"/>
        <v>0</v>
      </c>
      <c r="W27" s="2"/>
      <c r="X27" s="2">
        <f t="shared" si="10"/>
        <v>1127.7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"5528", " - ", "FREIGHT-IN-ART/TECH")</f>
        <v xml:space="preserve">          5528 - FREIGHT-IN-ART/TECH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x14ac:dyDescent="0.3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10"/>
      <c r="B30" s="26" t="s">
        <v>108</v>
      </c>
      <c r="C30" s="26"/>
      <c r="D30" s="21">
        <f>D12-D18</f>
        <v>2360.5099999999998</v>
      </c>
      <c r="E30" s="13"/>
      <c r="F30" s="22">
        <f>IF(D$12=0,0,D30/D$12)</f>
        <v>0.39292979062698707</v>
      </c>
      <c r="G30" s="13"/>
      <c r="H30" s="21">
        <f>H12-H18</f>
        <v>20237</v>
      </c>
      <c r="I30" s="13"/>
      <c r="J30" s="22">
        <f>IF(H$12=0,0,H30/H$12)</f>
        <v>0.39782578780789873</v>
      </c>
      <c r="K30" s="15"/>
      <c r="L30" s="21">
        <f>+D30-H30</f>
        <v>-17876.490000000002</v>
      </c>
      <c r="M30" s="15"/>
      <c r="N30" s="22">
        <f>IF(H30=0,0,L30/H30)</f>
        <v>-0.88335672283441224</v>
      </c>
      <c r="O30" s="25"/>
      <c r="P30" s="21">
        <f>P12-P18</f>
        <v>42697.290000000015</v>
      </c>
      <c r="Q30" s="13"/>
      <c r="R30" s="22">
        <f>IF(P$12=0,0,P30/P$12)</f>
        <v>0.42724727820206154</v>
      </c>
      <c r="S30" s="13"/>
      <c r="T30" s="21">
        <f>T12-T18</f>
        <v>139592</v>
      </c>
      <c r="U30" s="13"/>
      <c r="V30" s="22">
        <f>IF(T$12=0,0,T30/T$12)</f>
        <v>0.43238354246491328</v>
      </c>
      <c r="W30" s="15"/>
      <c r="X30" s="21">
        <f>+P30-T30</f>
        <v>-96894.709999999992</v>
      </c>
      <c r="Y30" s="15"/>
      <c r="Z30" s="22">
        <f>IF(T30=0,0,X30/T30)</f>
        <v>-0.69412795862227061</v>
      </c>
    </row>
    <row r="31" spans="1:26" x14ac:dyDescent="0.3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3">
      <c r="A32" s="10"/>
      <c r="B32" s="25" t="s">
        <v>295</v>
      </c>
      <c r="C32" s="10"/>
      <c r="D32" s="20">
        <f>SUM(OSRRefD22x_0)</f>
        <v>6605.99</v>
      </c>
      <c r="E32" s="20"/>
      <c r="F32" s="33">
        <f t="shared" ref="F32:F41" si="12">IF(D$12=0,0,D32/D$12)</f>
        <v>1.0996311253008759</v>
      </c>
      <c r="G32" s="20"/>
      <c r="H32" s="20">
        <f>SUM(OSRRefH22x_0)</f>
        <v>13374.060864999999</v>
      </c>
      <c r="I32" s="20"/>
      <c r="J32" s="33">
        <f t="shared" ref="J32:J41" si="13">IF(H$12=0,0,H32/H$12)</f>
        <v>0.26291181004147907</v>
      </c>
      <c r="K32" s="4"/>
      <c r="L32" s="20">
        <f t="shared" ref="L32:L41" si="14">+D32-H32</f>
        <v>-6768.0708649999997</v>
      </c>
      <c r="M32" s="4"/>
      <c r="N32" s="33">
        <f t="shared" ref="N32:N41" si="15">IF(H32=0,0,L32/H32)</f>
        <v>-0.50605952323068026</v>
      </c>
      <c r="O32" s="10"/>
      <c r="P32" s="20">
        <f>SUM(OSRRefP22x_0)</f>
        <v>34124.720000000001</v>
      </c>
      <c r="Q32" s="20"/>
      <c r="R32" s="33">
        <f t="shared" ref="R32:R41" si="16">IF(P$12=0,0,P32/P$12)</f>
        <v>0.34146648977973654</v>
      </c>
      <c r="S32" s="20"/>
      <c r="T32" s="20">
        <f>SUM(OSRRefT22x_0)</f>
        <v>80676.599614999999</v>
      </c>
      <c r="U32" s="20"/>
      <c r="V32" s="33">
        <f t="shared" ref="V32:V41" si="17">IF(T$12=0,0,T32/T$12)</f>
        <v>0.24989421983750615</v>
      </c>
      <c r="W32" s="4"/>
      <c r="X32" s="20">
        <f t="shared" ref="X32:X41" si="18">+P32-T32</f>
        <v>-46551.879614999998</v>
      </c>
      <c r="Y32" s="4"/>
      <c r="Z32" s="33">
        <f t="shared" ref="Z32:Z41" si="19">IF(T32=0,0,X32/T32)</f>
        <v>-0.57701836514121896</v>
      </c>
    </row>
    <row r="33" spans="1:26" s="28" customFormat="1" outlineLevel="1" collapsed="1" x14ac:dyDescent="0.3">
      <c r="A33" s="29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SUM(OSRRefD22_0x_0)</f>
        <v>113.92</v>
      </c>
      <c r="E33" s="1"/>
      <c r="F33" s="5">
        <f t="shared" si="12"/>
        <v>1.8963089225729344E-2</v>
      </c>
      <c r="G33" s="1"/>
      <c r="H33" s="1">
        <f>SUM(OSRRefH22_0x_0)</f>
        <v>767.21086500000001</v>
      </c>
      <c r="I33" s="1"/>
      <c r="J33" s="5">
        <f t="shared" si="13"/>
        <v>1.5082090565963553E-2</v>
      </c>
      <c r="K33" s="1"/>
      <c r="L33" s="1">
        <f t="shared" si="14"/>
        <v>-653.29086500000005</v>
      </c>
      <c r="M33" s="1"/>
      <c r="N33" s="5">
        <f t="shared" si="15"/>
        <v>-0.85151409449864879</v>
      </c>
      <c r="O33" s="14"/>
      <c r="P33" s="1">
        <f>SUM(OSRRefP22_0x_0)</f>
        <v>492.72</v>
      </c>
      <c r="Q33" s="1"/>
      <c r="R33" s="5">
        <f t="shared" si="16"/>
        <v>4.9303662812258033E-3</v>
      </c>
      <c r="S33" s="1"/>
      <c r="T33" s="1">
        <f>SUM(OSRRefT22_0x_0)</f>
        <v>5566.7496150000006</v>
      </c>
      <c r="U33" s="1"/>
      <c r="V33" s="5">
        <f t="shared" si="17"/>
        <v>1.7242900155803285E-2</v>
      </c>
      <c r="W33" s="1"/>
      <c r="X33" s="1">
        <f t="shared" si="18"/>
        <v>-5074.0296150000004</v>
      </c>
      <c r="Y33" s="1"/>
      <c r="Z33" s="5">
        <f t="shared" si="19"/>
        <v>-0.91148874404691538</v>
      </c>
    </row>
    <row r="34" spans="1:26" s="24" customFormat="1" hidden="1" outlineLevel="2" x14ac:dyDescent="0.3">
      <c r="A34" s="27"/>
      <c r="B34" s="11" t="str">
        <f>CONCATENATE("          ", "6111", " - ", "F.I.C.A.")</f>
        <v xml:space="preserve">          6111 - F.I.C.A.</v>
      </c>
      <c r="C34" s="11"/>
      <c r="D34" s="7">
        <v>43.64</v>
      </c>
      <c r="E34" s="2"/>
      <c r="F34" s="6">
        <f t="shared" si="12"/>
        <v>7.2643013852776378E-3</v>
      </c>
      <c r="G34" s="2"/>
      <c r="H34" s="7">
        <v>196.52904000000001</v>
      </c>
      <c r="I34" s="2"/>
      <c r="J34" s="6">
        <f t="shared" si="13"/>
        <v>3.8634343116632922E-3</v>
      </c>
      <c r="K34" s="2"/>
      <c r="L34" s="7">
        <f t="shared" si="14"/>
        <v>-152.88904000000002</v>
      </c>
      <c r="M34" s="2"/>
      <c r="N34" s="6">
        <f t="shared" si="15"/>
        <v>-0.77794630249046159</v>
      </c>
      <c r="O34" s="11"/>
      <c r="P34" s="7">
        <v>113.92</v>
      </c>
      <c r="Q34" s="2"/>
      <c r="R34" s="6">
        <f t="shared" si="16"/>
        <v>1.1399320643717395E-3</v>
      </c>
      <c r="S34" s="2"/>
      <c r="T34" s="7">
        <v>2222.6607899999999</v>
      </c>
      <c r="U34" s="2"/>
      <c r="V34" s="6">
        <f t="shared" si="17"/>
        <v>6.8846491638350528E-3</v>
      </c>
      <c r="W34" s="2"/>
      <c r="X34" s="7">
        <f t="shared" si="18"/>
        <v>-2108.7407899999998</v>
      </c>
      <c r="Y34" s="2"/>
      <c r="Z34" s="6">
        <f t="shared" si="19"/>
        <v>-0.94874611523605445</v>
      </c>
    </row>
    <row r="35" spans="1:26" s="24" customFormat="1" hidden="1" outlineLevel="2" x14ac:dyDescent="0.3">
      <c r="A35" s="27"/>
      <c r="B35" s="11" t="str">
        <f>CONCATENATE("          ", "6112", " - ", "COMPENSATION INSURANCE")</f>
        <v xml:space="preserve">          6112 - COMPENSATION INSURANCE</v>
      </c>
      <c r="C35" s="11"/>
      <c r="D35" s="7">
        <v>59.78</v>
      </c>
      <c r="E35" s="2"/>
      <c r="F35" s="6">
        <f t="shared" si="12"/>
        <v>9.950960971858323E-3</v>
      </c>
      <c r="G35" s="2"/>
      <c r="H35" s="7">
        <v>169.84110000000001</v>
      </c>
      <c r="I35" s="2"/>
      <c r="J35" s="6">
        <f t="shared" si="13"/>
        <v>3.33879376437516E-3</v>
      </c>
      <c r="K35" s="2"/>
      <c r="L35" s="7">
        <f t="shared" si="14"/>
        <v>-110.06110000000001</v>
      </c>
      <c r="M35" s="2"/>
      <c r="N35" s="6">
        <f t="shared" si="15"/>
        <v>-0.64802394708936761</v>
      </c>
      <c r="O35" s="11"/>
      <c r="P35" s="7">
        <v>322.2</v>
      </c>
      <c r="Q35" s="2"/>
      <c r="R35" s="6">
        <f t="shared" si="16"/>
        <v>3.2240704980738629E-3</v>
      </c>
      <c r="S35" s="2"/>
      <c r="T35" s="7">
        <v>995.23710000000005</v>
      </c>
      <c r="U35" s="2"/>
      <c r="V35" s="6">
        <f t="shared" si="17"/>
        <v>3.0827278274579285E-3</v>
      </c>
      <c r="W35" s="2"/>
      <c r="X35" s="7">
        <f t="shared" si="18"/>
        <v>-673.03710000000001</v>
      </c>
      <c r="Y35" s="2"/>
      <c r="Z35" s="6">
        <f t="shared" si="19"/>
        <v>-0.67625804946379109</v>
      </c>
    </row>
    <row r="36" spans="1:26" s="24" customFormat="1" hidden="1" outlineLevel="2" x14ac:dyDescent="0.3">
      <c r="A36" s="27"/>
      <c r="B36" s="11" t="str">
        <f>CONCATENATE("          ", "6113", " - ", "GROUP INSURANCE")</f>
        <v xml:space="preserve">          6113 - GROUP INSURANCE</v>
      </c>
      <c r="C36" s="11"/>
      <c r="D36" s="7"/>
      <c r="E36" s="2"/>
      <c r="F36" s="6">
        <f t="shared" si="12"/>
        <v>0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0</v>
      </c>
      <c r="M36" s="2"/>
      <c r="N36" s="6">
        <f t="shared" si="15"/>
        <v>0</v>
      </c>
      <c r="O36" s="11"/>
      <c r="P36" s="7"/>
      <c r="Q36" s="2"/>
      <c r="R36" s="6">
        <f t="shared" si="16"/>
        <v>0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0</v>
      </c>
      <c r="Y36" s="2"/>
      <c r="Z36" s="6">
        <f t="shared" si="19"/>
        <v>0</v>
      </c>
    </row>
    <row r="37" spans="1:26" s="24" customFormat="1" hidden="1" outlineLevel="2" x14ac:dyDescent="0.3">
      <c r="A37" s="27"/>
      <c r="B37" s="11" t="str">
        <f>CONCATENATE("          ", "6114", " - ", "STATE UNEMPLOYMENT INSURANCE")</f>
        <v xml:space="preserve">          6114 - STATE UNEMPLOYMENT INSURANCE</v>
      </c>
      <c r="C37" s="11"/>
      <c r="D37" s="7">
        <v>10.5</v>
      </c>
      <c r="E37" s="2"/>
      <c r="F37" s="6">
        <f t="shared" si="12"/>
        <v>1.7478268685933822E-3</v>
      </c>
      <c r="G37" s="2"/>
      <c r="H37" s="7">
        <v>22.863225</v>
      </c>
      <c r="I37" s="2"/>
      <c r="J37" s="6">
        <f t="shared" si="13"/>
        <v>4.4945300674280997E-4</v>
      </c>
      <c r="K37" s="2"/>
      <c r="L37" s="7">
        <f t="shared" si="14"/>
        <v>-12.363225</v>
      </c>
      <c r="M37" s="2"/>
      <c r="N37" s="6">
        <f t="shared" si="15"/>
        <v>-0.54074720429860612</v>
      </c>
      <c r="O37" s="11"/>
      <c r="P37" s="7">
        <v>56.6</v>
      </c>
      <c r="Q37" s="2"/>
      <c r="R37" s="6">
        <f t="shared" si="16"/>
        <v>5.6636371878020068E-4</v>
      </c>
      <c r="S37" s="2"/>
      <c r="T37" s="7">
        <v>133.97422499999999</v>
      </c>
      <c r="U37" s="2"/>
      <c r="V37" s="6">
        <f t="shared" si="17"/>
        <v>4.1498259215779805E-4</v>
      </c>
      <c r="W37" s="2"/>
      <c r="X37" s="7">
        <f t="shared" si="18"/>
        <v>-77.374224999999996</v>
      </c>
      <c r="Y37" s="2"/>
      <c r="Z37" s="6">
        <f t="shared" si="19"/>
        <v>-0.57753067800914692</v>
      </c>
    </row>
    <row r="38" spans="1:26" s="24" customFormat="1" hidden="1" outlineLevel="2" x14ac:dyDescent="0.3">
      <c r="A38" s="27"/>
      <c r="B38" s="11" t="str">
        <f>CONCATENATE("          ", "6115", " - ", "P.E.R.S.")</f>
        <v xml:space="preserve">          6115 - P.E.R.S.</v>
      </c>
      <c r="C38" s="11"/>
      <c r="D38" s="7"/>
      <c r="E38" s="2"/>
      <c r="F38" s="6">
        <f t="shared" si="12"/>
        <v>0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0</v>
      </c>
      <c r="M38" s="2"/>
      <c r="N38" s="6">
        <f t="shared" si="15"/>
        <v>0</v>
      </c>
      <c r="O38" s="11"/>
      <c r="P38" s="7"/>
      <c r="Q38" s="2"/>
      <c r="R38" s="6">
        <f t="shared" si="16"/>
        <v>0</v>
      </c>
      <c r="S38" s="2"/>
      <c r="T38" s="7">
        <v>0</v>
      </c>
      <c r="U38" s="2"/>
      <c r="V38" s="6">
        <f t="shared" si="17"/>
        <v>0</v>
      </c>
      <c r="W38" s="2"/>
      <c r="X38" s="7">
        <f t="shared" si="18"/>
        <v>0</v>
      </c>
      <c r="Y38" s="2"/>
      <c r="Z38" s="6">
        <f t="shared" si="19"/>
        <v>0</v>
      </c>
    </row>
    <row r="39" spans="1:26" s="24" customFormat="1" hidden="1" outlineLevel="2" x14ac:dyDescent="0.3">
      <c r="A39" s="27"/>
      <c r="B39" s="11" t="str">
        <f>CONCATENATE("          ", "6116", " - ", "EDUCATIONAL BENEFITS")</f>
        <v xml:space="preserve">          6116 - EDUCATIONAL BENEFITS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3">
      <c r="A40" s="27"/>
      <c r="B40" s="11" t="str">
        <f>CONCATENATE("          ", "6118", " - ", "VACATION")</f>
        <v xml:space="preserve">          6118 - VACATION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3">
      <c r="A41" s="27"/>
      <c r="B41" s="11" t="str">
        <f>CONCATENATE("          ", "6119", " - ", "SICK LEAVE")</f>
        <v xml:space="preserve">          6119 - SICK LEAVE</v>
      </c>
      <c r="C41" s="11"/>
      <c r="D41" s="7"/>
      <c r="E41" s="2"/>
      <c r="F41" s="6">
        <f t="shared" si="12"/>
        <v>0</v>
      </c>
      <c r="G41" s="2"/>
      <c r="H41" s="7">
        <v>377.97750000000002</v>
      </c>
      <c r="I41" s="2"/>
      <c r="J41" s="6">
        <f t="shared" si="13"/>
        <v>7.4304094831822926E-3</v>
      </c>
      <c r="K41" s="2"/>
      <c r="L41" s="7">
        <f t="shared" si="14"/>
        <v>-377.97750000000002</v>
      </c>
      <c r="M41" s="2"/>
      <c r="N41" s="6">
        <f t="shared" si="15"/>
        <v>-1</v>
      </c>
      <c r="O41" s="11"/>
      <c r="P41" s="7"/>
      <c r="Q41" s="2"/>
      <c r="R41" s="6">
        <f t="shared" si="16"/>
        <v>0</v>
      </c>
      <c r="S41" s="2"/>
      <c r="T41" s="7">
        <v>2214.8775000000001</v>
      </c>
      <c r="U41" s="2"/>
      <c r="V41" s="6">
        <f t="shared" si="17"/>
        <v>6.8605405723525057E-3</v>
      </c>
      <c r="W41" s="2"/>
      <c r="X41" s="7">
        <f t="shared" si="18"/>
        <v>-2214.8775000000001</v>
      </c>
      <c r="Y41" s="2"/>
      <c r="Z41" s="6">
        <f t="shared" si="19"/>
        <v>-1</v>
      </c>
    </row>
    <row r="42" spans="1:26" s="28" customFormat="1" outlineLevel="1" collapsed="1" x14ac:dyDescent="0.3">
      <c r="A42" s="29"/>
      <c r="B42" s="14" t="str">
        <f>CONCATENATE("     ","*Payroll                                          ")</f>
        <v xml:space="preserve">     *Payroll                                          </v>
      </c>
      <c r="C42" s="14"/>
      <c r="D42" s="1">
        <f>SUM(OSRRefD22_1x_0)</f>
        <v>5010.21</v>
      </c>
      <c r="E42" s="1"/>
      <c r="F42" s="5">
        <f t="shared" ref="F42:F52" si="20">IF(D$12=0,0,D42/D$12)</f>
        <v>0.83399806240907137</v>
      </c>
      <c r="G42" s="1"/>
      <c r="H42" s="1">
        <f>SUM(OSRRefH22_1x_0)</f>
        <v>10758.85</v>
      </c>
      <c r="I42" s="1"/>
      <c r="J42" s="5">
        <f t="shared" ref="J42:J52" si="21">IF(H$12=0,0,H42/H$12)</f>
        <v>0.21150111069610175</v>
      </c>
      <c r="K42" s="1"/>
      <c r="L42" s="1">
        <f t="shared" ref="L42:L52" si="22">+D42-H42</f>
        <v>-5748.64</v>
      </c>
      <c r="M42" s="1"/>
      <c r="N42" s="5">
        <f t="shared" ref="N42:N52" si="23">IF(H42=0,0,L42/H42)</f>
        <v>-0.53431732945435617</v>
      </c>
      <c r="O42" s="14"/>
      <c r="P42" s="1">
        <f>SUM(OSRRefP22_1x_0)</f>
        <v>20805.38</v>
      </c>
      <c r="Q42" s="1"/>
      <c r="R42" s="5">
        <f t="shared" ref="R42:R52" si="24">IF(P$12=0,0,P42/P$12)</f>
        <v>0.20818749801122283</v>
      </c>
      <c r="S42" s="1"/>
      <c r="T42" s="1">
        <f>SUM(OSRRefT22_1x_0)</f>
        <v>63044.85</v>
      </c>
      <c r="U42" s="1"/>
      <c r="V42" s="5">
        <f t="shared" ref="V42:V52" si="25">IF(T$12=0,0,T42/T$12)</f>
        <v>0.19528021360227726</v>
      </c>
      <c r="W42" s="1"/>
      <c r="X42" s="1">
        <f t="shared" ref="X42:X52" si="26">+P42-T42</f>
        <v>-42239.47</v>
      </c>
      <c r="Y42" s="1"/>
      <c r="Z42" s="5">
        <f t="shared" ref="Z42:Z52" si="27">IF(T42=0,0,X42/T42)</f>
        <v>-0.66999080813103695</v>
      </c>
    </row>
    <row r="43" spans="1:26" s="24" customFormat="1" hidden="1" outlineLevel="2" x14ac:dyDescent="0.3">
      <c r="A43" s="27"/>
      <c r="B43" s="11" t="str">
        <f>CONCATENATE("          ", "6001", " - ", "ADMINISTRATIVE SALARIES")</f>
        <v xml:space="preserve">          6001 - ADMINISTRATIVE SALARIES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3">
      <c r="A44" s="27"/>
      <c r="B44" s="11" t="str">
        <f>CONCATENATE("          ", "6002", " - ", "STAFF SALARIES")</f>
        <v xml:space="preserve">          6002 - STAFF SALARIES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3">
      <c r="A45" s="27"/>
      <c r="B45" s="11" t="str">
        <f>CONCATENATE("          ", "6003", " - ", "STAFF HOURLY-9 MONTH")</f>
        <v xml:space="preserve">          6003 - STAFF HOURLY-9 MONTH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3">
      <c r="A46" s="27"/>
      <c r="B46" s="11" t="str">
        <f>CONCATENATE("          ", "6004", " - ", "STAFF HOURLY")</f>
        <v xml:space="preserve">          6004 - STAFF HOURLY</v>
      </c>
      <c r="C46" s="11"/>
      <c r="D46" s="7"/>
      <c r="E46" s="2"/>
      <c r="F46" s="6">
        <f t="shared" si="20"/>
        <v>0</v>
      </c>
      <c r="G46" s="2"/>
      <c r="H46" s="7">
        <v>2439.6</v>
      </c>
      <c r="I46" s="2"/>
      <c r="J46" s="6">
        <f t="shared" si="21"/>
        <v>4.7958481589966385E-2</v>
      </c>
      <c r="K46" s="2"/>
      <c r="L46" s="7">
        <f t="shared" si="22"/>
        <v>-2439.6</v>
      </c>
      <c r="M46" s="2"/>
      <c r="N46" s="6">
        <f t="shared" si="23"/>
        <v>-1</v>
      </c>
      <c r="O46" s="11"/>
      <c r="P46" s="7">
        <v>783.61</v>
      </c>
      <c r="Q46" s="2"/>
      <c r="R46" s="6">
        <f t="shared" si="24"/>
        <v>7.8411355772677223E-3</v>
      </c>
      <c r="S46" s="2"/>
      <c r="T46" s="7">
        <v>14295.6</v>
      </c>
      <c r="U46" s="2"/>
      <c r="V46" s="6">
        <f t="shared" si="25"/>
        <v>4.4280346793952478E-2</v>
      </c>
      <c r="W46" s="2"/>
      <c r="X46" s="7">
        <f t="shared" si="26"/>
        <v>-13511.99</v>
      </c>
      <c r="Y46" s="2"/>
      <c r="Z46" s="6">
        <f t="shared" si="27"/>
        <v>-0.94518523181958081</v>
      </c>
    </row>
    <row r="47" spans="1:26" s="24" customFormat="1" hidden="1" outlineLevel="2" x14ac:dyDescent="0.3">
      <c r="A47" s="27"/>
      <c r="B47" s="11" t="str">
        <f>CONCATENATE("          ", "6005", " - ", "TEMPORARY WAGES-HOURLY")</f>
        <v xml:space="preserve">          6005 - TEMPORARY WAGES-HOURLY</v>
      </c>
      <c r="C47" s="11"/>
      <c r="D47" s="7">
        <v>570.53</v>
      </c>
      <c r="E47" s="2"/>
      <c r="F47" s="6">
        <f t="shared" si="20"/>
        <v>9.4970253651293551E-2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570.53</v>
      </c>
      <c r="M47" s="2"/>
      <c r="N47" s="6">
        <f t="shared" si="23"/>
        <v>0</v>
      </c>
      <c r="O47" s="11"/>
      <c r="P47" s="7">
        <v>705.34</v>
      </c>
      <c r="Q47" s="2"/>
      <c r="R47" s="6">
        <f t="shared" si="24"/>
        <v>7.057932604318494E-3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705.34</v>
      </c>
      <c r="Y47" s="2"/>
      <c r="Z47" s="6">
        <f t="shared" si="27"/>
        <v>0</v>
      </c>
    </row>
    <row r="48" spans="1:26" s="24" customFormat="1" hidden="1" outlineLevel="2" x14ac:dyDescent="0.3">
      <c r="A48" s="27"/>
      <c r="B48" s="11" t="str">
        <f>CONCATENATE("          ", "6006", " - ", "TEMPORARY PART TIME")</f>
        <v xml:space="preserve">          6006 - TEMPORARY PART TIME</v>
      </c>
      <c r="C48" s="11"/>
      <c r="D48" s="7"/>
      <c r="E48" s="2"/>
      <c r="F48" s="6">
        <f t="shared" si="20"/>
        <v>0</v>
      </c>
      <c r="G48" s="2"/>
      <c r="H48" s="7">
        <v>0</v>
      </c>
      <c r="I48" s="2"/>
      <c r="J48" s="6">
        <f t="shared" si="21"/>
        <v>0</v>
      </c>
      <c r="K48" s="2"/>
      <c r="L48" s="7">
        <f t="shared" si="22"/>
        <v>0</v>
      </c>
      <c r="M48" s="2"/>
      <c r="N48" s="6">
        <f t="shared" si="23"/>
        <v>0</v>
      </c>
      <c r="O48" s="11"/>
      <c r="P48" s="7"/>
      <c r="Q48" s="2"/>
      <c r="R48" s="6">
        <f t="shared" si="24"/>
        <v>0</v>
      </c>
      <c r="S48" s="2"/>
      <c r="T48" s="7">
        <v>0</v>
      </c>
      <c r="U48" s="2"/>
      <c r="V48" s="6">
        <f t="shared" si="25"/>
        <v>0</v>
      </c>
      <c r="W48" s="2"/>
      <c r="X48" s="7">
        <f t="shared" si="26"/>
        <v>0</v>
      </c>
      <c r="Y48" s="2"/>
      <c r="Z48" s="6">
        <f t="shared" si="27"/>
        <v>0</v>
      </c>
    </row>
    <row r="49" spans="1:26" s="24" customFormat="1" hidden="1" outlineLevel="2" x14ac:dyDescent="0.3">
      <c r="A49" s="27"/>
      <c r="B49" s="11" t="str">
        <f>CONCATENATE("          ", "6007", " - ", "STUDENT HOURLY")</f>
        <v xml:space="preserve">          6007 - STUDENT HOURLY</v>
      </c>
      <c r="C49" s="11"/>
      <c r="D49" s="7">
        <v>3728</v>
      </c>
      <c r="E49" s="2"/>
      <c r="F49" s="6">
        <f t="shared" si="20"/>
        <v>0.62056176820153608</v>
      </c>
      <c r="G49" s="2"/>
      <c r="H49" s="7">
        <v>0</v>
      </c>
      <c r="I49" s="2"/>
      <c r="J49" s="6">
        <f t="shared" si="21"/>
        <v>0</v>
      </c>
      <c r="K49" s="2"/>
      <c r="L49" s="7">
        <f t="shared" si="22"/>
        <v>3728</v>
      </c>
      <c r="M49" s="2"/>
      <c r="N49" s="6">
        <f t="shared" si="23"/>
        <v>0</v>
      </c>
      <c r="O49" s="11"/>
      <c r="P49" s="7">
        <v>15853.05</v>
      </c>
      <c r="Q49" s="2"/>
      <c r="R49" s="6">
        <f t="shared" si="24"/>
        <v>0.15863237371039682</v>
      </c>
      <c r="S49" s="2"/>
      <c r="T49" s="7">
        <v>13995</v>
      </c>
      <c r="U49" s="2"/>
      <c r="V49" s="6">
        <f t="shared" si="25"/>
        <v>4.3349244059806162E-2</v>
      </c>
      <c r="W49" s="2"/>
      <c r="X49" s="7">
        <f t="shared" si="26"/>
        <v>1858.0499999999993</v>
      </c>
      <c r="Y49" s="2"/>
      <c r="Z49" s="6">
        <f t="shared" si="27"/>
        <v>0.13276527331189705</v>
      </c>
    </row>
    <row r="50" spans="1:26" s="24" customFormat="1" hidden="1" outlineLevel="2" x14ac:dyDescent="0.3">
      <c r="A50" s="27"/>
      <c r="B50" s="11" t="str">
        <f>CONCATENATE("          ", "6008", " - ", "STUDENT HOURLY-FICA EXEMPT")</f>
        <v xml:space="preserve">          6008 - STUDENT HOURLY-FICA EXEMPT</v>
      </c>
      <c r="C50" s="11"/>
      <c r="D50" s="7">
        <v>711.68</v>
      </c>
      <c r="E50" s="2"/>
      <c r="F50" s="6">
        <f t="shared" si="20"/>
        <v>0.11846604055624173</v>
      </c>
      <c r="G50" s="2"/>
      <c r="H50" s="7">
        <v>8319.25</v>
      </c>
      <c r="I50" s="2"/>
      <c r="J50" s="6">
        <f t="shared" si="21"/>
        <v>0.16354262910613537</v>
      </c>
      <c r="K50" s="2"/>
      <c r="L50" s="7">
        <f t="shared" si="22"/>
        <v>-7607.57</v>
      </c>
      <c r="M50" s="2"/>
      <c r="N50" s="6">
        <f t="shared" si="23"/>
        <v>-0.91445382696757516</v>
      </c>
      <c r="O50" s="11"/>
      <c r="P50" s="7">
        <v>3463.38</v>
      </c>
      <c r="Q50" s="2"/>
      <c r="R50" s="6">
        <f t="shared" si="24"/>
        <v>3.4656056119239775E-2</v>
      </c>
      <c r="S50" s="2"/>
      <c r="T50" s="7">
        <v>34754.25</v>
      </c>
      <c r="U50" s="2"/>
      <c r="V50" s="6">
        <f t="shared" si="25"/>
        <v>0.10765062274851862</v>
      </c>
      <c r="W50" s="2"/>
      <c r="X50" s="7">
        <f t="shared" si="26"/>
        <v>-31290.87</v>
      </c>
      <c r="Y50" s="2"/>
      <c r="Z50" s="6">
        <f t="shared" si="27"/>
        <v>-0.90034657631800419</v>
      </c>
    </row>
    <row r="51" spans="1:26" s="24" customFormat="1" hidden="1" outlineLevel="2" x14ac:dyDescent="0.3">
      <c r="A51" s="27"/>
      <c r="B51" s="11" t="str">
        <f>CONCATENATE("          ", "6009", " - ", "TEMPORARY-SEASONAL")</f>
        <v xml:space="preserve">          6009 - TEMPORARY-SEASONAL</v>
      </c>
      <c r="C51" s="11"/>
      <c r="D51" s="7"/>
      <c r="E51" s="2"/>
      <c r="F51" s="6">
        <f t="shared" si="20"/>
        <v>0</v>
      </c>
      <c r="G51" s="2"/>
      <c r="H51" s="7">
        <v>0</v>
      </c>
      <c r="I51" s="2"/>
      <c r="J51" s="6">
        <f t="shared" si="21"/>
        <v>0</v>
      </c>
      <c r="K51" s="2"/>
      <c r="L51" s="7">
        <f t="shared" si="22"/>
        <v>0</v>
      </c>
      <c r="M51" s="2"/>
      <c r="N51" s="6">
        <f t="shared" si="23"/>
        <v>0</v>
      </c>
      <c r="O51" s="11"/>
      <c r="P51" s="7"/>
      <c r="Q51" s="2"/>
      <c r="R51" s="6">
        <f t="shared" si="24"/>
        <v>0</v>
      </c>
      <c r="S51" s="2"/>
      <c r="T51" s="7">
        <v>0</v>
      </c>
      <c r="U51" s="2"/>
      <c r="V51" s="6">
        <f t="shared" si="25"/>
        <v>0</v>
      </c>
      <c r="W51" s="2"/>
      <c r="X51" s="7">
        <f t="shared" si="26"/>
        <v>0</v>
      </c>
      <c r="Y51" s="2"/>
      <c r="Z51" s="6">
        <f t="shared" si="27"/>
        <v>0</v>
      </c>
    </row>
    <row r="52" spans="1:26" s="24" customFormat="1" hidden="1" outlineLevel="2" x14ac:dyDescent="0.3">
      <c r="A52" s="27"/>
      <c r="B52" s="11" t="str">
        <f>CONCATENATE("          ", "6010", " - ", "GRATUITY")</f>
        <v xml:space="preserve">          6010 - GRATUITY</v>
      </c>
      <c r="C52" s="11"/>
      <c r="D52" s="7"/>
      <c r="E52" s="2"/>
      <c r="F52" s="6">
        <f t="shared" si="20"/>
        <v>0</v>
      </c>
      <c r="G52" s="2"/>
      <c r="H52" s="7">
        <v>0</v>
      </c>
      <c r="I52" s="2"/>
      <c r="J52" s="6">
        <f t="shared" si="21"/>
        <v>0</v>
      </c>
      <c r="K52" s="2"/>
      <c r="L52" s="7">
        <f t="shared" si="22"/>
        <v>0</v>
      </c>
      <c r="M52" s="2"/>
      <c r="N52" s="6">
        <f t="shared" si="23"/>
        <v>0</v>
      </c>
      <c r="O52" s="11"/>
      <c r="P52" s="7"/>
      <c r="Q52" s="2"/>
      <c r="R52" s="6">
        <f t="shared" si="24"/>
        <v>0</v>
      </c>
      <c r="S52" s="2"/>
      <c r="T52" s="7">
        <v>0</v>
      </c>
      <c r="U52" s="2"/>
      <c r="V52" s="6">
        <f t="shared" si="25"/>
        <v>0</v>
      </c>
      <c r="W52" s="2"/>
      <c r="X52" s="7">
        <f t="shared" si="26"/>
        <v>0</v>
      </c>
      <c r="Y52" s="2"/>
      <c r="Z52" s="6">
        <f t="shared" si="27"/>
        <v>0</v>
      </c>
    </row>
    <row r="53" spans="1:26" s="28" customFormat="1" outlineLevel="1" collapsed="1" x14ac:dyDescent="0.3">
      <c r="A53" s="29"/>
      <c r="B53" s="14" t="str">
        <f>CONCATENATE("     ","Advertising/Promo                                 ")</f>
        <v xml:space="preserve">     Advertising/Promo                                 </v>
      </c>
      <c r="C53" s="14"/>
      <c r="D53" s="1">
        <f>SUM(OSRRefD22_2x_0)</f>
        <v>480.69</v>
      </c>
      <c r="E53" s="1"/>
      <c r="F53" s="5">
        <f t="shared" ref="F53:F61" si="28">IF(D$12=0,0,D53/D$12)</f>
        <v>8.0015514044205038E-2</v>
      </c>
      <c r="G53" s="1"/>
      <c r="H53" s="1">
        <f>SUM(OSRRefH22_2x_0)</f>
        <v>50</v>
      </c>
      <c r="I53" s="1"/>
      <c r="J53" s="5">
        <f t="shared" ref="J53:J61" si="29">IF(H$12=0,0,H53/H$12)</f>
        <v>9.8291690420491853E-4</v>
      </c>
      <c r="K53" s="1"/>
      <c r="L53" s="1">
        <f t="shared" ref="L53:L61" si="30">+D53-H53</f>
        <v>430.69</v>
      </c>
      <c r="M53" s="1"/>
      <c r="N53" s="5">
        <f t="shared" ref="N53:N61" si="31">IF(H53=0,0,L53/H53)</f>
        <v>8.6137999999999995</v>
      </c>
      <c r="O53" s="14"/>
      <c r="P53" s="1">
        <f>SUM(OSRRefP22_2x_0)</f>
        <v>1669.12</v>
      </c>
      <c r="Q53" s="1"/>
      <c r="R53" s="5">
        <f t="shared" ref="R53:R61" si="32">IF(P$12=0,0,P53/P$12)</f>
        <v>1.670192597686234E-2</v>
      </c>
      <c r="S53" s="1"/>
      <c r="T53" s="1">
        <f>SUM(OSRRefT22_2x_0)</f>
        <v>350</v>
      </c>
      <c r="U53" s="1"/>
      <c r="V53" s="5">
        <f t="shared" ref="V53:V61" si="33">IF(T$12=0,0,T53/T$12)</f>
        <v>1.0841182865975103E-3</v>
      </c>
      <c r="W53" s="1"/>
      <c r="X53" s="1">
        <f t="shared" ref="X53:X61" si="34">+P53-T53</f>
        <v>1319.12</v>
      </c>
      <c r="Y53" s="1"/>
      <c r="Z53" s="5">
        <f t="shared" ref="Z53:Z61" si="35">IF(T53=0,0,X53/T53)</f>
        <v>3.7689142857142852</v>
      </c>
    </row>
    <row r="54" spans="1:26" s="24" customFormat="1" hidden="1" outlineLevel="2" x14ac:dyDescent="0.3">
      <c r="A54" s="27"/>
      <c r="B54" s="11" t="str">
        <f>CONCATENATE("          ", "6362", " - ", "ADVERTISING EXPENSE")</f>
        <v xml:space="preserve">          6362 - ADVERTISING EXPENSE</v>
      </c>
      <c r="C54" s="11"/>
      <c r="D54" s="7">
        <v>480.69</v>
      </c>
      <c r="E54" s="2"/>
      <c r="F54" s="6">
        <f t="shared" si="28"/>
        <v>8.0015514044205038E-2</v>
      </c>
      <c r="G54" s="2"/>
      <c r="H54" s="7">
        <v>50</v>
      </c>
      <c r="I54" s="2"/>
      <c r="J54" s="6">
        <f t="shared" si="29"/>
        <v>9.8291690420491853E-4</v>
      </c>
      <c r="K54" s="2"/>
      <c r="L54" s="7">
        <f t="shared" si="30"/>
        <v>430.69</v>
      </c>
      <c r="M54" s="2"/>
      <c r="N54" s="6">
        <f t="shared" si="31"/>
        <v>8.6137999999999995</v>
      </c>
      <c r="O54" s="11"/>
      <c r="P54" s="7">
        <v>1669.12</v>
      </c>
      <c r="Q54" s="2"/>
      <c r="R54" s="6">
        <f t="shared" si="32"/>
        <v>1.670192597686234E-2</v>
      </c>
      <c r="S54" s="2"/>
      <c r="T54" s="7">
        <v>350</v>
      </c>
      <c r="U54" s="2"/>
      <c r="V54" s="6">
        <f t="shared" si="33"/>
        <v>1.0841182865975103E-3</v>
      </c>
      <c r="W54" s="2"/>
      <c r="X54" s="7">
        <f t="shared" si="34"/>
        <v>1319.12</v>
      </c>
      <c r="Y54" s="2"/>
      <c r="Z54" s="6">
        <f t="shared" si="35"/>
        <v>3.7689142857142852</v>
      </c>
    </row>
    <row r="55" spans="1:26" s="28" customFormat="1" outlineLevel="1" collapsed="1" x14ac:dyDescent="0.3">
      <c r="A55" s="29"/>
      <c r="B55" s="14" t="str">
        <f>CONCATENATE("     ","Bad Debts/Over/Short                              ")</f>
        <v xml:space="preserve">     Bad Debts/Over/Short                              </v>
      </c>
      <c r="C55" s="14"/>
      <c r="D55" s="1">
        <f>SUM(OSRRefD22_3x_0)</f>
        <v>-4.8499999999999996</v>
      </c>
      <c r="E55" s="1"/>
      <c r="F55" s="5">
        <f t="shared" si="28"/>
        <v>-8.0732955358837173E-4</v>
      </c>
      <c r="G55" s="1"/>
      <c r="H55" s="1">
        <f>SUM(OSRRefH22_3x_0)</f>
        <v>25</v>
      </c>
      <c r="I55" s="1"/>
      <c r="J55" s="5">
        <f t="shared" si="29"/>
        <v>4.9145845210245927E-4</v>
      </c>
      <c r="K55" s="1"/>
      <c r="L55" s="1">
        <f t="shared" si="30"/>
        <v>-29.85</v>
      </c>
      <c r="M55" s="1"/>
      <c r="N55" s="5">
        <f t="shared" si="31"/>
        <v>-1.194</v>
      </c>
      <c r="O55" s="14"/>
      <c r="P55" s="1">
        <f>SUM(OSRRefP22_3x_0)</f>
        <v>-8.3000000000000007</v>
      </c>
      <c r="Q55" s="1"/>
      <c r="R55" s="5">
        <f t="shared" si="32"/>
        <v>-8.305333685292696E-5</v>
      </c>
      <c r="S55" s="1"/>
      <c r="T55" s="1">
        <f>SUM(OSRRefT22_3x_0)</f>
        <v>175</v>
      </c>
      <c r="U55" s="1"/>
      <c r="V55" s="5">
        <f t="shared" si="33"/>
        <v>5.4205914329875514E-4</v>
      </c>
      <c r="W55" s="1"/>
      <c r="X55" s="1">
        <f t="shared" si="34"/>
        <v>-183.3</v>
      </c>
      <c r="Y55" s="1"/>
      <c r="Z55" s="5">
        <f t="shared" si="35"/>
        <v>-1.0474285714285716</v>
      </c>
    </row>
    <row r="56" spans="1:26" s="24" customFormat="1" hidden="1" outlineLevel="2" x14ac:dyDescent="0.3">
      <c r="A56" s="27"/>
      <c r="B56" s="11" t="str">
        <f>CONCATENATE("          ", "6272", " - ", "CASH (OVER/SHORT)")</f>
        <v xml:space="preserve">          6272 - CASH (OVER/SHORT)</v>
      </c>
      <c r="C56" s="11"/>
      <c r="D56" s="7">
        <v>-4.8499999999999996</v>
      </c>
      <c r="E56" s="2"/>
      <c r="F56" s="6">
        <f t="shared" si="28"/>
        <v>-8.0732955358837173E-4</v>
      </c>
      <c r="G56" s="2"/>
      <c r="H56" s="7">
        <v>25</v>
      </c>
      <c r="I56" s="2"/>
      <c r="J56" s="6">
        <f t="shared" si="29"/>
        <v>4.9145845210245927E-4</v>
      </c>
      <c r="K56" s="2"/>
      <c r="L56" s="7">
        <f t="shared" si="30"/>
        <v>-29.85</v>
      </c>
      <c r="M56" s="2"/>
      <c r="N56" s="6">
        <f t="shared" si="31"/>
        <v>-1.194</v>
      </c>
      <c r="O56" s="11"/>
      <c r="P56" s="7">
        <v>-8.3000000000000007</v>
      </c>
      <c r="Q56" s="2"/>
      <c r="R56" s="6">
        <f t="shared" si="32"/>
        <v>-8.305333685292696E-5</v>
      </c>
      <c r="S56" s="2"/>
      <c r="T56" s="7">
        <v>175</v>
      </c>
      <c r="U56" s="2"/>
      <c r="V56" s="6">
        <f t="shared" si="33"/>
        <v>5.4205914329875514E-4</v>
      </c>
      <c r="W56" s="2"/>
      <c r="X56" s="7">
        <f t="shared" si="34"/>
        <v>-183.3</v>
      </c>
      <c r="Y56" s="2"/>
      <c r="Z56" s="6">
        <f t="shared" si="35"/>
        <v>-1.0474285714285716</v>
      </c>
    </row>
    <row r="57" spans="1:26" s="28" customFormat="1" outlineLevel="1" collapsed="1" x14ac:dyDescent="0.3">
      <c r="A57" s="29"/>
      <c r="B57" s="14" t="str">
        <f>CONCATENATE("     ","Bank/card Fees                                    ")</f>
        <v xml:space="preserve">     Bank/card Fees                                    </v>
      </c>
      <c r="C57" s="14"/>
      <c r="D57" s="1">
        <f>SUM(OSRRefD22_4x_0)</f>
        <v>0</v>
      </c>
      <c r="E57" s="1"/>
      <c r="F57" s="5">
        <f t="shared" si="28"/>
        <v>0</v>
      </c>
      <c r="G57" s="1"/>
      <c r="H57" s="1">
        <f>SUM(OSRRefH22_4x_0)</f>
        <v>988</v>
      </c>
      <c r="I57" s="1"/>
      <c r="J57" s="5">
        <f t="shared" si="29"/>
        <v>1.9422438027089189E-2</v>
      </c>
      <c r="K57" s="1"/>
      <c r="L57" s="1">
        <f t="shared" si="30"/>
        <v>-988</v>
      </c>
      <c r="M57" s="1"/>
      <c r="N57" s="5">
        <f t="shared" si="31"/>
        <v>-1</v>
      </c>
      <c r="O57" s="14"/>
      <c r="P57" s="1">
        <f>SUM(OSRRefP22_4x_0)</f>
        <v>0</v>
      </c>
      <c r="Q57" s="1"/>
      <c r="R57" s="5">
        <f t="shared" si="32"/>
        <v>0</v>
      </c>
      <c r="S57" s="1"/>
      <c r="T57" s="1">
        <f>SUM(OSRRefT22_4x_0)</f>
        <v>6045</v>
      </c>
      <c r="U57" s="1"/>
      <c r="V57" s="5">
        <f t="shared" si="33"/>
        <v>1.8724271549948428E-2</v>
      </c>
      <c r="W57" s="1"/>
      <c r="X57" s="1">
        <f t="shared" si="34"/>
        <v>-6045</v>
      </c>
      <c r="Y57" s="1"/>
      <c r="Z57" s="5">
        <f t="shared" si="35"/>
        <v>-1</v>
      </c>
    </row>
    <row r="58" spans="1:26" s="24" customFormat="1" hidden="1" outlineLevel="2" x14ac:dyDescent="0.3">
      <c r="A58" s="27"/>
      <c r="B58" s="11" t="str">
        <f>CONCATENATE("          ", "6381", " - ", "BANK/CREDIT CARD FEES")</f>
        <v xml:space="preserve">          6381 - BANK/CREDIT CARD FEES</v>
      </c>
      <c r="C58" s="11"/>
      <c r="D58" s="7"/>
      <c r="E58" s="2"/>
      <c r="F58" s="6">
        <f t="shared" si="28"/>
        <v>0</v>
      </c>
      <c r="G58" s="2"/>
      <c r="H58" s="7">
        <v>988</v>
      </c>
      <c r="I58" s="2"/>
      <c r="J58" s="6">
        <f t="shared" si="29"/>
        <v>1.9422438027089189E-2</v>
      </c>
      <c r="K58" s="2"/>
      <c r="L58" s="7">
        <f t="shared" si="30"/>
        <v>-988</v>
      </c>
      <c r="M58" s="2"/>
      <c r="N58" s="6">
        <f t="shared" si="31"/>
        <v>-1</v>
      </c>
      <c r="O58" s="11"/>
      <c r="P58" s="7"/>
      <c r="Q58" s="2"/>
      <c r="R58" s="6">
        <f t="shared" si="32"/>
        <v>0</v>
      </c>
      <c r="S58" s="2"/>
      <c r="T58" s="7">
        <v>6045</v>
      </c>
      <c r="U58" s="2"/>
      <c r="V58" s="6">
        <f t="shared" si="33"/>
        <v>1.8724271549948428E-2</v>
      </c>
      <c r="W58" s="2"/>
      <c r="X58" s="7">
        <f t="shared" si="34"/>
        <v>-6045</v>
      </c>
      <c r="Y58" s="2"/>
      <c r="Z58" s="6">
        <f t="shared" si="35"/>
        <v>-1</v>
      </c>
    </row>
    <row r="59" spans="1:26" s="28" customFormat="1" outlineLevel="1" collapsed="1" x14ac:dyDescent="0.3">
      <c r="A59" s="29"/>
      <c r="B59" s="14" t="str">
        <f>CONCATENATE("     ","Discounts and Markdowns                           ")</f>
        <v xml:space="preserve">     Discounts and Markdowns                           </v>
      </c>
      <c r="C59" s="14"/>
      <c r="D59" s="1">
        <f>SUM(OSRRefD22_5x_0)</f>
        <v>27.91</v>
      </c>
      <c r="E59" s="1"/>
      <c r="F59" s="5">
        <f t="shared" si="28"/>
        <v>4.6458902764229806E-3</v>
      </c>
      <c r="G59" s="1"/>
      <c r="H59" s="1">
        <f>SUM(OSRRefH22_5x_0)</f>
        <v>0</v>
      </c>
      <c r="I59" s="1"/>
      <c r="J59" s="5">
        <f t="shared" si="29"/>
        <v>0</v>
      </c>
      <c r="K59" s="1"/>
      <c r="L59" s="1">
        <f t="shared" si="30"/>
        <v>27.91</v>
      </c>
      <c r="M59" s="1"/>
      <c r="N59" s="5">
        <f t="shared" si="31"/>
        <v>0</v>
      </c>
      <c r="O59" s="14"/>
      <c r="P59" s="1">
        <f>SUM(OSRRefP22_5x_0)</f>
        <v>-0.98</v>
      </c>
      <c r="Q59" s="1"/>
      <c r="R59" s="5">
        <f t="shared" si="32"/>
        <v>-9.8062976043214954E-6</v>
      </c>
      <c r="S59" s="1"/>
      <c r="T59" s="1">
        <f>SUM(OSRRefT22_5x_0)</f>
        <v>0</v>
      </c>
      <c r="U59" s="1"/>
      <c r="V59" s="5">
        <f t="shared" si="33"/>
        <v>0</v>
      </c>
      <c r="W59" s="1"/>
      <c r="X59" s="1">
        <f t="shared" si="34"/>
        <v>-0.98</v>
      </c>
      <c r="Y59" s="1"/>
      <c r="Z59" s="5">
        <f t="shared" si="35"/>
        <v>0</v>
      </c>
    </row>
    <row r="60" spans="1:26" s="24" customFormat="1" hidden="1" outlineLevel="2" x14ac:dyDescent="0.3">
      <c r="A60" s="27"/>
      <c r="B60" s="11" t="str">
        <f>CONCATENATE("          ", "6382", " - ", "DISCOUNTS/MARK DOWNS")</f>
        <v xml:space="preserve">          6382 - DISCOUNTS/MARK DOWNS</v>
      </c>
      <c r="C60" s="11"/>
      <c r="D60" s="7"/>
      <c r="E60" s="2"/>
      <c r="F60" s="6">
        <f t="shared" si="28"/>
        <v>0</v>
      </c>
      <c r="G60" s="2"/>
      <c r="H60" s="7"/>
      <c r="I60" s="2"/>
      <c r="J60" s="6">
        <f t="shared" si="29"/>
        <v>0</v>
      </c>
      <c r="K60" s="2"/>
      <c r="L60" s="7">
        <f t="shared" si="30"/>
        <v>0</v>
      </c>
      <c r="M60" s="2"/>
      <c r="N60" s="6">
        <f t="shared" si="31"/>
        <v>0</v>
      </c>
      <c r="O60" s="11"/>
      <c r="P60" s="7"/>
      <c r="Q60" s="2"/>
      <c r="R60" s="6">
        <f t="shared" si="32"/>
        <v>0</v>
      </c>
      <c r="S60" s="2"/>
      <c r="T60" s="7">
        <v>0</v>
      </c>
      <c r="U60" s="2"/>
      <c r="V60" s="6">
        <f t="shared" si="33"/>
        <v>0</v>
      </c>
      <c r="W60" s="2"/>
      <c r="X60" s="7">
        <f t="shared" si="34"/>
        <v>0</v>
      </c>
      <c r="Y60" s="2"/>
      <c r="Z60" s="6">
        <f t="shared" si="35"/>
        <v>0</v>
      </c>
    </row>
    <row r="61" spans="1:26" s="24" customFormat="1" hidden="1" outlineLevel="2" x14ac:dyDescent="0.3">
      <c r="A61" s="27"/>
      <c r="B61" s="11" t="str">
        <f>CONCATENATE("          ", "9175", " - ", "EARNED DISCOUNTS")</f>
        <v xml:space="preserve">          9175 - EARNED DISCOUNTS</v>
      </c>
      <c r="C61" s="11"/>
      <c r="D61" s="7">
        <v>27.91</v>
      </c>
      <c r="E61" s="2"/>
      <c r="F61" s="6">
        <f t="shared" si="28"/>
        <v>4.6458902764229806E-3</v>
      </c>
      <c r="G61" s="2"/>
      <c r="H61" s="7"/>
      <c r="I61" s="2"/>
      <c r="J61" s="6">
        <f t="shared" si="29"/>
        <v>0</v>
      </c>
      <c r="K61" s="2"/>
      <c r="L61" s="7">
        <f t="shared" si="30"/>
        <v>27.91</v>
      </c>
      <c r="M61" s="2"/>
      <c r="N61" s="6">
        <f t="shared" si="31"/>
        <v>0</v>
      </c>
      <c r="O61" s="11"/>
      <c r="P61" s="7">
        <v>-0.98</v>
      </c>
      <c r="Q61" s="2"/>
      <c r="R61" s="6">
        <f t="shared" si="32"/>
        <v>-9.8062976043214954E-6</v>
      </c>
      <c r="S61" s="2"/>
      <c r="T61" s="7"/>
      <c r="U61" s="2"/>
      <c r="V61" s="6">
        <f t="shared" si="33"/>
        <v>0</v>
      </c>
      <c r="W61" s="2"/>
      <c r="X61" s="7">
        <f t="shared" si="34"/>
        <v>-0.98</v>
      </c>
      <c r="Y61" s="2"/>
      <c r="Z61" s="6">
        <f t="shared" si="35"/>
        <v>0</v>
      </c>
    </row>
    <row r="62" spans="1:26" s="28" customFormat="1" outlineLevel="1" collapsed="1" x14ac:dyDescent="0.3">
      <c r="A62" s="29"/>
      <c r="B62" s="14" t="str">
        <f>CONCATENATE("     ","Freight out/Postage                               ")</f>
        <v xml:space="preserve">     Freight out/Postage                               </v>
      </c>
      <c r="C62" s="14"/>
      <c r="D62" s="1">
        <f>SUM(OSRRefD22_6x_0)</f>
        <v>0</v>
      </c>
      <c r="E62" s="1"/>
      <c r="F62" s="5">
        <f t="shared" ref="F62:F70" si="36">IF(D$12=0,0,D62/D$12)</f>
        <v>0</v>
      </c>
      <c r="G62" s="1"/>
      <c r="H62" s="1">
        <f>SUM(OSRRefH22_6x_0)</f>
        <v>0</v>
      </c>
      <c r="I62" s="1"/>
      <c r="J62" s="5">
        <f t="shared" ref="J62:J70" si="37">IF(H$12=0,0,H62/H$12)</f>
        <v>0</v>
      </c>
      <c r="K62" s="1"/>
      <c r="L62" s="1">
        <f t="shared" ref="L62:L70" si="38">+D62-H62</f>
        <v>0</v>
      </c>
      <c r="M62" s="1"/>
      <c r="N62" s="5">
        <f t="shared" ref="N62:N70" si="39">IF(H62=0,0,L62/H62)</f>
        <v>0</v>
      </c>
      <c r="O62" s="14"/>
      <c r="P62" s="1">
        <f>SUM(OSRRefP22_6x_0)</f>
        <v>54.5</v>
      </c>
      <c r="Q62" s="1"/>
      <c r="R62" s="5">
        <f t="shared" ref="R62:R70" si="40">IF(P$12=0,0,P62/P$12)</f>
        <v>5.4535022391379744E-4</v>
      </c>
      <c r="S62" s="1"/>
      <c r="T62" s="1">
        <f>SUM(OSRRefT22_6x_0)</f>
        <v>0</v>
      </c>
      <c r="U62" s="1"/>
      <c r="V62" s="5">
        <f t="shared" ref="V62:V70" si="41">IF(T$12=0,0,T62/T$12)</f>
        <v>0</v>
      </c>
      <c r="W62" s="1"/>
      <c r="X62" s="1">
        <f t="shared" ref="X62:X70" si="42">+P62-T62</f>
        <v>54.5</v>
      </c>
      <c r="Y62" s="1"/>
      <c r="Z62" s="5">
        <f t="shared" ref="Z62:Z70" si="43">IF(T62=0,0,X62/T62)</f>
        <v>0</v>
      </c>
    </row>
    <row r="63" spans="1:26" s="24" customFormat="1" hidden="1" outlineLevel="2" x14ac:dyDescent="0.3">
      <c r="A63" s="27"/>
      <c r="B63" s="11" t="str">
        <f>CONCATENATE("          ", "6307", " - ", "POSTAGE")</f>
        <v xml:space="preserve">          6307 - POSTAGE</v>
      </c>
      <c r="C63" s="11"/>
      <c r="D63" s="7"/>
      <c r="E63" s="2"/>
      <c r="F63" s="6">
        <f t="shared" si="36"/>
        <v>0</v>
      </c>
      <c r="G63" s="2"/>
      <c r="H63" s="7"/>
      <c r="I63" s="2"/>
      <c r="J63" s="6">
        <f t="shared" si="37"/>
        <v>0</v>
      </c>
      <c r="K63" s="2"/>
      <c r="L63" s="7">
        <f t="shared" si="38"/>
        <v>0</v>
      </c>
      <c r="M63" s="2"/>
      <c r="N63" s="6">
        <f t="shared" si="39"/>
        <v>0</v>
      </c>
      <c r="O63" s="11"/>
      <c r="P63" s="7">
        <v>54.5</v>
      </c>
      <c r="Q63" s="2"/>
      <c r="R63" s="6">
        <f t="shared" si="40"/>
        <v>5.4535022391379744E-4</v>
      </c>
      <c r="S63" s="2"/>
      <c r="T63" s="7"/>
      <c r="U63" s="2"/>
      <c r="V63" s="6">
        <f t="shared" si="41"/>
        <v>0</v>
      </c>
      <c r="W63" s="2"/>
      <c r="X63" s="7">
        <f t="shared" si="42"/>
        <v>54.5</v>
      </c>
      <c r="Y63" s="2"/>
      <c r="Z63" s="6">
        <f t="shared" si="43"/>
        <v>0</v>
      </c>
    </row>
    <row r="64" spans="1:26" s="28" customFormat="1" outlineLevel="1" collapsed="1" x14ac:dyDescent="0.3">
      <c r="A64" s="29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SUM(OSRRefD22_7x_0)</f>
        <v>0</v>
      </c>
      <c r="E64" s="1"/>
      <c r="F64" s="5">
        <f t="shared" si="36"/>
        <v>0</v>
      </c>
      <c r="G64" s="1"/>
      <c r="H64" s="1">
        <f>SUM(OSRRefH22_7x_0)</f>
        <v>0</v>
      </c>
      <c r="I64" s="1"/>
      <c r="J64" s="5">
        <f t="shared" si="37"/>
        <v>0</v>
      </c>
      <c r="K64" s="1"/>
      <c r="L64" s="1">
        <f t="shared" si="38"/>
        <v>0</v>
      </c>
      <c r="M64" s="1"/>
      <c r="N64" s="5">
        <f t="shared" si="39"/>
        <v>0</v>
      </c>
      <c r="O64" s="14"/>
      <c r="P64" s="1">
        <f>SUM(OSRRefP22_7x_0)</f>
        <v>388.04</v>
      </c>
      <c r="Q64" s="1"/>
      <c r="R64" s="5">
        <f t="shared" si="40"/>
        <v>3.8828935942662379E-3</v>
      </c>
      <c r="S64" s="1"/>
      <c r="T64" s="1">
        <f>SUM(OSRRefT22_7x_0)</f>
        <v>0</v>
      </c>
      <c r="U64" s="1"/>
      <c r="V64" s="5">
        <f t="shared" si="41"/>
        <v>0</v>
      </c>
      <c r="W64" s="1"/>
      <c r="X64" s="1">
        <f t="shared" si="42"/>
        <v>388.04</v>
      </c>
      <c r="Y64" s="1"/>
      <c r="Z64" s="5">
        <f t="shared" si="43"/>
        <v>0</v>
      </c>
    </row>
    <row r="65" spans="1:26" s="24" customFormat="1" hidden="1" outlineLevel="2" x14ac:dyDescent="0.3">
      <c r="A65" s="27"/>
      <c r="B65" s="11" t="str">
        <f>CONCATENATE("          ", "6279", " - ", "GENERAL EXPENSE")</f>
        <v xml:space="preserve">          6279 - GENERAL EXPENSE</v>
      </c>
      <c r="C65" s="11"/>
      <c r="D65" s="7"/>
      <c r="E65" s="2"/>
      <c r="F65" s="6">
        <f t="shared" si="36"/>
        <v>0</v>
      </c>
      <c r="G65" s="2"/>
      <c r="H65" s="7">
        <v>0</v>
      </c>
      <c r="I65" s="2"/>
      <c r="J65" s="6">
        <f t="shared" si="37"/>
        <v>0</v>
      </c>
      <c r="K65" s="2"/>
      <c r="L65" s="7">
        <f t="shared" si="38"/>
        <v>0</v>
      </c>
      <c r="M65" s="2"/>
      <c r="N65" s="6">
        <f t="shared" si="39"/>
        <v>0</v>
      </c>
      <c r="O65" s="11"/>
      <c r="P65" s="7">
        <v>388.04</v>
      </c>
      <c r="Q65" s="2"/>
      <c r="R65" s="6">
        <f t="shared" si="40"/>
        <v>3.8828935942662379E-3</v>
      </c>
      <c r="S65" s="2"/>
      <c r="T65" s="7">
        <v>0</v>
      </c>
      <c r="U65" s="2"/>
      <c r="V65" s="6">
        <f t="shared" si="41"/>
        <v>0</v>
      </c>
      <c r="W65" s="2"/>
      <c r="X65" s="7">
        <f t="shared" si="42"/>
        <v>388.04</v>
      </c>
      <c r="Y65" s="2"/>
      <c r="Z65" s="6">
        <f t="shared" si="43"/>
        <v>0</v>
      </c>
    </row>
    <row r="66" spans="1:26" s="28" customFormat="1" outlineLevel="1" collapsed="1" x14ac:dyDescent="0.3">
      <c r="A66" s="29"/>
      <c r="B66" s="14" t="str">
        <f>CONCATENATE("     ","Inventory Adjustment                              ")</f>
        <v xml:space="preserve">     Inventory Adjustment                              </v>
      </c>
      <c r="C66" s="14"/>
      <c r="D66" s="1">
        <f>SUM(OSRRefD22_8x_0)</f>
        <v>650</v>
      </c>
      <c r="E66" s="1"/>
      <c r="F66" s="5">
        <f t="shared" si="36"/>
        <v>0.1081988061510189</v>
      </c>
      <c r="G66" s="1"/>
      <c r="H66" s="1">
        <f>SUM(OSRRefH22_8x_0)</f>
        <v>650</v>
      </c>
      <c r="I66" s="1"/>
      <c r="J66" s="5">
        <f t="shared" si="37"/>
        <v>1.2777919754663941E-2</v>
      </c>
      <c r="K66" s="1"/>
      <c r="L66" s="1">
        <f t="shared" si="38"/>
        <v>0</v>
      </c>
      <c r="M66" s="1"/>
      <c r="N66" s="5">
        <f t="shared" si="39"/>
        <v>0</v>
      </c>
      <c r="O66" s="14"/>
      <c r="P66" s="1">
        <f>SUM(OSRRefP22_8x_0)</f>
        <v>4550</v>
      </c>
      <c r="Q66" s="1"/>
      <c r="R66" s="5">
        <f t="shared" si="40"/>
        <v>4.5529238877206946E-2</v>
      </c>
      <c r="S66" s="1"/>
      <c r="T66" s="1">
        <f>SUM(OSRRefT22_8x_0)</f>
        <v>4550</v>
      </c>
      <c r="U66" s="1"/>
      <c r="V66" s="5">
        <f t="shared" si="41"/>
        <v>1.4093537725767633E-2</v>
      </c>
      <c r="W66" s="1"/>
      <c r="X66" s="1">
        <f t="shared" si="42"/>
        <v>0</v>
      </c>
      <c r="Y66" s="1"/>
      <c r="Z66" s="5">
        <f t="shared" si="43"/>
        <v>0</v>
      </c>
    </row>
    <row r="67" spans="1:26" s="24" customFormat="1" hidden="1" outlineLevel="2" x14ac:dyDescent="0.3">
      <c r="A67" s="27"/>
      <c r="B67" s="11" t="str">
        <f>CONCATENATE("          ", "6408", " - ", "INVENTORY ADJUSTMENT")</f>
        <v xml:space="preserve">          6408 - INVENTORY ADJUSTMENT</v>
      </c>
      <c r="C67" s="11"/>
      <c r="D67" s="7">
        <v>650</v>
      </c>
      <c r="E67" s="2"/>
      <c r="F67" s="6">
        <f t="shared" si="36"/>
        <v>0.1081988061510189</v>
      </c>
      <c r="G67" s="2"/>
      <c r="H67" s="7">
        <v>650</v>
      </c>
      <c r="I67" s="2"/>
      <c r="J67" s="6">
        <f t="shared" si="37"/>
        <v>1.2777919754663941E-2</v>
      </c>
      <c r="K67" s="2"/>
      <c r="L67" s="7">
        <f t="shared" si="38"/>
        <v>0</v>
      </c>
      <c r="M67" s="2"/>
      <c r="N67" s="6">
        <f t="shared" si="39"/>
        <v>0</v>
      </c>
      <c r="O67" s="11"/>
      <c r="P67" s="7">
        <v>4550</v>
      </c>
      <c r="Q67" s="2"/>
      <c r="R67" s="6">
        <f t="shared" si="40"/>
        <v>4.5529238877206946E-2</v>
      </c>
      <c r="S67" s="2"/>
      <c r="T67" s="7">
        <v>4550</v>
      </c>
      <c r="U67" s="2"/>
      <c r="V67" s="6">
        <f t="shared" si="41"/>
        <v>1.4093537725767633E-2</v>
      </c>
      <c r="W67" s="2"/>
      <c r="X67" s="7">
        <f t="shared" si="42"/>
        <v>0</v>
      </c>
      <c r="Y67" s="2"/>
      <c r="Z67" s="6">
        <f t="shared" si="43"/>
        <v>0</v>
      </c>
    </row>
    <row r="68" spans="1:26" s="28" customFormat="1" outlineLevel="1" collapsed="1" x14ac:dyDescent="0.3">
      <c r="A68" s="29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SUM(OSRRefD22_9x_0)</f>
        <v>0</v>
      </c>
      <c r="E68" s="1"/>
      <c r="F68" s="5">
        <f t="shared" si="36"/>
        <v>0</v>
      </c>
      <c r="G68" s="1"/>
      <c r="H68" s="1">
        <f>SUM(OSRRefH22_9x_0)</f>
        <v>0</v>
      </c>
      <c r="I68" s="1"/>
      <c r="J68" s="5">
        <f t="shared" si="37"/>
        <v>0</v>
      </c>
      <c r="K68" s="1"/>
      <c r="L68" s="1">
        <f t="shared" si="38"/>
        <v>0</v>
      </c>
      <c r="M68" s="1"/>
      <c r="N68" s="5">
        <f t="shared" si="39"/>
        <v>0</v>
      </c>
      <c r="O68" s="14"/>
      <c r="P68" s="1">
        <f>SUM(OSRRefP22_9x_0)</f>
        <v>383.39</v>
      </c>
      <c r="Q68" s="1"/>
      <c r="R68" s="5">
        <f t="shared" si="40"/>
        <v>3.8363637127763451E-3</v>
      </c>
      <c r="S68" s="1"/>
      <c r="T68" s="1">
        <f>SUM(OSRRefT22_9x_0)</f>
        <v>0</v>
      </c>
      <c r="U68" s="1"/>
      <c r="V68" s="5">
        <f t="shared" si="41"/>
        <v>0</v>
      </c>
      <c r="W68" s="1"/>
      <c r="X68" s="1">
        <f t="shared" si="42"/>
        <v>383.39</v>
      </c>
      <c r="Y68" s="1"/>
      <c r="Z68" s="5">
        <f t="shared" si="43"/>
        <v>0</v>
      </c>
    </row>
    <row r="69" spans="1:26" s="24" customFormat="1" hidden="1" outlineLevel="2" x14ac:dyDescent="0.3">
      <c r="A69" s="27"/>
      <c r="B69" s="11" t="str">
        <f>CONCATENATE("          ", "6373", " - ", "MAINTENANCE CONTRACTS")</f>
        <v xml:space="preserve">          6373 - MAINTENANCE CONTRACTS</v>
      </c>
      <c r="C69" s="11"/>
      <c r="D69" s="7"/>
      <c r="E69" s="2"/>
      <c r="F69" s="6">
        <f t="shared" si="36"/>
        <v>0</v>
      </c>
      <c r="G69" s="2"/>
      <c r="H69" s="7"/>
      <c r="I69" s="2"/>
      <c r="J69" s="6">
        <f t="shared" si="37"/>
        <v>0</v>
      </c>
      <c r="K69" s="2"/>
      <c r="L69" s="7">
        <f t="shared" si="38"/>
        <v>0</v>
      </c>
      <c r="M69" s="2"/>
      <c r="N69" s="6">
        <f t="shared" si="39"/>
        <v>0</v>
      </c>
      <c r="O69" s="11"/>
      <c r="P69" s="7">
        <v>200.17</v>
      </c>
      <c r="Q69" s="2"/>
      <c r="R69" s="6">
        <f t="shared" si="40"/>
        <v>2.0029863178132996E-3</v>
      </c>
      <c r="S69" s="2"/>
      <c r="T69" s="7"/>
      <c r="U69" s="2"/>
      <c r="V69" s="6">
        <f t="shared" si="41"/>
        <v>0</v>
      </c>
      <c r="W69" s="2"/>
      <c r="X69" s="7">
        <f t="shared" si="42"/>
        <v>200.17</v>
      </c>
      <c r="Y69" s="2"/>
      <c r="Z69" s="6">
        <f t="shared" si="43"/>
        <v>0</v>
      </c>
    </row>
    <row r="70" spans="1:26" s="24" customFormat="1" hidden="1" outlineLevel="2" x14ac:dyDescent="0.3">
      <c r="A70" s="27"/>
      <c r="B70" s="11" t="str">
        <f>CONCATENATE("          ", "6375", " - ", "OUTSIDE REPAIRS &amp; MAINTENANCE")</f>
        <v xml:space="preserve">          6375 - OUTSIDE REPAIRS &amp; MAINTENANCE</v>
      </c>
      <c r="C70" s="11"/>
      <c r="D70" s="7"/>
      <c r="E70" s="2"/>
      <c r="F70" s="6">
        <f t="shared" si="36"/>
        <v>0</v>
      </c>
      <c r="G70" s="2"/>
      <c r="H70" s="7"/>
      <c r="I70" s="2"/>
      <c r="J70" s="6">
        <f t="shared" si="37"/>
        <v>0</v>
      </c>
      <c r="K70" s="2"/>
      <c r="L70" s="7">
        <f t="shared" si="38"/>
        <v>0</v>
      </c>
      <c r="M70" s="2"/>
      <c r="N70" s="6">
        <f t="shared" si="39"/>
        <v>0</v>
      </c>
      <c r="O70" s="11"/>
      <c r="P70" s="7">
        <v>183.22</v>
      </c>
      <c r="Q70" s="2"/>
      <c r="R70" s="6">
        <f t="shared" si="40"/>
        <v>1.8333773949630453E-3</v>
      </c>
      <c r="S70" s="2"/>
      <c r="T70" s="7"/>
      <c r="U70" s="2"/>
      <c r="V70" s="6">
        <f t="shared" si="41"/>
        <v>0</v>
      </c>
      <c r="W70" s="2"/>
      <c r="X70" s="7">
        <f t="shared" si="42"/>
        <v>183.22</v>
      </c>
      <c r="Y70" s="2"/>
      <c r="Z70" s="6">
        <f t="shared" si="43"/>
        <v>0</v>
      </c>
    </row>
    <row r="71" spans="1:26" s="28" customFormat="1" outlineLevel="1" collapsed="1" x14ac:dyDescent="0.3">
      <c r="A71" s="29"/>
      <c r="B71" s="14" t="str">
        <f>CONCATENATE("     ","Services                                          ")</f>
        <v xml:space="preserve">     Services                                          </v>
      </c>
      <c r="C71" s="14"/>
      <c r="D71" s="1">
        <f>SUM(OSRRefD22_10x_0)</f>
        <v>287.97000000000003</v>
      </c>
      <c r="E71" s="1"/>
      <c r="F71" s="5">
        <f t="shared" ref="F71:F73" si="44">IF(D$12=0,0,D71/D$12)</f>
        <v>4.793540031893679E-2</v>
      </c>
      <c r="G71" s="1"/>
      <c r="H71" s="1">
        <f>SUM(OSRRefH22_10x_0)</f>
        <v>0</v>
      </c>
      <c r="I71" s="1"/>
      <c r="J71" s="5">
        <f t="shared" ref="J71:J73" si="45">IF(H$12=0,0,H71/H$12)</f>
        <v>0</v>
      </c>
      <c r="K71" s="1"/>
      <c r="L71" s="1">
        <f t="shared" ref="L71:L73" si="46">+D71-H71</f>
        <v>287.97000000000003</v>
      </c>
      <c r="M71" s="1"/>
      <c r="N71" s="5">
        <f t="shared" ref="N71:N73" si="47">IF(H71=0,0,L71/H71)</f>
        <v>0</v>
      </c>
      <c r="O71" s="14"/>
      <c r="P71" s="1">
        <f>SUM(OSRRefP22_10x_0)</f>
        <v>3725.22</v>
      </c>
      <c r="Q71" s="1"/>
      <c r="R71" s="5">
        <f t="shared" ref="R71:R73" si="48">IF(P$12=0,0,P71/P$12)</f>
        <v>3.7276138736296448E-2</v>
      </c>
      <c r="S71" s="1"/>
      <c r="T71" s="1">
        <f>SUM(OSRRefT22_10x_0)</f>
        <v>0</v>
      </c>
      <c r="U71" s="1"/>
      <c r="V71" s="5">
        <f t="shared" ref="V71:V73" si="49">IF(T$12=0,0,T71/T$12)</f>
        <v>0</v>
      </c>
      <c r="W71" s="1"/>
      <c r="X71" s="1">
        <f t="shared" ref="X71:X73" si="50">+P71-T71</f>
        <v>3725.22</v>
      </c>
      <c r="Y71" s="1"/>
      <c r="Z71" s="5">
        <f t="shared" ref="Z71:Z73" si="51">IF(T71=0,0,X71/T71)</f>
        <v>0</v>
      </c>
    </row>
    <row r="72" spans="1:26" s="24" customFormat="1" hidden="1" outlineLevel="2" x14ac:dyDescent="0.3">
      <c r="A72" s="27"/>
      <c r="B72" s="11" t="str">
        <f>CONCATENATE("          ", "6282", " - ", "JANITORIAL/EXTERMINATOR EXPENS")</f>
        <v xml:space="preserve">          6282 - JANITORIAL/EXTERMINATOR EXPENS</v>
      </c>
      <c r="C72" s="11"/>
      <c r="D72" s="7">
        <v>69</v>
      </c>
      <c r="E72" s="2"/>
      <c r="F72" s="6">
        <f t="shared" si="44"/>
        <v>1.1485719422185084E-2</v>
      </c>
      <c r="G72" s="2"/>
      <c r="H72" s="7"/>
      <c r="I72" s="2"/>
      <c r="J72" s="6">
        <f t="shared" si="45"/>
        <v>0</v>
      </c>
      <c r="K72" s="2"/>
      <c r="L72" s="7">
        <f t="shared" si="46"/>
        <v>69</v>
      </c>
      <c r="M72" s="2"/>
      <c r="N72" s="6">
        <f t="shared" si="47"/>
        <v>0</v>
      </c>
      <c r="O72" s="11"/>
      <c r="P72" s="7">
        <v>698.6</v>
      </c>
      <c r="Q72" s="2"/>
      <c r="R72" s="6">
        <f t="shared" si="48"/>
        <v>6.9904892922234658E-3</v>
      </c>
      <c r="S72" s="2"/>
      <c r="T72" s="7"/>
      <c r="U72" s="2"/>
      <c r="V72" s="6">
        <f t="shared" si="49"/>
        <v>0</v>
      </c>
      <c r="W72" s="2"/>
      <c r="X72" s="7">
        <f t="shared" si="50"/>
        <v>698.6</v>
      </c>
      <c r="Y72" s="2"/>
      <c r="Z72" s="6">
        <f t="shared" si="51"/>
        <v>0</v>
      </c>
    </row>
    <row r="73" spans="1:26" s="24" customFormat="1" hidden="1" outlineLevel="2" x14ac:dyDescent="0.3">
      <c r="A73" s="27"/>
      <c r="B73" s="11" t="str">
        <f>CONCATENATE("          ", "6285", " - ", "JANITORIAL SERVICES")</f>
        <v xml:space="preserve">          6285 - JANITORIAL SERVICES</v>
      </c>
      <c r="C73" s="11"/>
      <c r="D73" s="7">
        <v>218.97</v>
      </c>
      <c r="E73" s="2"/>
      <c r="F73" s="6">
        <f t="shared" si="44"/>
        <v>3.6449680896751706E-2</v>
      </c>
      <c r="G73" s="2"/>
      <c r="H73" s="7"/>
      <c r="I73" s="2"/>
      <c r="J73" s="6">
        <f t="shared" si="45"/>
        <v>0</v>
      </c>
      <c r="K73" s="2"/>
      <c r="L73" s="7">
        <f t="shared" si="46"/>
        <v>218.97</v>
      </c>
      <c r="M73" s="2"/>
      <c r="N73" s="6">
        <f t="shared" si="47"/>
        <v>0</v>
      </c>
      <c r="O73" s="11"/>
      <c r="P73" s="7">
        <v>3026.62</v>
      </c>
      <c r="Q73" s="2"/>
      <c r="R73" s="6">
        <f t="shared" si="48"/>
        <v>3.0285649444072985E-2</v>
      </c>
      <c r="S73" s="2"/>
      <c r="T73" s="7"/>
      <c r="U73" s="2"/>
      <c r="V73" s="6">
        <f t="shared" si="49"/>
        <v>0</v>
      </c>
      <c r="W73" s="2"/>
      <c r="X73" s="7">
        <f t="shared" si="50"/>
        <v>3026.62</v>
      </c>
      <c r="Y73" s="2"/>
      <c r="Z73" s="6">
        <f t="shared" si="51"/>
        <v>0</v>
      </c>
    </row>
    <row r="74" spans="1:26" s="28" customFormat="1" outlineLevel="1" collapsed="1" x14ac:dyDescent="0.3">
      <c r="A74" s="29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SUM(OSRRefD22_11x_0)</f>
        <v>0</v>
      </c>
      <c r="E74" s="1"/>
      <c r="F74" s="5">
        <f t="shared" ref="F74:F78" si="52">IF(D$12=0,0,D74/D$12)</f>
        <v>0</v>
      </c>
      <c r="G74" s="1"/>
      <c r="H74" s="1">
        <f>SUM(OSRRefH22_11x_0)</f>
        <v>75</v>
      </c>
      <c r="I74" s="1"/>
      <c r="J74" s="5">
        <f t="shared" ref="J74:J78" si="53">IF(H$12=0,0,H74/H$12)</f>
        <v>1.4743753563073777E-3</v>
      </c>
      <c r="K74" s="1"/>
      <c r="L74" s="1">
        <f t="shared" ref="L74:L78" si="54">+D74-H74</f>
        <v>-75</v>
      </c>
      <c r="M74" s="1"/>
      <c r="N74" s="5">
        <f t="shared" ref="N74:N78" si="55">IF(H74=0,0,L74/H74)</f>
        <v>-1</v>
      </c>
      <c r="O74" s="14"/>
      <c r="P74" s="1">
        <f>SUM(OSRRefP22_11x_0)</f>
        <v>1747.49</v>
      </c>
      <c r="Q74" s="1"/>
      <c r="R74" s="5">
        <f t="shared" ref="R74:R78" si="56">IF(P$12=0,0,P74/P$12)</f>
        <v>1.7486129592424255E-2</v>
      </c>
      <c r="S74" s="1"/>
      <c r="T74" s="1">
        <f>SUM(OSRRefT22_11x_0)</f>
        <v>525</v>
      </c>
      <c r="U74" s="1"/>
      <c r="V74" s="5">
        <f t="shared" ref="V74:V78" si="57">IF(T$12=0,0,T74/T$12)</f>
        <v>1.6261774298962654E-3</v>
      </c>
      <c r="W74" s="1"/>
      <c r="X74" s="1">
        <f t="shared" ref="X74:X78" si="58">+P74-T74</f>
        <v>1222.49</v>
      </c>
      <c r="Y74" s="1"/>
      <c r="Z74" s="5">
        <f t="shared" ref="Z74:Z78" si="59">IF(T74=0,0,X74/T74)</f>
        <v>2.3285523809523809</v>
      </c>
    </row>
    <row r="75" spans="1:26" s="24" customFormat="1" hidden="1" outlineLevel="2" x14ac:dyDescent="0.3">
      <c r="A75" s="27"/>
      <c r="B75" s="11" t="str">
        <f>CONCATENATE("          ", "6234", " - ", "EXPENDABLE SUPPLIES &amp; EQUIPMEN")</f>
        <v xml:space="preserve">          6234 - EXPENDABLE SUPPLIES &amp; EQUIPMEN</v>
      </c>
      <c r="C75" s="11"/>
      <c r="D75" s="7"/>
      <c r="E75" s="2"/>
      <c r="F75" s="6">
        <f t="shared" si="52"/>
        <v>0</v>
      </c>
      <c r="G75" s="2"/>
      <c r="H75" s="7"/>
      <c r="I75" s="2"/>
      <c r="J75" s="6">
        <f t="shared" si="53"/>
        <v>0</v>
      </c>
      <c r="K75" s="2"/>
      <c r="L75" s="7">
        <f t="shared" si="54"/>
        <v>0</v>
      </c>
      <c r="M75" s="2"/>
      <c r="N75" s="6">
        <f t="shared" si="55"/>
        <v>0</v>
      </c>
      <c r="O75" s="11"/>
      <c r="P75" s="7">
        <v>1393.55</v>
      </c>
      <c r="Q75" s="2"/>
      <c r="R75" s="6">
        <f t="shared" si="56"/>
        <v>1.3944455129083898E-2</v>
      </c>
      <c r="S75" s="2"/>
      <c r="T75" s="7"/>
      <c r="U75" s="2"/>
      <c r="V75" s="6">
        <f t="shared" si="57"/>
        <v>0</v>
      </c>
      <c r="W75" s="2"/>
      <c r="X75" s="7">
        <f t="shared" si="58"/>
        <v>1393.55</v>
      </c>
      <c r="Y75" s="2"/>
      <c r="Z75" s="6">
        <f t="shared" si="59"/>
        <v>0</v>
      </c>
    </row>
    <row r="76" spans="1:26" s="24" customFormat="1" hidden="1" outlineLevel="2" x14ac:dyDescent="0.3">
      <c r="A76" s="27"/>
      <c r="B76" s="11" t="str">
        <f>CONCATENATE("          ", "6235", " - ", "COVID-19 EXPENSES")</f>
        <v xml:space="preserve">          6235 - COVID-19 EXPENSES</v>
      </c>
      <c r="C76" s="11"/>
      <c r="D76" s="7"/>
      <c r="E76" s="2"/>
      <c r="F76" s="6">
        <f t="shared" si="52"/>
        <v>0</v>
      </c>
      <c r="G76" s="2"/>
      <c r="H76" s="7">
        <v>25</v>
      </c>
      <c r="I76" s="2"/>
      <c r="J76" s="6">
        <f t="shared" si="53"/>
        <v>4.9145845210245927E-4</v>
      </c>
      <c r="K76" s="2"/>
      <c r="L76" s="7">
        <f t="shared" si="54"/>
        <v>-25</v>
      </c>
      <c r="M76" s="2"/>
      <c r="N76" s="6">
        <f t="shared" si="55"/>
        <v>-1</v>
      </c>
      <c r="O76" s="11"/>
      <c r="P76" s="7"/>
      <c r="Q76" s="2"/>
      <c r="R76" s="6">
        <f t="shared" si="56"/>
        <v>0</v>
      </c>
      <c r="S76" s="2"/>
      <c r="T76" s="7">
        <v>175</v>
      </c>
      <c r="U76" s="2"/>
      <c r="V76" s="6">
        <f t="shared" si="57"/>
        <v>5.4205914329875514E-4</v>
      </c>
      <c r="W76" s="2"/>
      <c r="X76" s="7">
        <f t="shared" si="58"/>
        <v>-175</v>
      </c>
      <c r="Y76" s="2"/>
      <c r="Z76" s="6">
        <f t="shared" si="59"/>
        <v>-1</v>
      </c>
    </row>
    <row r="77" spans="1:26" s="24" customFormat="1" hidden="1" outlineLevel="2" x14ac:dyDescent="0.3">
      <c r="A77" s="27"/>
      <c r="B77" s="11" t="str">
        <f>CONCATENATE("          ", "6241", " - ", "OFFICE EXPENSE")</f>
        <v xml:space="preserve">          6241 - OFFICE EXPENSE</v>
      </c>
      <c r="C77" s="11"/>
      <c r="D77" s="7"/>
      <c r="E77" s="2"/>
      <c r="F77" s="6">
        <f t="shared" si="52"/>
        <v>0</v>
      </c>
      <c r="G77" s="2"/>
      <c r="H77" s="7">
        <v>25</v>
      </c>
      <c r="I77" s="2"/>
      <c r="J77" s="6">
        <f t="shared" si="53"/>
        <v>4.9145845210245927E-4</v>
      </c>
      <c r="K77" s="2"/>
      <c r="L77" s="7">
        <f t="shared" si="54"/>
        <v>-25</v>
      </c>
      <c r="M77" s="2"/>
      <c r="N77" s="6">
        <f t="shared" si="55"/>
        <v>-1</v>
      </c>
      <c r="O77" s="11"/>
      <c r="P77" s="7">
        <v>11.03</v>
      </c>
      <c r="Q77" s="2"/>
      <c r="R77" s="6">
        <f t="shared" si="56"/>
        <v>1.1037088017925111E-4</v>
      </c>
      <c r="S77" s="2"/>
      <c r="T77" s="7">
        <v>175</v>
      </c>
      <c r="U77" s="2"/>
      <c r="V77" s="6">
        <f t="shared" si="57"/>
        <v>5.4205914329875514E-4</v>
      </c>
      <c r="W77" s="2"/>
      <c r="X77" s="7">
        <f t="shared" si="58"/>
        <v>-163.97</v>
      </c>
      <c r="Y77" s="2"/>
      <c r="Z77" s="6">
        <f t="shared" si="59"/>
        <v>-0.93697142857142857</v>
      </c>
    </row>
    <row r="78" spans="1:26" s="24" customFormat="1" hidden="1" outlineLevel="2" x14ac:dyDescent="0.3">
      <c r="A78" s="27"/>
      <c r="B78" s="11" t="str">
        <f>CONCATENATE("          ", "6247", " - ", "STORE SUPPLIES")</f>
        <v xml:space="preserve">          6247 - STORE SUPPLIES</v>
      </c>
      <c r="C78" s="11"/>
      <c r="D78" s="7"/>
      <c r="E78" s="2"/>
      <c r="F78" s="6">
        <f t="shared" si="52"/>
        <v>0</v>
      </c>
      <c r="G78" s="2"/>
      <c r="H78" s="7">
        <v>25</v>
      </c>
      <c r="I78" s="2"/>
      <c r="J78" s="6">
        <f t="shared" si="53"/>
        <v>4.9145845210245927E-4</v>
      </c>
      <c r="K78" s="2"/>
      <c r="L78" s="7">
        <f t="shared" si="54"/>
        <v>-25</v>
      </c>
      <c r="M78" s="2"/>
      <c r="N78" s="6">
        <f t="shared" si="55"/>
        <v>-1</v>
      </c>
      <c r="O78" s="11"/>
      <c r="P78" s="7">
        <v>342.91</v>
      </c>
      <c r="Q78" s="2"/>
      <c r="R78" s="6">
        <f t="shared" si="56"/>
        <v>3.4313035831611063E-3</v>
      </c>
      <c r="S78" s="2"/>
      <c r="T78" s="7">
        <v>175</v>
      </c>
      <c r="U78" s="2"/>
      <c r="V78" s="6">
        <f t="shared" si="57"/>
        <v>5.4205914329875514E-4</v>
      </c>
      <c r="W78" s="2"/>
      <c r="X78" s="7">
        <f t="shared" si="58"/>
        <v>167.91000000000003</v>
      </c>
      <c r="Y78" s="2"/>
      <c r="Z78" s="6">
        <f t="shared" si="59"/>
        <v>0.95948571428571439</v>
      </c>
    </row>
    <row r="79" spans="1:26" s="28" customFormat="1" outlineLevel="1" collapsed="1" x14ac:dyDescent="0.3">
      <c r="A79" s="29"/>
      <c r="B79" s="14" t="str">
        <f>CONCATENATE("     ","Telephone/Data Lines                              ")</f>
        <v xml:space="preserve">     Telephone/Data Lines                              </v>
      </c>
      <c r="C79" s="14"/>
      <c r="D79" s="1">
        <f>SUM(OSRRefD22_12x_0)</f>
        <v>40.14</v>
      </c>
      <c r="E79" s="1"/>
      <c r="F79" s="5">
        <f t="shared" ref="F79:F80" si="60">IF(D$12=0,0,D79/D$12)</f>
        <v>6.6816924290798441E-3</v>
      </c>
      <c r="G79" s="1"/>
      <c r="H79" s="1">
        <f>SUM(OSRRefH22_12x_0)</f>
        <v>60</v>
      </c>
      <c r="I79" s="1"/>
      <c r="J79" s="5">
        <f t="shared" ref="J79:J80" si="61">IF(H$12=0,0,H79/H$12)</f>
        <v>1.1795002850459022E-3</v>
      </c>
      <c r="K79" s="1"/>
      <c r="L79" s="1">
        <f t="shared" ref="L79:L80" si="62">+D79-H79</f>
        <v>-19.86</v>
      </c>
      <c r="M79" s="1"/>
      <c r="N79" s="5">
        <f t="shared" ref="N79:N80" si="63">IF(H79=0,0,L79/H79)</f>
        <v>-0.33100000000000002</v>
      </c>
      <c r="O79" s="14"/>
      <c r="P79" s="1">
        <f>SUM(OSRRefP22_12x_0)</f>
        <v>318.14</v>
      </c>
      <c r="Q79" s="1"/>
      <c r="R79" s="5">
        <f t="shared" ref="R79:R80" si="64">IF(P$12=0,0,P79/P$12)</f>
        <v>3.1834444079988167E-3</v>
      </c>
      <c r="S79" s="1"/>
      <c r="T79" s="1">
        <f>SUM(OSRRefT22_12x_0)</f>
        <v>420</v>
      </c>
      <c r="U79" s="1"/>
      <c r="V79" s="5">
        <f t="shared" ref="V79:V80" si="65">IF(T$12=0,0,T79/T$12)</f>
        <v>1.3009419439170124E-3</v>
      </c>
      <c r="W79" s="1"/>
      <c r="X79" s="1">
        <f t="shared" ref="X79:X80" si="66">+P79-T79</f>
        <v>-101.86000000000001</v>
      </c>
      <c r="Y79" s="1"/>
      <c r="Z79" s="5">
        <f t="shared" ref="Z79:Z80" si="67">IF(T79=0,0,X79/T79)</f>
        <v>-0.24252380952380956</v>
      </c>
    </row>
    <row r="80" spans="1:26" s="24" customFormat="1" hidden="1" outlineLevel="2" x14ac:dyDescent="0.3">
      <c r="A80" s="27"/>
      <c r="B80" s="11" t="str">
        <f>CONCATENATE("          ", "6309", " - ", "TELEPHONE")</f>
        <v xml:space="preserve">          6309 - TELEPHONE</v>
      </c>
      <c r="C80" s="11"/>
      <c r="D80" s="7">
        <v>40.14</v>
      </c>
      <c r="E80" s="2"/>
      <c r="F80" s="6">
        <f t="shared" si="60"/>
        <v>6.6816924290798441E-3</v>
      </c>
      <c r="G80" s="2"/>
      <c r="H80" s="7">
        <v>60</v>
      </c>
      <c r="I80" s="2"/>
      <c r="J80" s="6">
        <f t="shared" si="61"/>
        <v>1.1795002850459022E-3</v>
      </c>
      <c r="K80" s="2"/>
      <c r="L80" s="7">
        <f t="shared" si="62"/>
        <v>-19.86</v>
      </c>
      <c r="M80" s="2"/>
      <c r="N80" s="6">
        <f t="shared" si="63"/>
        <v>-0.33100000000000002</v>
      </c>
      <c r="O80" s="11"/>
      <c r="P80" s="7">
        <v>318.14</v>
      </c>
      <c r="Q80" s="2"/>
      <c r="R80" s="6">
        <f t="shared" si="64"/>
        <v>3.1834444079988167E-3</v>
      </c>
      <c r="S80" s="2"/>
      <c r="T80" s="7">
        <v>420</v>
      </c>
      <c r="U80" s="2"/>
      <c r="V80" s="6">
        <f t="shared" si="65"/>
        <v>1.3009419439170124E-3</v>
      </c>
      <c r="W80" s="2"/>
      <c r="X80" s="7">
        <f t="shared" si="66"/>
        <v>-101.86000000000001</v>
      </c>
      <c r="Y80" s="2"/>
      <c r="Z80" s="6">
        <f t="shared" si="67"/>
        <v>-0.24252380952380956</v>
      </c>
    </row>
    <row r="81" spans="1:26" s="55" customFormat="1" x14ac:dyDescent="0.3">
      <c r="A81" s="36"/>
      <c r="B81" s="36"/>
      <c r="C81" s="36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6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3">
      <c r="A82" s="10"/>
      <c r="B82" s="25" t="s">
        <v>293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3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3">
      <c r="A84" s="10"/>
      <c r="B84" s="26" t="s">
        <v>277</v>
      </c>
      <c r="C84" s="26"/>
      <c r="D84" s="21">
        <f>+D30-D32+D82</f>
        <v>-4245.4799999999996</v>
      </c>
      <c r="E84" s="13"/>
      <c r="F84" s="22">
        <f>IF(D$12=0,0,D84/D$12)</f>
        <v>-0.70670133467388874</v>
      </c>
      <c r="G84" s="13"/>
      <c r="H84" s="21">
        <f>+H30-H32+H82</f>
        <v>6862.9391350000005</v>
      </c>
      <c r="I84" s="13"/>
      <c r="J84" s="22">
        <f>IF(H$12=0,0,H84/H$12)</f>
        <v>0.13491397776641964</v>
      </c>
      <c r="K84" s="15"/>
      <c r="L84" s="21">
        <f>+D84-H84</f>
        <v>-11108.419135</v>
      </c>
      <c r="M84" s="15"/>
      <c r="N84" s="22">
        <f>IF(H84=0,0,L84/H84)</f>
        <v>-1.6186095951731034</v>
      </c>
      <c r="O84" s="25"/>
      <c r="P84" s="21">
        <f>+P30-P32+P82</f>
        <v>8572.5700000000143</v>
      </c>
      <c r="Q84" s="13"/>
      <c r="R84" s="22">
        <f>IF(P$12=0,0,P84/P$12)</f>
        <v>8.5780788422324963E-2</v>
      </c>
      <c r="S84" s="13"/>
      <c r="T84" s="21">
        <f>+T30-T32+T82</f>
        <v>58915.400385000001</v>
      </c>
      <c r="U84" s="13"/>
      <c r="V84" s="22">
        <f>IF(T$12=0,0,T84/T$12)</f>
        <v>0.18248932262740714</v>
      </c>
      <c r="W84" s="15"/>
      <c r="X84" s="21">
        <f>+P84-T84</f>
        <v>-50342.830384999987</v>
      </c>
      <c r="Y84" s="15"/>
      <c r="Z84" s="22">
        <f>IF(T84=0,0,X84/T84)</f>
        <v>-0.85449356290579315</v>
      </c>
    </row>
    <row r="85" spans="1:26" x14ac:dyDescent="0.3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3">
      <c r="A86" s="52"/>
      <c r="B86" s="10" t="s">
        <v>128</v>
      </c>
      <c r="C86" s="10"/>
      <c r="D86" s="4">
        <v>1922.01</v>
      </c>
      <c r="E86" s="4"/>
      <c r="F86" s="12">
        <f>IF(D$12=0,0,D86/D$12)</f>
        <v>0.31993721140049203</v>
      </c>
      <c r="G86" s="4"/>
      <c r="H86" s="4">
        <v>5238</v>
      </c>
      <c r="I86" s="4"/>
      <c r="J86" s="12">
        <f>IF(H$12=0,0,H86/H$12)</f>
        <v>0.10297037488450726</v>
      </c>
      <c r="K86" s="4"/>
      <c r="L86" s="4">
        <f>+D86-H86</f>
        <v>-3315.99</v>
      </c>
      <c r="M86" s="4"/>
      <c r="N86" s="12">
        <f>IF(H86=0,0,L86/H86)</f>
        <v>-0.63306414662084765</v>
      </c>
      <c r="O86" s="10"/>
      <c r="P86" s="4">
        <v>13228.24</v>
      </c>
      <c r="Q86" s="4"/>
      <c r="R86" s="12">
        <f>IF(P$12=0,0,P86/P$12)</f>
        <v>0.13236740634835692</v>
      </c>
      <c r="S86" s="4"/>
      <c r="T86" s="4">
        <v>40451</v>
      </c>
      <c r="U86" s="4"/>
      <c r="V86" s="12">
        <f>IF(T$12=0,0,T86/T$12)</f>
        <v>0.12529619660330255</v>
      </c>
      <c r="W86" s="4"/>
      <c r="X86" s="4">
        <f>+P86-T86</f>
        <v>-27222.760000000002</v>
      </c>
      <c r="Y86" s="4"/>
      <c r="Z86" s="12">
        <f>IF(T86=0,0,X86/T86)</f>
        <v>-0.67298113767273993</v>
      </c>
    </row>
    <row r="87" spans="1:26" x14ac:dyDescent="0.3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" thickBot="1" x14ac:dyDescent="0.35">
      <c r="A88" s="10"/>
      <c r="B88" s="26" t="s">
        <v>126</v>
      </c>
      <c r="C88" s="26"/>
      <c r="D88" s="32">
        <f>+D84-D86</f>
        <v>-6167.49</v>
      </c>
      <c r="E88" s="13"/>
      <c r="F88" s="31">
        <f>IF(D$12=0,0,D88/D$12)</f>
        <v>-1.0266385460743808</v>
      </c>
      <c r="G88" s="13"/>
      <c r="H88" s="32">
        <f>+H84-H86</f>
        <v>1624.9391350000005</v>
      </c>
      <c r="I88" s="13"/>
      <c r="J88" s="31">
        <f>IF(H$12=0,0,H88/H$12)</f>
        <v>3.1943602881912371E-2</v>
      </c>
      <c r="K88" s="15"/>
      <c r="L88" s="32">
        <f>D88-H88</f>
        <v>-7792.4291350000003</v>
      </c>
      <c r="M88" s="15"/>
      <c r="N88" s="31">
        <f>IF(H88=0,0,L88/H88)</f>
        <v>-4.795520624223256</v>
      </c>
      <c r="O88" s="25"/>
      <c r="P88" s="32">
        <f>+P84-P86</f>
        <v>-4655.6699999999855</v>
      </c>
      <c r="Q88" s="13"/>
      <c r="R88" s="31">
        <f>IF(P$12=0,0,P88/P$12)</f>
        <v>-4.6586617926031956E-2</v>
      </c>
      <c r="S88" s="13"/>
      <c r="T88" s="32">
        <f>+T84-T86</f>
        <v>18464.400385000001</v>
      </c>
      <c r="U88" s="13"/>
      <c r="V88" s="31">
        <f>IF(T$12=0,0,T88/T$12)</f>
        <v>5.7193126024104597E-2</v>
      </c>
      <c r="W88" s="15"/>
      <c r="X88" s="32">
        <f>P88-T88</f>
        <v>-23120.070384999985</v>
      </c>
      <c r="Y88" s="15"/>
      <c r="Z88" s="31">
        <f>IF(T88=0,0,X88/T88)</f>
        <v>-1.2521430375709426</v>
      </c>
    </row>
    <row r="89" spans="1:26" ht="15" thickTop="1" x14ac:dyDescent="0.3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3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" thickBot="1" x14ac:dyDescent="0.35">
      <c r="A91" s="10"/>
      <c r="B91" s="26" t="s">
        <v>294</v>
      </c>
      <c r="C91" s="26"/>
      <c r="D91" s="34">
        <f>SUM(D88:D90)</f>
        <v>-6167.49</v>
      </c>
      <c r="E91" s="13"/>
      <c r="F91" s="35">
        <f>IF(D$12=0,0,D91/D$12)</f>
        <v>-1.0266385460743808</v>
      </c>
      <c r="G91" s="13"/>
      <c r="H91" s="34">
        <f>SUM(H88:H90)</f>
        <v>1624.9391350000005</v>
      </c>
      <c r="I91" s="13"/>
      <c r="J91" s="35">
        <f>IF(H$12=0,0,H91/H$12)</f>
        <v>3.1943602881912371E-2</v>
      </c>
      <c r="K91" s="15"/>
      <c r="L91" s="34">
        <f>+D91-H91</f>
        <v>-7792.4291350000003</v>
      </c>
      <c r="M91" s="15"/>
      <c r="N91" s="35">
        <f>IF(H91=0,0,L91/H91)</f>
        <v>-4.795520624223256</v>
      </c>
      <c r="O91" s="25"/>
      <c r="P91" s="34">
        <f>SUM(P88:P90)</f>
        <v>-4655.6699999999855</v>
      </c>
      <c r="Q91" s="13"/>
      <c r="R91" s="35">
        <f>IF(P$12=0,0,P91/P$12)</f>
        <v>-4.6586617926031956E-2</v>
      </c>
      <c r="S91" s="13"/>
      <c r="T91" s="34">
        <f>SUM(T88:T90)</f>
        <v>18464.400385000001</v>
      </c>
      <c r="U91" s="13"/>
      <c r="V91" s="35">
        <f>IF(T$12=0,0,T91/T$12)</f>
        <v>5.7193126024104597E-2</v>
      </c>
      <c r="W91" s="15"/>
      <c r="X91" s="34">
        <f>+P91-T91</f>
        <v>-23120.070384999985</v>
      </c>
      <c r="Y91" s="15"/>
      <c r="Z91" s="35">
        <f>IF(T91=0,0,X91/T91)</f>
        <v>-1.2521430375709426</v>
      </c>
    </row>
    <row r="92" spans="1:26" ht="15" thickTop="1" x14ac:dyDescent="0.3">
      <c r="A92" s="9"/>
      <c r="C92" s="9"/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3">
      <c r="A93" s="9"/>
      <c r="B93" s="53">
        <v>44604.019995405091</v>
      </c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3">
      <c r="A94" s="9"/>
      <c r="B94" s="63" t="s">
        <v>56</v>
      </c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3">
      <c r="A95" s="9"/>
      <c r="B95" s="58"/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3"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outlinePr summaryBelow="0" summaryRight="0"/>
  </sheetPr>
  <dimension ref="A2:Z13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22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175915.92</v>
      </c>
      <c r="E12" s="4"/>
      <c r="F12" s="12"/>
      <c r="G12" s="4"/>
      <c r="H12" s="4">
        <f>SUM(OSRRefH13x_0)</f>
        <v>264105</v>
      </c>
      <c r="I12" s="4"/>
      <c r="J12" s="12"/>
      <c r="K12" s="4"/>
      <c r="L12" s="4">
        <f t="shared" ref="L12:L17" si="0">+D12-H12</f>
        <v>-88189.079999999987</v>
      </c>
      <c r="M12" s="4"/>
      <c r="N12" s="12">
        <f t="shared" ref="N12:N17" si="1">IF(H12=0,0,L12/H12)</f>
        <v>-0.33391673766115743</v>
      </c>
      <c r="O12" s="10"/>
      <c r="P12" s="4">
        <f>SUM(OSRRefP13x_0)</f>
        <v>2244549.41</v>
      </c>
      <c r="Q12" s="4"/>
      <c r="R12" s="12"/>
      <c r="S12" s="4"/>
      <c r="T12" s="4">
        <f>SUM(OSRRefT13x_0)</f>
        <v>1946028</v>
      </c>
      <c r="U12" s="4"/>
      <c r="V12" s="12"/>
      <c r="W12" s="4"/>
      <c r="X12" s="4">
        <f t="shared" ref="X12:X17" si="2">+P12-T12</f>
        <v>298521.41000000015</v>
      </c>
      <c r="Y12" s="4"/>
      <c r="Z12" s="12">
        <f t="shared" ref="Z12:Z17" si="3">IF(T12=0,0,X12/T12)</f>
        <v>0.15340036731228951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--171377.13</f>
        <v>171377.13</v>
      </c>
      <c r="E13" s="2"/>
      <c r="F13" s="19"/>
      <c r="G13" s="2"/>
      <c r="H13" s="2">
        <v>264105</v>
      </c>
      <c r="I13" s="2"/>
      <c r="J13" s="19"/>
      <c r="K13" s="2"/>
      <c r="L13" s="2">
        <f t="shared" si="0"/>
        <v>-92727.87</v>
      </c>
      <c r="M13" s="2"/>
      <c r="N13" s="19">
        <f t="shared" si="1"/>
        <v>-0.35110228886238426</v>
      </c>
      <c r="O13" s="11"/>
      <c r="P13" s="2">
        <f>--2130878.29</f>
        <v>2130878.29</v>
      </c>
      <c r="Q13" s="2"/>
      <c r="R13" s="19"/>
      <c r="S13" s="2"/>
      <c r="T13" s="2">
        <v>1946028</v>
      </c>
      <c r="U13" s="2"/>
      <c r="V13" s="19"/>
      <c r="W13" s="2"/>
      <c r="X13" s="2">
        <f t="shared" si="2"/>
        <v>184850.29000000004</v>
      </c>
      <c r="Y13" s="2"/>
      <c r="Z13" s="19">
        <f t="shared" si="3"/>
        <v>9.4988504790270253E-2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--17495.36</f>
        <v>17495.36</v>
      </c>
      <c r="E14" s="2"/>
      <c r="F14" s="19"/>
      <c r="G14" s="2"/>
      <c r="H14" s="2"/>
      <c r="I14" s="2"/>
      <c r="J14" s="19"/>
      <c r="K14" s="2"/>
      <c r="L14" s="2">
        <f t="shared" si="0"/>
        <v>17495.36</v>
      </c>
      <c r="M14" s="2"/>
      <c r="N14" s="19">
        <f t="shared" si="1"/>
        <v>0</v>
      </c>
      <c r="O14" s="11"/>
      <c r="P14" s="2">
        <f>--245679.31</f>
        <v>245679.31</v>
      </c>
      <c r="Q14" s="2"/>
      <c r="R14" s="19"/>
      <c r="S14" s="2"/>
      <c r="T14" s="2"/>
      <c r="U14" s="2"/>
      <c r="V14" s="19"/>
      <c r="W14" s="2"/>
      <c r="X14" s="2">
        <f t="shared" si="2"/>
        <v>245679.31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-8098.02</f>
        <v>-8098.02</v>
      </c>
      <c r="E15" s="2"/>
      <c r="F15" s="19"/>
      <c r="G15" s="2"/>
      <c r="H15" s="2"/>
      <c r="I15" s="2"/>
      <c r="J15" s="19"/>
      <c r="K15" s="2"/>
      <c r="L15" s="2">
        <f t="shared" si="0"/>
        <v>-8098.02</v>
      </c>
      <c r="M15" s="2"/>
      <c r="N15" s="19">
        <f t="shared" si="1"/>
        <v>0</v>
      </c>
      <c r="O15" s="11"/>
      <c r="P15" s="2">
        <f>-64694.32</f>
        <v>-64694.32</v>
      </c>
      <c r="Q15" s="2"/>
      <c r="R15" s="19"/>
      <c r="S15" s="2"/>
      <c r="T15" s="2"/>
      <c r="U15" s="2"/>
      <c r="V15" s="19"/>
      <c r="W15" s="2"/>
      <c r="X15" s="2">
        <f t="shared" si="2"/>
        <v>-64694.32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"4300", " - ", "NON-TAX RETURNS")</f>
        <v xml:space="preserve">          4300 - NON-TAX RETURNS</v>
      </c>
      <c r="C16" s="11"/>
      <c r="D16" s="2">
        <f>-376.59</f>
        <v>-376.59</v>
      </c>
      <c r="E16" s="2"/>
      <c r="F16" s="19"/>
      <c r="G16" s="2"/>
      <c r="H16" s="2"/>
      <c r="I16" s="2"/>
      <c r="J16" s="19"/>
      <c r="K16" s="2"/>
      <c r="L16" s="2">
        <f t="shared" si="0"/>
        <v>-376.59</v>
      </c>
      <c r="M16" s="2"/>
      <c r="N16" s="19">
        <f t="shared" si="1"/>
        <v>0</v>
      </c>
      <c r="O16" s="11"/>
      <c r="P16" s="2">
        <f>-1652.79</f>
        <v>-1652.79</v>
      </c>
      <c r="Q16" s="2"/>
      <c r="R16" s="19"/>
      <c r="S16" s="2"/>
      <c r="T16" s="2"/>
      <c r="U16" s="2"/>
      <c r="V16" s="19"/>
      <c r="W16" s="2"/>
      <c r="X16" s="2">
        <f t="shared" si="2"/>
        <v>-1652.79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"4500", " - ", "SALES DISCOUNT")</f>
        <v xml:space="preserve">          4500 - SALES DISCOUNT</v>
      </c>
      <c r="C17" s="11"/>
      <c r="D17" s="2">
        <f>-4481.96</f>
        <v>-4481.96</v>
      </c>
      <c r="E17" s="2"/>
      <c r="F17" s="19"/>
      <c r="G17" s="2"/>
      <c r="H17" s="2"/>
      <c r="I17" s="2"/>
      <c r="J17" s="19"/>
      <c r="K17" s="2"/>
      <c r="L17" s="2">
        <f t="shared" si="0"/>
        <v>-4481.96</v>
      </c>
      <c r="M17" s="2"/>
      <c r="N17" s="19">
        <f t="shared" si="1"/>
        <v>0</v>
      </c>
      <c r="O17" s="11"/>
      <c r="P17" s="2">
        <f>-65661.08</f>
        <v>-65661.08</v>
      </c>
      <c r="Q17" s="2"/>
      <c r="R17" s="19"/>
      <c r="S17" s="2"/>
      <c r="T17" s="2"/>
      <c r="U17" s="2"/>
      <c r="V17" s="19"/>
      <c r="W17" s="2"/>
      <c r="X17" s="2">
        <f t="shared" si="2"/>
        <v>-65661.08</v>
      </c>
      <c r="Y17" s="2"/>
      <c r="Z17" s="19">
        <f t="shared" si="3"/>
        <v>0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82437.159999999989</v>
      </c>
      <c r="E19" s="4"/>
      <c r="F19" s="12">
        <f t="shared" ref="F19:F38" si="4">IF(D$12=0,0,D19/D$12)</f>
        <v>0.46861682558349455</v>
      </c>
      <c r="G19" s="4"/>
      <c r="H19" s="4">
        <f>SUM(OSRRefH16x_0)</f>
        <v>131183</v>
      </c>
      <c r="I19" s="4"/>
      <c r="J19" s="12">
        <f t="shared" ref="J19:J38" si="5">IF(H$12=0,0,H19/H$12)</f>
        <v>0.49670774881202551</v>
      </c>
      <c r="K19" s="4"/>
      <c r="L19" s="4">
        <f t="shared" ref="L19:L38" si="6">+D19-H19</f>
        <v>-48745.840000000011</v>
      </c>
      <c r="M19" s="4"/>
      <c r="N19" s="12">
        <f t="shared" ref="N19:N38" si="7">IF(H19=0,0,L19/H19)</f>
        <v>-0.37158656228322273</v>
      </c>
      <c r="O19" s="10"/>
      <c r="P19" s="4">
        <f>SUM(OSRRefP16x_0)</f>
        <v>1099888.01</v>
      </c>
      <c r="Q19" s="4"/>
      <c r="R19" s="12">
        <f t="shared" ref="R19:R38" si="8">IF(P$12=0,0,P19/P$12)</f>
        <v>0.49002619639368949</v>
      </c>
      <c r="S19" s="4"/>
      <c r="T19" s="4">
        <f>SUM(OSRRefT16x_0)</f>
        <v>999229</v>
      </c>
      <c r="U19" s="4"/>
      <c r="V19" s="12">
        <f t="shared" ref="V19:V38" si="9">IF(T$12=0,0,T19/T$12)</f>
        <v>0.51347102919382459</v>
      </c>
      <c r="W19" s="4"/>
      <c r="X19" s="4">
        <f t="shared" ref="X19:X38" si="10">+P19-T19</f>
        <v>100659.01000000001</v>
      </c>
      <c r="Y19" s="4"/>
      <c r="Z19" s="12">
        <f t="shared" ref="Z19:Z38" si="11">IF(T19=0,0,X19/T19)</f>
        <v>0.1007366779787216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2">
        <v>170692.77</v>
      </c>
      <c r="E20" s="2"/>
      <c r="F20" s="19">
        <f t="shared" si="4"/>
        <v>0.97030882708057331</v>
      </c>
      <c r="G20" s="2"/>
      <c r="H20" s="2">
        <v>131183</v>
      </c>
      <c r="I20" s="2"/>
      <c r="J20" s="19">
        <f t="shared" si="5"/>
        <v>0.49670774881202551</v>
      </c>
      <c r="K20" s="2"/>
      <c r="L20" s="2">
        <f t="shared" si="6"/>
        <v>39509.76999999999</v>
      </c>
      <c r="M20" s="2"/>
      <c r="N20" s="19">
        <f t="shared" si="7"/>
        <v>0.30118056455485842</v>
      </c>
      <c r="O20" s="11"/>
      <c r="P20" s="2">
        <v>1215908.17</v>
      </c>
      <c r="Q20" s="2"/>
      <c r="R20" s="19">
        <f t="shared" si="8"/>
        <v>0.54171592952368997</v>
      </c>
      <c r="S20" s="2"/>
      <c r="T20" s="2">
        <v>999229</v>
      </c>
      <c r="U20" s="2"/>
      <c r="V20" s="19">
        <f t="shared" si="9"/>
        <v>0.51347102919382459</v>
      </c>
      <c r="W20" s="2"/>
      <c r="X20" s="2">
        <f t="shared" si="10"/>
        <v>216679.16999999993</v>
      </c>
      <c r="Y20" s="2"/>
      <c r="Z20" s="19">
        <f t="shared" si="11"/>
        <v>0.21684635854243614</v>
      </c>
    </row>
    <row r="21" spans="1:26" s="24" customFormat="1" hidden="1" outlineLevel="1" x14ac:dyDescent="0.3">
      <c r="A21" s="44"/>
      <c r="B21" s="11" t="str">
        <f>CONCATENATE("          ", "5027", " - ", "PURCHASES @ COST-SCHOOL SUPPLI")</f>
        <v xml:space="preserve">          5027 - PURCHASES @ COST-SCHOOL SUPPLI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"5028", " - ", "PURCHASES @ COST-ART/TECH")</f>
        <v xml:space="preserve">          5028 - PURCHASES @ COST-ART/TECH</v>
      </c>
      <c r="C22" s="11"/>
      <c r="D22" s="2"/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"5031", " - ", "PURCHASES @ COST-FOOD")</f>
        <v xml:space="preserve">          5031 - PURCHASES @ COST-FOOD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"5040", " - ", "PURCHASES @ COST-LOGO CLOTHING")</f>
        <v xml:space="preserve">          5040 - PURCHASES @ COST-LOGO CLOTHING</v>
      </c>
      <c r="C24" s="11"/>
      <c r="D24" s="2"/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"5041", " - ", "PURCHASES @ COST-LOGO GIFTS")</f>
        <v xml:space="preserve">          5041 - PURCHASES @ COST-LOGO GIFTS</v>
      </c>
      <c r="C25" s="11"/>
      <c r="D25" s="2"/>
      <c r="E25" s="2"/>
      <c r="F25" s="19">
        <f t="shared" si="4"/>
        <v>0</v>
      </c>
      <c r="G25" s="2"/>
      <c r="H25" s="2"/>
      <c r="I25" s="2"/>
      <c r="J25" s="19">
        <f t="shared" si="5"/>
        <v>0</v>
      </c>
      <c r="K25" s="2"/>
      <c r="L25" s="2">
        <f t="shared" si="6"/>
        <v>0</v>
      </c>
      <c r="M25" s="2"/>
      <c r="N25" s="19">
        <f t="shared" si="7"/>
        <v>0</v>
      </c>
      <c r="O25" s="11"/>
      <c r="P25" s="2">
        <v>0</v>
      </c>
      <c r="Q25" s="2"/>
      <c r="R25" s="19">
        <f t="shared" si="8"/>
        <v>0</v>
      </c>
      <c r="S25" s="2"/>
      <c r="T25" s="2"/>
      <c r="U25" s="2"/>
      <c r="V25" s="19">
        <f t="shared" si="9"/>
        <v>0</v>
      </c>
      <c r="W25" s="2"/>
      <c r="X25" s="2">
        <f t="shared" si="10"/>
        <v>0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"5042", " - ", "PURCHASES @ COST-EVERYDAY GIFT")</f>
        <v xml:space="preserve">          5042 - PURCHASES @ COST-EVERYDAY GIFT</v>
      </c>
      <c r="C26" s="11"/>
      <c r="D26" s="2"/>
      <c r="E26" s="2"/>
      <c r="F26" s="19">
        <f t="shared" si="4"/>
        <v>0</v>
      </c>
      <c r="G26" s="2"/>
      <c r="H26" s="2"/>
      <c r="I26" s="2"/>
      <c r="J26" s="19">
        <f t="shared" si="5"/>
        <v>0</v>
      </c>
      <c r="K26" s="2"/>
      <c r="L26" s="2">
        <f t="shared" si="6"/>
        <v>0</v>
      </c>
      <c r="M26" s="2"/>
      <c r="N26" s="19">
        <f t="shared" si="7"/>
        <v>0</v>
      </c>
      <c r="O26" s="11"/>
      <c r="P26" s="2">
        <v>0</v>
      </c>
      <c r="Q26" s="2"/>
      <c r="R26" s="19">
        <f t="shared" si="8"/>
        <v>0</v>
      </c>
      <c r="S26" s="2"/>
      <c r="T26" s="2"/>
      <c r="U26" s="2"/>
      <c r="V26" s="19">
        <f t="shared" si="9"/>
        <v>0</v>
      </c>
      <c r="W26" s="2"/>
      <c r="X26" s="2">
        <f t="shared" si="10"/>
        <v>0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"5043", " - ", "PURCHASES @ COST-CARDS")</f>
        <v xml:space="preserve">          5043 - PURCHASES @ COST-CARDS</v>
      </c>
      <c r="C27" s="11"/>
      <c r="D27" s="2"/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"5044", " - ", "PURCHASES @ COST-ACCESSORIES")</f>
        <v xml:space="preserve">          5044 - PURCHASES @ COST-ACCESSORIES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s="24" customFormat="1" hidden="1" outlineLevel="1" x14ac:dyDescent="0.3">
      <c r="A29" s="44"/>
      <c r="B29" s="11" t="str">
        <f>CONCATENATE("          ", "5045", " - ", "PURCHASES @ COST-SPECIAL ORDER")</f>
        <v xml:space="preserve">          5045 - PURCHASES @ COST-SPECIAL ORDER</v>
      </c>
      <c r="C29" s="11"/>
      <c r="D29" s="2"/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s="24" customFormat="1" hidden="1" outlineLevel="1" x14ac:dyDescent="0.3">
      <c r="A30" s="44"/>
      <c r="B30" s="11" t="str">
        <f>CONCATENATE("          ", "5200", " - ", "PURCHASES OFFSET")</f>
        <v xml:space="preserve">          5200 - PURCHASES OFFSET</v>
      </c>
      <c r="C30" s="11"/>
      <c r="D30" s="2">
        <v>-181131.13</v>
      </c>
      <c r="E30" s="2"/>
      <c r="F30" s="19">
        <f t="shared" si="4"/>
        <v>-1.0296460377207475</v>
      </c>
      <c r="G30" s="2"/>
      <c r="H30" s="2"/>
      <c r="I30" s="2"/>
      <c r="J30" s="19">
        <f t="shared" si="5"/>
        <v>0</v>
      </c>
      <c r="K30" s="2"/>
      <c r="L30" s="2">
        <f t="shared" si="6"/>
        <v>-181131.13</v>
      </c>
      <c r="M30" s="2"/>
      <c r="N30" s="19">
        <f t="shared" si="7"/>
        <v>0</v>
      </c>
      <c r="O30" s="11"/>
      <c r="P30" s="2">
        <v>-1258289.42</v>
      </c>
      <c r="Q30" s="2"/>
      <c r="R30" s="19">
        <f t="shared" si="8"/>
        <v>-0.5605977816278056</v>
      </c>
      <c r="S30" s="2"/>
      <c r="T30" s="2"/>
      <c r="U30" s="2"/>
      <c r="V30" s="19">
        <f t="shared" si="9"/>
        <v>0</v>
      </c>
      <c r="W30" s="2"/>
      <c r="X30" s="2">
        <f t="shared" si="10"/>
        <v>-1258289.42</v>
      </c>
      <c r="Y30" s="2"/>
      <c r="Z30" s="19">
        <f t="shared" si="11"/>
        <v>0</v>
      </c>
    </row>
    <row r="31" spans="1:26" s="24" customFormat="1" hidden="1" outlineLevel="1" x14ac:dyDescent="0.3">
      <c r="A31" s="44"/>
      <c r="B31" s="11" t="str">
        <f>CONCATENATE("          ", "5300", " - ", "COG$ OFFSET")</f>
        <v xml:space="preserve">          5300 - COG$ OFFSET</v>
      </c>
      <c r="C31" s="11"/>
      <c r="D31" s="2">
        <v>82437.16</v>
      </c>
      <c r="E31" s="2"/>
      <c r="F31" s="19">
        <f t="shared" si="4"/>
        <v>0.46861682558349466</v>
      </c>
      <c r="G31" s="2"/>
      <c r="H31" s="2"/>
      <c r="I31" s="2"/>
      <c r="J31" s="19">
        <f t="shared" si="5"/>
        <v>0</v>
      </c>
      <c r="K31" s="2"/>
      <c r="L31" s="2">
        <f t="shared" si="6"/>
        <v>82437.16</v>
      </c>
      <c r="M31" s="2"/>
      <c r="N31" s="19">
        <f t="shared" si="7"/>
        <v>0</v>
      </c>
      <c r="O31" s="11"/>
      <c r="P31" s="2">
        <v>1099888.01</v>
      </c>
      <c r="Q31" s="2"/>
      <c r="R31" s="19">
        <f t="shared" si="8"/>
        <v>0.49002619639368949</v>
      </c>
      <c r="S31" s="2"/>
      <c r="T31" s="2"/>
      <c r="U31" s="2"/>
      <c r="V31" s="19">
        <f t="shared" si="9"/>
        <v>0</v>
      </c>
      <c r="W31" s="2"/>
      <c r="X31" s="2">
        <f t="shared" si="10"/>
        <v>1099888.01</v>
      </c>
      <c r="Y31" s="2"/>
      <c r="Z31" s="19">
        <f t="shared" si="11"/>
        <v>0</v>
      </c>
    </row>
    <row r="32" spans="1:26" s="24" customFormat="1" hidden="1" outlineLevel="1" x14ac:dyDescent="0.3">
      <c r="A32" s="44"/>
      <c r="B32" s="11" t="str">
        <f>CONCATENATE("          ", "5500", " - ", "FREIGHT-IN")</f>
        <v xml:space="preserve">          5500 - FREIGHT-IN</v>
      </c>
      <c r="C32" s="11"/>
      <c r="D32" s="2">
        <v>10438.36</v>
      </c>
      <c r="E32" s="2"/>
      <c r="F32" s="19">
        <f t="shared" si="4"/>
        <v>5.9337210640174012E-2</v>
      </c>
      <c r="G32" s="2"/>
      <c r="H32" s="2"/>
      <c r="I32" s="2"/>
      <c r="J32" s="19">
        <f t="shared" si="5"/>
        <v>0</v>
      </c>
      <c r="K32" s="2"/>
      <c r="L32" s="2">
        <f t="shared" si="6"/>
        <v>10438.36</v>
      </c>
      <c r="M32" s="2"/>
      <c r="N32" s="19">
        <f t="shared" si="7"/>
        <v>0</v>
      </c>
      <c r="O32" s="11"/>
      <c r="P32" s="2">
        <v>42381.25</v>
      </c>
      <c r="Q32" s="2"/>
      <c r="R32" s="19">
        <f t="shared" si="8"/>
        <v>1.888185210411563E-2</v>
      </c>
      <c r="S32" s="2"/>
      <c r="T32" s="2"/>
      <c r="U32" s="2"/>
      <c r="V32" s="19">
        <f t="shared" si="9"/>
        <v>0</v>
      </c>
      <c r="W32" s="2"/>
      <c r="X32" s="2">
        <f t="shared" si="10"/>
        <v>42381.25</v>
      </c>
      <c r="Y32" s="2"/>
      <c r="Z32" s="19">
        <f t="shared" si="11"/>
        <v>0</v>
      </c>
    </row>
    <row r="33" spans="1:26" s="24" customFormat="1" hidden="1" outlineLevel="1" x14ac:dyDescent="0.3">
      <c r="A33" s="44"/>
      <c r="B33" s="11" t="str">
        <f>CONCATENATE("          ", "5527", " - ", "FREIGHT-IN-SCHOOL SUPPLIES")</f>
        <v xml:space="preserve">          5527 - FREIGHT-IN-SCHOOL SUPPLIES</v>
      </c>
      <c r="C33" s="11"/>
      <c r="D33" s="2"/>
      <c r="E33" s="2"/>
      <c r="F33" s="19">
        <f t="shared" si="4"/>
        <v>0</v>
      </c>
      <c r="G33" s="2"/>
      <c r="H33" s="2"/>
      <c r="I33" s="2"/>
      <c r="J33" s="19">
        <f t="shared" si="5"/>
        <v>0</v>
      </c>
      <c r="K33" s="2"/>
      <c r="L33" s="2">
        <f t="shared" si="6"/>
        <v>0</v>
      </c>
      <c r="M33" s="2"/>
      <c r="N33" s="19">
        <f t="shared" si="7"/>
        <v>0</v>
      </c>
      <c r="O33" s="11"/>
      <c r="P33" s="2">
        <v>0</v>
      </c>
      <c r="Q33" s="2"/>
      <c r="R33" s="19">
        <f t="shared" si="8"/>
        <v>0</v>
      </c>
      <c r="S33" s="2"/>
      <c r="T33" s="2"/>
      <c r="U33" s="2"/>
      <c r="V33" s="19">
        <f t="shared" si="9"/>
        <v>0</v>
      </c>
      <c r="W33" s="2"/>
      <c r="X33" s="2">
        <f t="shared" si="10"/>
        <v>0</v>
      </c>
      <c r="Y33" s="2"/>
      <c r="Z33" s="19">
        <f t="shared" si="11"/>
        <v>0</v>
      </c>
    </row>
    <row r="34" spans="1:26" s="24" customFormat="1" hidden="1" outlineLevel="1" x14ac:dyDescent="0.3">
      <c r="A34" s="44"/>
      <c r="B34" s="11" t="str">
        <f>CONCATENATE("          ", "5540", " - ", "FREIGHT-IN-LOGO CLOTHING")</f>
        <v xml:space="preserve">          5540 - FREIGHT-IN-LOGO CLOTHING</v>
      </c>
      <c r="C34" s="11"/>
      <c r="D34" s="2"/>
      <c r="E34" s="2"/>
      <c r="F34" s="19">
        <f t="shared" si="4"/>
        <v>0</v>
      </c>
      <c r="G34" s="2"/>
      <c r="H34" s="2"/>
      <c r="I34" s="2"/>
      <c r="J34" s="19">
        <f t="shared" si="5"/>
        <v>0</v>
      </c>
      <c r="K34" s="2"/>
      <c r="L34" s="2">
        <f t="shared" si="6"/>
        <v>0</v>
      </c>
      <c r="M34" s="2"/>
      <c r="N34" s="19">
        <f t="shared" si="7"/>
        <v>0</v>
      </c>
      <c r="O34" s="11"/>
      <c r="P34" s="2">
        <v>0</v>
      </c>
      <c r="Q34" s="2"/>
      <c r="R34" s="19">
        <f t="shared" si="8"/>
        <v>0</v>
      </c>
      <c r="S34" s="2"/>
      <c r="T34" s="2"/>
      <c r="U34" s="2"/>
      <c r="V34" s="19">
        <f t="shared" si="9"/>
        <v>0</v>
      </c>
      <c r="W34" s="2"/>
      <c r="X34" s="2">
        <f t="shared" si="10"/>
        <v>0</v>
      </c>
      <c r="Y34" s="2"/>
      <c r="Z34" s="19">
        <f t="shared" si="11"/>
        <v>0</v>
      </c>
    </row>
    <row r="35" spans="1:26" s="24" customFormat="1" hidden="1" outlineLevel="1" x14ac:dyDescent="0.3">
      <c r="A35" s="44"/>
      <c r="B35" s="11" t="str">
        <f>CONCATENATE("          ", "5541", " - ", "FREIGHT-IN-LOGO GIFTS")</f>
        <v xml:space="preserve">          5541 - FREIGHT-IN-LOGO GIFTS</v>
      </c>
      <c r="C35" s="11"/>
      <c r="D35" s="2"/>
      <c r="E35" s="2"/>
      <c r="F35" s="19">
        <f t="shared" si="4"/>
        <v>0</v>
      </c>
      <c r="G35" s="2"/>
      <c r="H35" s="2"/>
      <c r="I35" s="2"/>
      <c r="J35" s="19">
        <f t="shared" si="5"/>
        <v>0</v>
      </c>
      <c r="K35" s="2"/>
      <c r="L35" s="2">
        <f t="shared" si="6"/>
        <v>0</v>
      </c>
      <c r="M35" s="2"/>
      <c r="N35" s="19">
        <f t="shared" si="7"/>
        <v>0</v>
      </c>
      <c r="O35" s="11"/>
      <c r="P35" s="2">
        <v>0</v>
      </c>
      <c r="Q35" s="2"/>
      <c r="R35" s="19">
        <f t="shared" si="8"/>
        <v>0</v>
      </c>
      <c r="S35" s="2"/>
      <c r="T35" s="2"/>
      <c r="U35" s="2"/>
      <c r="V35" s="19">
        <f t="shared" si="9"/>
        <v>0</v>
      </c>
      <c r="W35" s="2"/>
      <c r="X35" s="2">
        <f t="shared" si="10"/>
        <v>0</v>
      </c>
      <c r="Y35" s="2"/>
      <c r="Z35" s="19">
        <f t="shared" si="11"/>
        <v>0</v>
      </c>
    </row>
    <row r="36" spans="1:26" s="24" customFormat="1" hidden="1" outlineLevel="1" x14ac:dyDescent="0.3">
      <c r="A36" s="44"/>
      <c r="B36" s="11" t="str">
        <f>CONCATENATE("          ", "5542", " - ", "FREIGHT-IN-EVERYDAY GIFTS")</f>
        <v xml:space="preserve">          5542 - FREIGHT-IN-EVERYDAY GIFTS</v>
      </c>
      <c r="C36" s="11"/>
      <c r="D36" s="2"/>
      <c r="E36" s="2"/>
      <c r="F36" s="19">
        <f t="shared" si="4"/>
        <v>0</v>
      </c>
      <c r="G36" s="2"/>
      <c r="H36" s="2"/>
      <c r="I36" s="2"/>
      <c r="J36" s="19">
        <f t="shared" si="5"/>
        <v>0</v>
      </c>
      <c r="K36" s="2"/>
      <c r="L36" s="2">
        <f t="shared" si="6"/>
        <v>0</v>
      </c>
      <c r="M36" s="2"/>
      <c r="N36" s="19">
        <f t="shared" si="7"/>
        <v>0</v>
      </c>
      <c r="O36" s="11"/>
      <c r="P36" s="2">
        <v>0</v>
      </c>
      <c r="Q36" s="2"/>
      <c r="R36" s="19">
        <f t="shared" si="8"/>
        <v>0</v>
      </c>
      <c r="S36" s="2"/>
      <c r="T36" s="2"/>
      <c r="U36" s="2"/>
      <c r="V36" s="19">
        <f t="shared" si="9"/>
        <v>0</v>
      </c>
      <c r="W36" s="2"/>
      <c r="X36" s="2">
        <f t="shared" si="10"/>
        <v>0</v>
      </c>
      <c r="Y36" s="2"/>
      <c r="Z36" s="19">
        <f t="shared" si="11"/>
        <v>0</v>
      </c>
    </row>
    <row r="37" spans="1:26" s="24" customFormat="1" hidden="1" outlineLevel="1" x14ac:dyDescent="0.3">
      <c r="A37" s="44"/>
      <c r="B37" s="11" t="str">
        <f>CONCATENATE("          ", "5544", " - ", "FREIGHT-IN-ACCESSORIES")</f>
        <v xml:space="preserve">          5544 - FREIGHT-IN-ACCESSORIES</v>
      </c>
      <c r="C37" s="11"/>
      <c r="D37" s="2"/>
      <c r="E37" s="2"/>
      <c r="F37" s="19">
        <f t="shared" si="4"/>
        <v>0</v>
      </c>
      <c r="G37" s="2"/>
      <c r="H37" s="2"/>
      <c r="I37" s="2"/>
      <c r="J37" s="19">
        <f t="shared" si="5"/>
        <v>0</v>
      </c>
      <c r="K37" s="2"/>
      <c r="L37" s="2">
        <f t="shared" si="6"/>
        <v>0</v>
      </c>
      <c r="M37" s="2"/>
      <c r="N37" s="19">
        <f t="shared" si="7"/>
        <v>0</v>
      </c>
      <c r="O37" s="11"/>
      <c r="P37" s="2">
        <v>0</v>
      </c>
      <c r="Q37" s="2"/>
      <c r="R37" s="19">
        <f t="shared" si="8"/>
        <v>0</v>
      </c>
      <c r="S37" s="2"/>
      <c r="T37" s="2"/>
      <c r="U37" s="2"/>
      <c r="V37" s="19">
        <f t="shared" si="9"/>
        <v>0</v>
      </c>
      <c r="W37" s="2"/>
      <c r="X37" s="2">
        <f t="shared" si="10"/>
        <v>0</v>
      </c>
      <c r="Y37" s="2"/>
      <c r="Z37" s="19">
        <f t="shared" si="11"/>
        <v>0</v>
      </c>
    </row>
    <row r="38" spans="1:26" s="24" customFormat="1" hidden="1" outlineLevel="1" x14ac:dyDescent="0.3">
      <c r="A38" s="44"/>
      <c r="B38" s="11" t="str">
        <f>CONCATENATE("          ", "5545", " - ", "FREIGHT-IN-SPECIAL ORDERS")</f>
        <v xml:space="preserve">          5545 - FREIGHT-IN-SPECIAL ORDERS</v>
      </c>
      <c r="C38" s="11"/>
      <c r="D38" s="2"/>
      <c r="E38" s="2"/>
      <c r="F38" s="19">
        <f t="shared" si="4"/>
        <v>0</v>
      </c>
      <c r="G38" s="2"/>
      <c r="H38" s="2"/>
      <c r="I38" s="2"/>
      <c r="J38" s="19">
        <f t="shared" si="5"/>
        <v>0</v>
      </c>
      <c r="K38" s="2"/>
      <c r="L38" s="2">
        <f t="shared" si="6"/>
        <v>0</v>
      </c>
      <c r="M38" s="2"/>
      <c r="N38" s="19">
        <f t="shared" si="7"/>
        <v>0</v>
      </c>
      <c r="O38" s="11"/>
      <c r="P38" s="2">
        <v>0</v>
      </c>
      <c r="Q38" s="2"/>
      <c r="R38" s="19">
        <f t="shared" si="8"/>
        <v>0</v>
      </c>
      <c r="S38" s="2"/>
      <c r="T38" s="2"/>
      <c r="U38" s="2"/>
      <c r="V38" s="19">
        <f t="shared" si="9"/>
        <v>0</v>
      </c>
      <c r="W38" s="2"/>
      <c r="X38" s="2">
        <f t="shared" si="10"/>
        <v>0</v>
      </c>
      <c r="Y38" s="2"/>
      <c r="Z38" s="19">
        <f t="shared" si="11"/>
        <v>0</v>
      </c>
    </row>
    <row r="39" spans="1:26" x14ac:dyDescent="0.3">
      <c r="A39" s="9"/>
      <c r="B39" s="10"/>
      <c r="C39" s="10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O39" s="10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x14ac:dyDescent="0.3">
      <c r="A40" s="10"/>
      <c r="B40" s="26" t="s">
        <v>108</v>
      </c>
      <c r="C40" s="26"/>
      <c r="D40" s="21">
        <f>D12-D19</f>
        <v>93478.760000000024</v>
      </c>
      <c r="E40" s="13"/>
      <c r="F40" s="22">
        <f>IF(D$12=0,0,D40/D$12)</f>
        <v>0.5313831744165054</v>
      </c>
      <c r="G40" s="13"/>
      <c r="H40" s="21">
        <f>H12-H19</f>
        <v>132922</v>
      </c>
      <c r="I40" s="13"/>
      <c r="J40" s="22">
        <f>IF(H$12=0,0,H40/H$12)</f>
        <v>0.50329225118797449</v>
      </c>
      <c r="K40" s="15"/>
      <c r="L40" s="21">
        <f>+D40-H40</f>
        <v>-39443.239999999976</v>
      </c>
      <c r="M40" s="15"/>
      <c r="N40" s="22">
        <f>IF(H40=0,0,L40/H40)</f>
        <v>-0.29673974210439186</v>
      </c>
      <c r="O40" s="25"/>
      <c r="P40" s="21">
        <f>P12-P19</f>
        <v>1144661.4000000001</v>
      </c>
      <c r="Q40" s="13"/>
      <c r="R40" s="22">
        <f>IF(P$12=0,0,P40/P$12)</f>
        <v>0.50997380360631051</v>
      </c>
      <c r="S40" s="13"/>
      <c r="T40" s="21">
        <f>T12-T19</f>
        <v>946799</v>
      </c>
      <c r="U40" s="13"/>
      <c r="V40" s="22">
        <f>IF(T$12=0,0,T40/T$12)</f>
        <v>0.48652897080617546</v>
      </c>
      <c r="W40" s="15"/>
      <c r="X40" s="21">
        <f>+P40-T40</f>
        <v>197862.40000000014</v>
      </c>
      <c r="Y40" s="15"/>
      <c r="Z40" s="22">
        <f>IF(T40=0,0,X40/T40)</f>
        <v>0.20898036436455905</v>
      </c>
    </row>
    <row r="41" spans="1:26" x14ac:dyDescent="0.3">
      <c r="A41" s="9"/>
      <c r="B41" s="10"/>
      <c r="C41" s="9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6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3" customFormat="1" x14ac:dyDescent="0.3">
      <c r="A42" s="10"/>
      <c r="B42" s="25" t="s">
        <v>295</v>
      </c>
      <c r="C42" s="10"/>
      <c r="D42" s="20">
        <f>SUM(OSRRefD22x_0)</f>
        <v>128596.20999999999</v>
      </c>
      <c r="E42" s="20"/>
      <c r="F42" s="33">
        <f t="shared" ref="F42:F52" si="12">IF(D$12=0,0,D42/D$12)</f>
        <v>0.73100950726915437</v>
      </c>
      <c r="G42" s="20"/>
      <c r="H42" s="20">
        <f>SUM(OSRRefH22x_0)</f>
        <v>127338.87842736536</v>
      </c>
      <c r="I42" s="20"/>
      <c r="J42" s="33">
        <f t="shared" ref="J42:J52" si="13">IF(H$12=0,0,H42/H$12)</f>
        <v>0.48215247127985217</v>
      </c>
      <c r="K42" s="4"/>
      <c r="L42" s="20">
        <f t="shared" ref="L42:L52" si="14">+D42-H42</f>
        <v>1257.3315726346336</v>
      </c>
      <c r="M42" s="4"/>
      <c r="N42" s="33">
        <f t="shared" ref="N42:N52" si="15">IF(H42=0,0,L42/H42)</f>
        <v>9.8739017349820692E-3</v>
      </c>
      <c r="O42" s="10"/>
      <c r="P42" s="20">
        <f>SUM(OSRRefP22x_0)</f>
        <v>683868.97000000032</v>
      </c>
      <c r="Q42" s="20"/>
      <c r="R42" s="33">
        <f t="shared" ref="R42:R52" si="16">IF(P$12=0,0,P42/P$12)</f>
        <v>0.30467984663344982</v>
      </c>
      <c r="S42" s="20"/>
      <c r="T42" s="20">
        <f>SUM(OSRRefT22x_0)</f>
        <v>763595.86215986568</v>
      </c>
      <c r="U42" s="20"/>
      <c r="V42" s="33">
        <f t="shared" ref="V42:V52" si="17">IF(T$12=0,0,T42/T$12)</f>
        <v>0.39238688351856482</v>
      </c>
      <c r="W42" s="4"/>
      <c r="X42" s="20">
        <f t="shared" ref="X42:X52" si="18">+P42-T42</f>
        <v>-79726.892159865354</v>
      </c>
      <c r="Y42" s="4"/>
      <c r="Z42" s="33">
        <f t="shared" ref="Z42:Z52" si="19">IF(T42=0,0,X42/T42)</f>
        <v>-0.10440980119294284</v>
      </c>
    </row>
    <row r="43" spans="1:26" s="28" customFormat="1" outlineLevel="1" collapsed="1" x14ac:dyDescent="0.3">
      <c r="A43" s="29"/>
      <c r="B43" s="14" t="str">
        <f>CONCATENATE("     ","*Benefits                                         ")</f>
        <v xml:space="preserve">     *Benefits                                         </v>
      </c>
      <c r="C43" s="14"/>
      <c r="D43" s="1">
        <f>SUM(OSRRefD22_0x_0)</f>
        <v>18873.93</v>
      </c>
      <c r="E43" s="1"/>
      <c r="F43" s="5">
        <f t="shared" si="12"/>
        <v>0.10728949375360683</v>
      </c>
      <c r="G43" s="1"/>
      <c r="H43" s="1">
        <f>SUM(OSRRefH22_0x_0)</f>
        <v>23816.346311980771</v>
      </c>
      <c r="I43" s="1"/>
      <c r="J43" s="5">
        <f t="shared" si="13"/>
        <v>9.0177566922174032E-2</v>
      </c>
      <c r="K43" s="1"/>
      <c r="L43" s="1">
        <f t="shared" si="14"/>
        <v>-4942.4163119807708</v>
      </c>
      <c r="M43" s="1"/>
      <c r="N43" s="5">
        <f t="shared" si="15"/>
        <v>-0.20752202068436068</v>
      </c>
      <c r="O43" s="14"/>
      <c r="P43" s="1">
        <f>SUM(OSRRefP22_0x_0)</f>
        <v>104944.10999999999</v>
      </c>
      <c r="Q43" s="1"/>
      <c r="R43" s="5">
        <f t="shared" si="16"/>
        <v>4.6755090145242102E-2</v>
      </c>
      <c r="S43" s="1"/>
      <c r="T43" s="1">
        <f>SUM(OSRRefT22_0x_0)</f>
        <v>146285.38004448076</v>
      </c>
      <c r="U43" s="1"/>
      <c r="V43" s="5">
        <f t="shared" si="17"/>
        <v>7.5171261690212446E-2</v>
      </c>
      <c r="W43" s="1"/>
      <c r="X43" s="1">
        <f t="shared" si="18"/>
        <v>-41341.270044480771</v>
      </c>
      <c r="Y43" s="1"/>
      <c r="Z43" s="5">
        <f t="shared" si="19"/>
        <v>-0.28260698390987671</v>
      </c>
    </row>
    <row r="44" spans="1:26" s="24" customFormat="1" hidden="1" outlineLevel="2" x14ac:dyDescent="0.3">
      <c r="A44" s="27"/>
      <c r="B44" s="11" t="str">
        <f>CONCATENATE("          ", "6111", " - ", "F.I.C.A.")</f>
        <v xml:space="preserve">          6111 - F.I.C.A.</v>
      </c>
      <c r="C44" s="11"/>
      <c r="D44" s="7">
        <v>2306.6999999999998</v>
      </c>
      <c r="E44" s="2"/>
      <c r="F44" s="6">
        <f t="shared" si="12"/>
        <v>1.3112514205650062E-2</v>
      </c>
      <c r="G44" s="2"/>
      <c r="H44" s="7">
        <v>6286.0661749615401</v>
      </c>
      <c r="I44" s="2"/>
      <c r="J44" s="6">
        <f t="shared" si="13"/>
        <v>2.3801390261303422E-2</v>
      </c>
      <c r="K44" s="2"/>
      <c r="L44" s="7">
        <f t="shared" si="14"/>
        <v>-3979.3661749615403</v>
      </c>
      <c r="M44" s="2"/>
      <c r="N44" s="6">
        <f t="shared" si="15"/>
        <v>-0.63304554298394533</v>
      </c>
      <c r="O44" s="11"/>
      <c r="P44" s="7">
        <v>19564.03</v>
      </c>
      <c r="Q44" s="2"/>
      <c r="R44" s="6">
        <f t="shared" si="16"/>
        <v>8.7162393988020944E-3</v>
      </c>
      <c r="S44" s="2"/>
      <c r="T44" s="7">
        <v>33425.153907461499</v>
      </c>
      <c r="U44" s="2"/>
      <c r="V44" s="6">
        <f t="shared" si="17"/>
        <v>1.7176090943944022E-2</v>
      </c>
      <c r="W44" s="2"/>
      <c r="X44" s="7">
        <f t="shared" si="18"/>
        <v>-13861.1239074615</v>
      </c>
      <c r="Y44" s="2"/>
      <c r="Z44" s="6">
        <f t="shared" si="19"/>
        <v>-0.41469140114766323</v>
      </c>
    </row>
    <row r="45" spans="1:26" s="24" customFormat="1" hidden="1" outlineLevel="2" x14ac:dyDescent="0.3">
      <c r="A45" s="27"/>
      <c r="B45" s="11" t="str">
        <f>CONCATENATE("          ", "6112", " - ", "COMPENSATION INSURANCE")</f>
        <v xml:space="preserve">          6112 - COMPENSATION INSURANCE</v>
      </c>
      <c r="C45" s="11"/>
      <c r="D45" s="7">
        <v>851.69</v>
      </c>
      <c r="E45" s="2"/>
      <c r="F45" s="6">
        <f t="shared" si="12"/>
        <v>4.8414606250531504E-3</v>
      </c>
      <c r="G45" s="2"/>
      <c r="H45" s="7">
        <v>1327.7448750000001</v>
      </c>
      <c r="I45" s="2"/>
      <c r="J45" s="6">
        <f t="shared" si="13"/>
        <v>5.0273371386380418E-3</v>
      </c>
      <c r="K45" s="2"/>
      <c r="L45" s="7">
        <f t="shared" si="14"/>
        <v>-476.05487500000004</v>
      </c>
      <c r="M45" s="2"/>
      <c r="N45" s="6">
        <f t="shared" si="15"/>
        <v>-0.3585439371400323</v>
      </c>
      <c r="O45" s="11"/>
      <c r="P45" s="7">
        <v>6332.57</v>
      </c>
      <c r="Q45" s="2"/>
      <c r="R45" s="6">
        <f t="shared" si="16"/>
        <v>2.821310135471689E-3</v>
      </c>
      <c r="S45" s="2"/>
      <c r="T45" s="7">
        <v>7990.1928749999997</v>
      </c>
      <c r="U45" s="2"/>
      <c r="V45" s="6">
        <f t="shared" si="17"/>
        <v>4.1058982065006258E-3</v>
      </c>
      <c r="W45" s="2"/>
      <c r="X45" s="7">
        <f t="shared" si="18"/>
        <v>-1657.622875</v>
      </c>
      <c r="Y45" s="2"/>
      <c r="Z45" s="6">
        <f t="shared" si="19"/>
        <v>-0.20745717918605314</v>
      </c>
    </row>
    <row r="46" spans="1:26" s="24" customFormat="1" hidden="1" outlineLevel="2" x14ac:dyDescent="0.3">
      <c r="A46" s="27"/>
      <c r="B46" s="11" t="str">
        <f>CONCATENATE("          ", "6113", " - ", "GROUP INSURANCE")</f>
        <v xml:space="preserve">          6113 - GROUP INSURANCE</v>
      </c>
      <c r="C46" s="11"/>
      <c r="D46" s="7">
        <v>4432.75</v>
      </c>
      <c r="E46" s="2"/>
      <c r="F46" s="6">
        <f t="shared" si="12"/>
        <v>2.5198117373345173E-2</v>
      </c>
      <c r="G46" s="2"/>
      <c r="H46" s="7">
        <v>8382.1538461538494</v>
      </c>
      <c r="I46" s="2"/>
      <c r="J46" s="6">
        <f t="shared" si="13"/>
        <v>3.1737959698429977E-2</v>
      </c>
      <c r="K46" s="2"/>
      <c r="L46" s="7">
        <f t="shared" si="14"/>
        <v>-3949.4038461538494</v>
      </c>
      <c r="M46" s="2"/>
      <c r="N46" s="6">
        <f t="shared" si="15"/>
        <v>-0.47116814110564592</v>
      </c>
      <c r="O46" s="11"/>
      <c r="P46" s="7">
        <v>33333.279999999999</v>
      </c>
      <c r="Q46" s="2"/>
      <c r="R46" s="6">
        <f t="shared" si="16"/>
        <v>1.4850766862824372E-2</v>
      </c>
      <c r="S46" s="2"/>
      <c r="T46" s="7">
        <v>56238.153846153902</v>
      </c>
      <c r="U46" s="2"/>
      <c r="V46" s="6">
        <f t="shared" si="17"/>
        <v>2.8898943821031302E-2</v>
      </c>
      <c r="W46" s="2"/>
      <c r="X46" s="7">
        <f t="shared" si="18"/>
        <v>-22904.873846153903</v>
      </c>
      <c r="Y46" s="2"/>
      <c r="Z46" s="6">
        <f t="shared" si="19"/>
        <v>-0.40728353048026583</v>
      </c>
    </row>
    <row r="47" spans="1:26" s="24" customFormat="1" hidden="1" outlineLevel="2" x14ac:dyDescent="0.3">
      <c r="A47" s="27"/>
      <c r="B47" s="11" t="str">
        <f>CONCATENATE("          ", "6114", " - ", "STATE UNEMPLOYMENT INSURANCE")</f>
        <v xml:space="preserve">          6114 - STATE UNEMPLOYMENT INSURANCE</v>
      </c>
      <c r="C47" s="11"/>
      <c r="D47" s="7">
        <v>149.72999999999999</v>
      </c>
      <c r="E47" s="2"/>
      <c r="F47" s="6">
        <f t="shared" si="12"/>
        <v>8.5114525166340819E-4</v>
      </c>
      <c r="G47" s="2"/>
      <c r="H47" s="7">
        <v>178.734887019231</v>
      </c>
      <c r="I47" s="2"/>
      <c r="J47" s="6">
        <f t="shared" si="13"/>
        <v>6.7675692250896802E-4</v>
      </c>
      <c r="K47" s="2"/>
      <c r="L47" s="7">
        <f t="shared" si="14"/>
        <v>-29.004887019231006</v>
      </c>
      <c r="M47" s="2"/>
      <c r="N47" s="6">
        <f t="shared" si="15"/>
        <v>-0.16227882257877402</v>
      </c>
      <c r="O47" s="11"/>
      <c r="P47" s="7">
        <v>1112.58</v>
      </c>
      <c r="Q47" s="2"/>
      <c r="R47" s="6">
        <f t="shared" si="16"/>
        <v>4.9568077897648051E-4</v>
      </c>
      <c r="S47" s="2"/>
      <c r="T47" s="7">
        <v>1075.6028870192299</v>
      </c>
      <c r="U47" s="2"/>
      <c r="V47" s="6">
        <f t="shared" si="17"/>
        <v>5.5271706625969921E-4</v>
      </c>
      <c r="W47" s="2"/>
      <c r="X47" s="7">
        <f t="shared" si="18"/>
        <v>36.977112980770016</v>
      </c>
      <c r="Y47" s="2"/>
      <c r="Z47" s="6">
        <f t="shared" si="19"/>
        <v>3.4378034334997962E-2</v>
      </c>
    </row>
    <row r="48" spans="1:26" s="24" customFormat="1" hidden="1" outlineLevel="2" x14ac:dyDescent="0.3">
      <c r="A48" s="27"/>
      <c r="B48" s="11" t="str">
        <f>CONCATENATE("          ", "6115", " - ", "P.E.R.S.")</f>
        <v xml:space="preserve">          6115 - P.E.R.S.</v>
      </c>
      <c r="C48" s="11"/>
      <c r="D48" s="7">
        <v>1642.66</v>
      </c>
      <c r="E48" s="2"/>
      <c r="F48" s="6">
        <f t="shared" si="12"/>
        <v>9.3377563554225222E-3</v>
      </c>
      <c r="G48" s="2"/>
      <c r="H48" s="7">
        <v>1766.6798076923101</v>
      </c>
      <c r="I48" s="2"/>
      <c r="J48" s="6">
        <f t="shared" si="13"/>
        <v>6.6893084481259727E-3</v>
      </c>
      <c r="K48" s="2"/>
      <c r="L48" s="7">
        <f t="shared" si="14"/>
        <v>-124.01980769231</v>
      </c>
      <c r="M48" s="2"/>
      <c r="N48" s="6">
        <f t="shared" si="15"/>
        <v>-7.0199368981472859E-2</v>
      </c>
      <c r="O48" s="11"/>
      <c r="P48" s="7">
        <v>12035.65</v>
      </c>
      <c r="Q48" s="2"/>
      <c r="R48" s="6">
        <f t="shared" si="16"/>
        <v>5.3621675452446369E-3</v>
      </c>
      <c r="S48" s="2"/>
      <c r="T48" s="7">
        <v>10953.414807692299</v>
      </c>
      <c r="U48" s="2"/>
      <c r="V48" s="6">
        <f t="shared" si="17"/>
        <v>5.6286008257292802E-3</v>
      </c>
      <c r="W48" s="2"/>
      <c r="X48" s="7">
        <f t="shared" si="18"/>
        <v>1082.2351923077003</v>
      </c>
      <c r="Y48" s="2"/>
      <c r="Z48" s="6">
        <f t="shared" si="19"/>
        <v>9.8803451828344407E-2</v>
      </c>
    </row>
    <row r="49" spans="1:26" s="24" customFormat="1" hidden="1" outlineLevel="2" x14ac:dyDescent="0.3">
      <c r="A49" s="27"/>
      <c r="B49" s="11" t="str">
        <f>CONCATENATE("          ", "6116", " - ", "EDUCATIONAL BENEFITS")</f>
        <v xml:space="preserve">          6116 - EDUCATIONAL BENEFITS</v>
      </c>
      <c r="C49" s="11"/>
      <c r="D49" s="7"/>
      <c r="E49" s="2"/>
      <c r="F49" s="6">
        <f t="shared" si="12"/>
        <v>0</v>
      </c>
      <c r="G49" s="2"/>
      <c r="H49" s="7">
        <v>0</v>
      </c>
      <c r="I49" s="2"/>
      <c r="J49" s="6">
        <f t="shared" si="13"/>
        <v>0</v>
      </c>
      <c r="K49" s="2"/>
      <c r="L49" s="7">
        <f t="shared" si="14"/>
        <v>0</v>
      </c>
      <c r="M49" s="2"/>
      <c r="N49" s="6">
        <f t="shared" si="15"/>
        <v>0</v>
      </c>
      <c r="O49" s="11"/>
      <c r="P49" s="7"/>
      <c r="Q49" s="2"/>
      <c r="R49" s="6">
        <f t="shared" si="16"/>
        <v>0</v>
      </c>
      <c r="S49" s="2"/>
      <c r="T49" s="7">
        <v>0</v>
      </c>
      <c r="U49" s="2"/>
      <c r="V49" s="6">
        <f t="shared" si="17"/>
        <v>0</v>
      </c>
      <c r="W49" s="2"/>
      <c r="X49" s="7">
        <f t="shared" si="18"/>
        <v>0</v>
      </c>
      <c r="Y49" s="2"/>
      <c r="Z49" s="6">
        <f t="shared" si="19"/>
        <v>0</v>
      </c>
    </row>
    <row r="50" spans="1:26" s="24" customFormat="1" hidden="1" outlineLevel="2" x14ac:dyDescent="0.3">
      <c r="A50" s="27"/>
      <c r="B50" s="11" t="str">
        <f>CONCATENATE("          ", "6118", " - ", "VACATION")</f>
        <v xml:space="preserve">          6118 - VACATION</v>
      </c>
      <c r="C50" s="11"/>
      <c r="D50" s="7">
        <v>3374.6</v>
      </c>
      <c r="E50" s="2"/>
      <c r="F50" s="6">
        <f t="shared" si="12"/>
        <v>1.9183027891961111E-2</v>
      </c>
      <c r="G50" s="2"/>
      <c r="H50" s="7">
        <v>1542.1394230769199</v>
      </c>
      <c r="I50" s="2"/>
      <c r="J50" s="6">
        <f t="shared" si="13"/>
        <v>5.8391148334068646E-3</v>
      </c>
      <c r="K50" s="2"/>
      <c r="L50" s="7">
        <f t="shared" si="14"/>
        <v>1832.46057692308</v>
      </c>
      <c r="M50" s="2"/>
      <c r="N50" s="6">
        <f t="shared" si="15"/>
        <v>1.1882586940595183</v>
      </c>
      <c r="O50" s="11"/>
      <c r="P50" s="7">
        <v>14505.29</v>
      </c>
      <c r="Q50" s="2"/>
      <c r="R50" s="6">
        <f t="shared" si="16"/>
        <v>6.4624507419509198E-3</v>
      </c>
      <c r="S50" s="2"/>
      <c r="T50" s="7">
        <v>9561.2644230769201</v>
      </c>
      <c r="U50" s="2"/>
      <c r="V50" s="6">
        <f t="shared" si="17"/>
        <v>4.9132203766219813E-3</v>
      </c>
      <c r="W50" s="2"/>
      <c r="X50" s="7">
        <f t="shared" si="18"/>
        <v>4944.0255769230807</v>
      </c>
      <c r="Y50" s="2"/>
      <c r="Z50" s="6">
        <f t="shared" si="19"/>
        <v>0.51708909597670549</v>
      </c>
    </row>
    <row r="51" spans="1:26" s="24" customFormat="1" hidden="1" outlineLevel="2" x14ac:dyDescent="0.3">
      <c r="A51" s="27"/>
      <c r="B51" s="11" t="str">
        <f>CONCATENATE("          ", "6119", " - ", "SICK LEAVE")</f>
        <v xml:space="preserve">          6119 - SICK LEAVE</v>
      </c>
      <c r="C51" s="11"/>
      <c r="D51" s="7">
        <v>5294.1</v>
      </c>
      <c r="E51" s="2"/>
      <c r="F51" s="6">
        <f t="shared" si="12"/>
        <v>3.0094490595279837E-2</v>
      </c>
      <c r="G51" s="2"/>
      <c r="H51" s="7">
        <v>3457.8272980769202</v>
      </c>
      <c r="I51" s="2"/>
      <c r="J51" s="6">
        <f t="shared" si="13"/>
        <v>1.3092623381143561E-2</v>
      </c>
      <c r="K51" s="2"/>
      <c r="L51" s="7">
        <f t="shared" si="14"/>
        <v>1836.2727019230801</v>
      </c>
      <c r="M51" s="2"/>
      <c r="N51" s="6">
        <f t="shared" si="15"/>
        <v>0.53104812462563644</v>
      </c>
      <c r="O51" s="11"/>
      <c r="P51" s="7">
        <v>12666.43</v>
      </c>
      <c r="Q51" s="2"/>
      <c r="R51" s="6">
        <f t="shared" si="16"/>
        <v>5.6431949965405305E-3</v>
      </c>
      <c r="S51" s="2"/>
      <c r="T51" s="7">
        <v>20916.5972980769</v>
      </c>
      <c r="U51" s="2"/>
      <c r="V51" s="6">
        <f t="shared" si="17"/>
        <v>1.0748353722596438E-2</v>
      </c>
      <c r="W51" s="2"/>
      <c r="X51" s="7">
        <f t="shared" si="18"/>
        <v>-8250.1672980768999</v>
      </c>
      <c r="Y51" s="2"/>
      <c r="Z51" s="6">
        <f t="shared" si="19"/>
        <v>-0.3944316171749136</v>
      </c>
    </row>
    <row r="52" spans="1:26" s="24" customFormat="1" hidden="1" outlineLevel="2" x14ac:dyDescent="0.3">
      <c r="A52" s="27"/>
      <c r="B52" s="11" t="str">
        <f>CONCATENATE("          ", "6156", " - ", "EMPLOYEE MEALS")</f>
        <v xml:space="preserve">          6156 - EMPLOYEE MEALS</v>
      </c>
      <c r="C52" s="11"/>
      <c r="D52" s="7">
        <v>821.7</v>
      </c>
      <c r="E52" s="2"/>
      <c r="F52" s="6">
        <f t="shared" si="12"/>
        <v>4.6709814552315671E-3</v>
      </c>
      <c r="G52" s="2"/>
      <c r="H52" s="7">
        <v>875</v>
      </c>
      <c r="I52" s="2"/>
      <c r="J52" s="6">
        <f t="shared" si="13"/>
        <v>3.3130762386172166E-3</v>
      </c>
      <c r="K52" s="2"/>
      <c r="L52" s="7">
        <f t="shared" si="14"/>
        <v>-53.299999999999955</v>
      </c>
      <c r="M52" s="2"/>
      <c r="N52" s="6">
        <f t="shared" si="15"/>
        <v>-6.0914285714285664E-2</v>
      </c>
      <c r="O52" s="11"/>
      <c r="P52" s="7">
        <v>5394.28</v>
      </c>
      <c r="Q52" s="2"/>
      <c r="R52" s="6">
        <f t="shared" si="16"/>
        <v>2.4032796854313843E-3</v>
      </c>
      <c r="S52" s="2"/>
      <c r="T52" s="7">
        <v>6125</v>
      </c>
      <c r="U52" s="2"/>
      <c r="V52" s="6">
        <f t="shared" si="17"/>
        <v>3.1474367275291003E-3</v>
      </c>
      <c r="W52" s="2"/>
      <c r="X52" s="7">
        <f t="shared" si="18"/>
        <v>-730.72000000000025</v>
      </c>
      <c r="Y52" s="2"/>
      <c r="Z52" s="6">
        <f t="shared" si="19"/>
        <v>-0.11930122448979597</v>
      </c>
    </row>
    <row r="53" spans="1:26" s="28" customFormat="1" outlineLevel="1" collapsed="1" x14ac:dyDescent="0.3">
      <c r="A53" s="29"/>
      <c r="B53" s="14" t="str">
        <f>CONCATENATE("     ","*Payroll                                          ")</f>
        <v xml:space="preserve">     *Payroll                                          </v>
      </c>
      <c r="C53" s="14"/>
      <c r="D53" s="1">
        <f>SUM(OSRRefD22_1x_0)</f>
        <v>73548.78</v>
      </c>
      <c r="E53" s="1"/>
      <c r="F53" s="5">
        <f t="shared" ref="F53:F63" si="20">IF(D$12=0,0,D53/D$12)</f>
        <v>0.41809052870257563</v>
      </c>
      <c r="G53" s="1"/>
      <c r="H53" s="1">
        <f>SUM(OSRRefH22_1x_0)</f>
        <v>81308.532115384602</v>
      </c>
      <c r="I53" s="1"/>
      <c r="J53" s="5">
        <f t="shared" ref="J53:J63" si="21">IF(H$12=0,0,H53/H$12)</f>
        <v>0.30786441799808639</v>
      </c>
      <c r="K53" s="1"/>
      <c r="L53" s="1">
        <f t="shared" ref="L53:L63" si="22">+D53-H53</f>
        <v>-7759.7521153846028</v>
      </c>
      <c r="M53" s="1"/>
      <c r="N53" s="5">
        <f t="shared" ref="N53:N63" si="23">IF(H53=0,0,L53/H53)</f>
        <v>-9.5435889856832865E-2</v>
      </c>
      <c r="O53" s="14"/>
      <c r="P53" s="1">
        <f>SUM(OSRRefP22_1x_0)</f>
        <v>437091.96</v>
      </c>
      <c r="Q53" s="1"/>
      <c r="R53" s="5">
        <f t="shared" ref="R53:R63" si="24">IF(P$12=0,0,P53/P$12)</f>
        <v>0.19473483544298542</v>
      </c>
      <c r="S53" s="1"/>
      <c r="T53" s="1">
        <f>SUM(OSRRefT22_1x_0)</f>
        <v>488753.48211538501</v>
      </c>
      <c r="U53" s="1"/>
      <c r="V53" s="5">
        <f t="shared" ref="V53:V63" si="25">IF(T$12=0,0,T53/T$12)</f>
        <v>0.25115439352125712</v>
      </c>
      <c r="W53" s="1"/>
      <c r="X53" s="1">
        <f t="shared" ref="X53:X63" si="26">+P53-T53</f>
        <v>-51661.522115384985</v>
      </c>
      <c r="Y53" s="1"/>
      <c r="Z53" s="5">
        <f t="shared" ref="Z53:Z63" si="27">IF(T53=0,0,X53/T53)</f>
        <v>-0.10570057095406785</v>
      </c>
    </row>
    <row r="54" spans="1:26" s="24" customFormat="1" hidden="1" outlineLevel="2" x14ac:dyDescent="0.3">
      <c r="A54" s="27"/>
      <c r="B54" s="11" t="str">
        <f>CONCATENATE("          ", "6001", " - ", "ADMINISTRATIVE SALARIES")</f>
        <v xml:space="preserve">          6001 - ADMINISTRATIVE SALARIES</v>
      </c>
      <c r="C54" s="11"/>
      <c r="D54" s="7"/>
      <c r="E54" s="2"/>
      <c r="F54" s="6">
        <f t="shared" si="20"/>
        <v>0</v>
      </c>
      <c r="G54" s="2"/>
      <c r="H54" s="7">
        <v>0</v>
      </c>
      <c r="I54" s="2"/>
      <c r="J54" s="6">
        <f t="shared" si="21"/>
        <v>0</v>
      </c>
      <c r="K54" s="2"/>
      <c r="L54" s="7">
        <f t="shared" si="22"/>
        <v>0</v>
      </c>
      <c r="M54" s="2"/>
      <c r="N54" s="6">
        <f t="shared" si="23"/>
        <v>0</v>
      </c>
      <c r="O54" s="11"/>
      <c r="P54" s="7"/>
      <c r="Q54" s="2"/>
      <c r="R54" s="6">
        <f t="shared" si="24"/>
        <v>0</v>
      </c>
      <c r="S54" s="2"/>
      <c r="T54" s="7">
        <v>0</v>
      </c>
      <c r="U54" s="2"/>
      <c r="V54" s="6">
        <f t="shared" si="25"/>
        <v>0</v>
      </c>
      <c r="W54" s="2"/>
      <c r="X54" s="7">
        <f t="shared" si="26"/>
        <v>0</v>
      </c>
      <c r="Y54" s="2"/>
      <c r="Z54" s="6">
        <f t="shared" si="27"/>
        <v>0</v>
      </c>
    </row>
    <row r="55" spans="1:26" s="24" customFormat="1" hidden="1" outlineLevel="2" x14ac:dyDescent="0.3">
      <c r="A55" s="27"/>
      <c r="B55" s="11" t="str">
        <f>CONCATENATE("          ", "6002", " - ", "STAFF SALARIES")</f>
        <v xml:space="preserve">          6002 - STAFF SALARIES</v>
      </c>
      <c r="C55" s="11"/>
      <c r="D55" s="7">
        <v>18768.439999999999</v>
      </c>
      <c r="E55" s="2"/>
      <c r="F55" s="6">
        <f t="shared" si="20"/>
        <v>0.10668983227896599</v>
      </c>
      <c r="G55" s="2"/>
      <c r="H55" s="7">
        <v>18488.509615384599</v>
      </c>
      <c r="I55" s="2"/>
      <c r="J55" s="6">
        <f t="shared" si="21"/>
        <v>7.0004390736201891E-2</v>
      </c>
      <c r="K55" s="2"/>
      <c r="L55" s="7">
        <f t="shared" si="22"/>
        <v>279.93038461539982</v>
      </c>
      <c r="M55" s="2"/>
      <c r="N55" s="6">
        <f t="shared" si="23"/>
        <v>1.5140776105742187E-2</v>
      </c>
      <c r="O55" s="11"/>
      <c r="P55" s="7">
        <v>118622.39</v>
      </c>
      <c r="Q55" s="2"/>
      <c r="R55" s="6">
        <f t="shared" si="24"/>
        <v>5.2849088316572188E-2</v>
      </c>
      <c r="S55" s="2"/>
      <c r="T55" s="7">
        <v>114628.759615385</v>
      </c>
      <c r="U55" s="2"/>
      <c r="V55" s="6">
        <f t="shared" si="25"/>
        <v>5.8903962129725269E-2</v>
      </c>
      <c r="W55" s="2"/>
      <c r="X55" s="7">
        <f t="shared" si="26"/>
        <v>3993.6303846149967</v>
      </c>
      <c r="Y55" s="2"/>
      <c r="Z55" s="6">
        <f t="shared" si="27"/>
        <v>3.483968942885593E-2</v>
      </c>
    </row>
    <row r="56" spans="1:26" s="24" customFormat="1" hidden="1" outlineLevel="2" x14ac:dyDescent="0.3">
      <c r="A56" s="27"/>
      <c r="B56" s="11" t="str">
        <f>CONCATENATE("          ", "6003", " - ", "STAFF HOURLY-9 MONTH")</f>
        <v xml:space="preserve">          6003 - STAFF HOURLY-9 MONTH</v>
      </c>
      <c r="C56" s="11"/>
      <c r="D56" s="7"/>
      <c r="E56" s="2"/>
      <c r="F56" s="6">
        <f t="shared" si="20"/>
        <v>0</v>
      </c>
      <c r="G56" s="2"/>
      <c r="H56" s="7">
        <v>0</v>
      </c>
      <c r="I56" s="2"/>
      <c r="J56" s="6">
        <f t="shared" si="21"/>
        <v>0</v>
      </c>
      <c r="K56" s="2"/>
      <c r="L56" s="7">
        <f t="shared" si="22"/>
        <v>0</v>
      </c>
      <c r="M56" s="2"/>
      <c r="N56" s="6">
        <f t="shared" si="23"/>
        <v>0</v>
      </c>
      <c r="O56" s="11"/>
      <c r="P56" s="7"/>
      <c r="Q56" s="2"/>
      <c r="R56" s="6">
        <f t="shared" si="24"/>
        <v>0</v>
      </c>
      <c r="S56" s="2"/>
      <c r="T56" s="7">
        <v>0</v>
      </c>
      <c r="U56" s="2"/>
      <c r="V56" s="6">
        <f t="shared" si="25"/>
        <v>0</v>
      </c>
      <c r="W56" s="2"/>
      <c r="X56" s="7">
        <f t="shared" si="26"/>
        <v>0</v>
      </c>
      <c r="Y56" s="2"/>
      <c r="Z56" s="6">
        <f t="shared" si="27"/>
        <v>0</v>
      </c>
    </row>
    <row r="57" spans="1:26" s="24" customFormat="1" hidden="1" outlineLevel="2" x14ac:dyDescent="0.3">
      <c r="A57" s="27"/>
      <c r="B57" s="11" t="str">
        <f>CONCATENATE("          ", "6004", " - ", "STAFF HOURLY")</f>
        <v xml:space="preserve">          6004 - STAFF HOURLY</v>
      </c>
      <c r="C57" s="11"/>
      <c r="D57" s="7">
        <v>6306.96</v>
      </c>
      <c r="E57" s="2"/>
      <c r="F57" s="6">
        <f t="shared" si="20"/>
        <v>3.5852127539110726E-2</v>
      </c>
      <c r="G57" s="2"/>
      <c r="H57" s="7">
        <v>22931.759999999998</v>
      </c>
      <c r="I57" s="2"/>
      <c r="J57" s="6">
        <f t="shared" si="21"/>
        <v>8.682819333219742E-2</v>
      </c>
      <c r="K57" s="2"/>
      <c r="L57" s="7">
        <f t="shared" si="22"/>
        <v>-16624.8</v>
      </c>
      <c r="M57" s="2"/>
      <c r="N57" s="6">
        <f t="shared" si="23"/>
        <v>-0.72496834085129103</v>
      </c>
      <c r="O57" s="11"/>
      <c r="P57" s="7">
        <v>59811.53</v>
      </c>
      <c r="Q57" s="2"/>
      <c r="R57" s="6">
        <f t="shared" si="24"/>
        <v>2.6647455268093204E-2</v>
      </c>
      <c r="S57" s="2"/>
      <c r="T57" s="7">
        <v>139474.96</v>
      </c>
      <c r="U57" s="2"/>
      <c r="V57" s="6">
        <f t="shared" si="25"/>
        <v>7.1671610069330954E-2</v>
      </c>
      <c r="W57" s="2"/>
      <c r="X57" s="7">
        <f t="shared" si="26"/>
        <v>-79663.429999999993</v>
      </c>
      <c r="Y57" s="2"/>
      <c r="Z57" s="6">
        <f t="shared" si="27"/>
        <v>-0.57116653770684001</v>
      </c>
    </row>
    <row r="58" spans="1:26" s="24" customFormat="1" hidden="1" outlineLevel="2" x14ac:dyDescent="0.3">
      <c r="A58" s="27"/>
      <c r="B58" s="11" t="str">
        <f>CONCATENATE("          ", "6005", " - ", "TEMPORARY WAGES-HOURLY")</f>
        <v xml:space="preserve">          6005 - TEMPORARY WAGES-HOURLY</v>
      </c>
      <c r="C58" s="11"/>
      <c r="D58" s="7">
        <v>4337.68</v>
      </c>
      <c r="E58" s="2"/>
      <c r="F58" s="6">
        <f t="shared" si="20"/>
        <v>2.4657688741303231E-2</v>
      </c>
      <c r="G58" s="2"/>
      <c r="H58" s="7">
        <v>0</v>
      </c>
      <c r="I58" s="2"/>
      <c r="J58" s="6">
        <f t="shared" si="21"/>
        <v>0</v>
      </c>
      <c r="K58" s="2"/>
      <c r="L58" s="7">
        <f t="shared" si="22"/>
        <v>4337.68</v>
      </c>
      <c r="M58" s="2"/>
      <c r="N58" s="6">
        <f t="shared" si="23"/>
        <v>0</v>
      </c>
      <c r="O58" s="11"/>
      <c r="P58" s="7">
        <v>24414.33</v>
      </c>
      <c r="Q58" s="2"/>
      <c r="R58" s="6">
        <f t="shared" si="24"/>
        <v>1.0877163091722717E-2</v>
      </c>
      <c r="S58" s="2"/>
      <c r="T58" s="7">
        <v>0</v>
      </c>
      <c r="U58" s="2"/>
      <c r="V58" s="6">
        <f t="shared" si="25"/>
        <v>0</v>
      </c>
      <c r="W58" s="2"/>
      <c r="X58" s="7">
        <f t="shared" si="26"/>
        <v>24414.33</v>
      </c>
      <c r="Y58" s="2"/>
      <c r="Z58" s="6">
        <f t="shared" si="27"/>
        <v>0</v>
      </c>
    </row>
    <row r="59" spans="1:26" s="24" customFormat="1" hidden="1" outlineLevel="2" x14ac:dyDescent="0.3">
      <c r="A59" s="27"/>
      <c r="B59" s="11" t="str">
        <f>CONCATENATE("          ", "6006", " - ", "TEMPORARY PART TIME")</f>
        <v xml:space="preserve">          6006 - TEMPORARY PART TIME</v>
      </c>
      <c r="C59" s="11"/>
      <c r="D59" s="7"/>
      <c r="E59" s="2"/>
      <c r="F59" s="6">
        <f t="shared" si="20"/>
        <v>0</v>
      </c>
      <c r="G59" s="2"/>
      <c r="H59" s="7">
        <v>0</v>
      </c>
      <c r="I59" s="2"/>
      <c r="J59" s="6">
        <f t="shared" si="21"/>
        <v>0</v>
      </c>
      <c r="K59" s="2"/>
      <c r="L59" s="7">
        <f t="shared" si="22"/>
        <v>0</v>
      </c>
      <c r="M59" s="2"/>
      <c r="N59" s="6">
        <f t="shared" si="23"/>
        <v>0</v>
      </c>
      <c r="O59" s="11"/>
      <c r="P59" s="7"/>
      <c r="Q59" s="2"/>
      <c r="R59" s="6">
        <f t="shared" si="24"/>
        <v>0</v>
      </c>
      <c r="S59" s="2"/>
      <c r="T59" s="7">
        <v>0</v>
      </c>
      <c r="U59" s="2"/>
      <c r="V59" s="6">
        <f t="shared" si="25"/>
        <v>0</v>
      </c>
      <c r="W59" s="2"/>
      <c r="X59" s="7">
        <f t="shared" si="26"/>
        <v>0</v>
      </c>
      <c r="Y59" s="2"/>
      <c r="Z59" s="6">
        <f t="shared" si="27"/>
        <v>0</v>
      </c>
    </row>
    <row r="60" spans="1:26" s="24" customFormat="1" hidden="1" outlineLevel="2" x14ac:dyDescent="0.3">
      <c r="A60" s="27"/>
      <c r="B60" s="11" t="str">
        <f>CONCATENATE("          ", "6007", " - ", "STUDENT HOURLY")</f>
        <v xml:space="preserve">          6007 - STUDENT HOURLY</v>
      </c>
      <c r="C60" s="11"/>
      <c r="D60" s="7">
        <v>40211.74</v>
      </c>
      <c r="E60" s="2"/>
      <c r="F60" s="6">
        <f t="shared" si="20"/>
        <v>0.22858499674162516</v>
      </c>
      <c r="G60" s="2"/>
      <c r="H60" s="7">
        <v>36915</v>
      </c>
      <c r="I60" s="2"/>
      <c r="J60" s="6">
        <f t="shared" si="21"/>
        <v>0.1397739535412052</v>
      </c>
      <c r="K60" s="2"/>
      <c r="L60" s="7">
        <f t="shared" si="22"/>
        <v>3296.739999999998</v>
      </c>
      <c r="M60" s="2"/>
      <c r="N60" s="6">
        <f t="shared" si="23"/>
        <v>8.9306244074224508E-2</v>
      </c>
      <c r="O60" s="11"/>
      <c r="P60" s="7">
        <v>190356.82</v>
      </c>
      <c r="Q60" s="2"/>
      <c r="R60" s="6">
        <f t="shared" si="24"/>
        <v>8.4808478330624049E-2</v>
      </c>
      <c r="S60" s="2"/>
      <c r="T60" s="7">
        <v>159216.75</v>
      </c>
      <c r="U60" s="2"/>
      <c r="V60" s="6">
        <f t="shared" si="25"/>
        <v>8.1816268830664313E-2</v>
      </c>
      <c r="W60" s="2"/>
      <c r="X60" s="7">
        <f t="shared" si="26"/>
        <v>31140.070000000007</v>
      </c>
      <c r="Y60" s="2"/>
      <c r="Z60" s="6">
        <f t="shared" si="27"/>
        <v>0.19558287680159284</v>
      </c>
    </row>
    <row r="61" spans="1:26" s="24" customFormat="1" hidden="1" outlineLevel="2" x14ac:dyDescent="0.3">
      <c r="A61" s="27"/>
      <c r="B61" s="11" t="str">
        <f>CONCATENATE("          ", "6008", " - ", "STUDENT HOURLY-FICA EXEMPT")</f>
        <v xml:space="preserve">          6008 - STUDENT HOURLY-FICA EXEMPT</v>
      </c>
      <c r="C61" s="11"/>
      <c r="D61" s="7">
        <v>3923.96</v>
      </c>
      <c r="E61" s="2"/>
      <c r="F61" s="6">
        <f t="shared" si="20"/>
        <v>2.2305883401570477E-2</v>
      </c>
      <c r="G61" s="2"/>
      <c r="H61" s="7">
        <v>2973.2624999999998</v>
      </c>
      <c r="I61" s="2"/>
      <c r="J61" s="6">
        <f t="shared" si="21"/>
        <v>1.1257880388481854E-2</v>
      </c>
      <c r="K61" s="2"/>
      <c r="L61" s="7">
        <f t="shared" si="22"/>
        <v>950.69750000000022</v>
      </c>
      <c r="M61" s="2"/>
      <c r="N61" s="6">
        <f t="shared" si="23"/>
        <v>0.31974892899634672</v>
      </c>
      <c r="O61" s="11"/>
      <c r="P61" s="7">
        <v>43886.89</v>
      </c>
      <c r="Q61" s="2"/>
      <c r="R61" s="6">
        <f t="shared" si="24"/>
        <v>1.9552650435973248E-2</v>
      </c>
      <c r="S61" s="2"/>
      <c r="T61" s="7">
        <v>75433.012499999997</v>
      </c>
      <c r="U61" s="2"/>
      <c r="V61" s="6">
        <f t="shared" si="25"/>
        <v>3.8762552491536609E-2</v>
      </c>
      <c r="W61" s="2"/>
      <c r="X61" s="7">
        <f t="shared" si="26"/>
        <v>-31546.122499999998</v>
      </c>
      <c r="Y61" s="2"/>
      <c r="Z61" s="6">
        <f t="shared" si="27"/>
        <v>-0.41820048615982292</v>
      </c>
    </row>
    <row r="62" spans="1:26" s="24" customFormat="1" hidden="1" outlineLevel="2" x14ac:dyDescent="0.3">
      <c r="A62" s="27"/>
      <c r="B62" s="11" t="str">
        <f>CONCATENATE("          ", "6009", " - ", "TEMPORARY-SEASONAL")</f>
        <v xml:space="preserve">          6009 - TEMPORARY-SEASONAL</v>
      </c>
      <c r="C62" s="11"/>
      <c r="D62" s="7"/>
      <c r="E62" s="2"/>
      <c r="F62" s="6">
        <f t="shared" si="20"/>
        <v>0</v>
      </c>
      <c r="G62" s="2"/>
      <c r="H62" s="7">
        <v>0</v>
      </c>
      <c r="I62" s="2"/>
      <c r="J62" s="6">
        <f t="shared" si="21"/>
        <v>0</v>
      </c>
      <c r="K62" s="2"/>
      <c r="L62" s="7">
        <f t="shared" si="22"/>
        <v>0</v>
      </c>
      <c r="M62" s="2"/>
      <c r="N62" s="6">
        <f t="shared" si="23"/>
        <v>0</v>
      </c>
      <c r="O62" s="11"/>
      <c r="P62" s="7"/>
      <c r="Q62" s="2"/>
      <c r="R62" s="6">
        <f t="shared" si="24"/>
        <v>0</v>
      </c>
      <c r="S62" s="2"/>
      <c r="T62" s="7">
        <v>0</v>
      </c>
      <c r="U62" s="2"/>
      <c r="V62" s="6">
        <f t="shared" si="25"/>
        <v>0</v>
      </c>
      <c r="W62" s="2"/>
      <c r="X62" s="7">
        <f t="shared" si="26"/>
        <v>0</v>
      </c>
      <c r="Y62" s="2"/>
      <c r="Z62" s="6">
        <f t="shared" si="27"/>
        <v>0</v>
      </c>
    </row>
    <row r="63" spans="1:26" s="24" customFormat="1" hidden="1" outlineLevel="2" x14ac:dyDescent="0.3">
      <c r="A63" s="27"/>
      <c r="B63" s="11" t="str">
        <f>CONCATENATE("          ", "6010", " - ", "GRATUITY")</f>
        <v xml:space="preserve">          6010 - GRATUITY</v>
      </c>
      <c r="C63" s="11"/>
      <c r="D63" s="7"/>
      <c r="E63" s="2"/>
      <c r="F63" s="6">
        <f t="shared" si="20"/>
        <v>0</v>
      </c>
      <c r="G63" s="2"/>
      <c r="H63" s="7">
        <v>0</v>
      </c>
      <c r="I63" s="2"/>
      <c r="J63" s="6">
        <f t="shared" si="21"/>
        <v>0</v>
      </c>
      <c r="K63" s="2"/>
      <c r="L63" s="7">
        <f t="shared" si="22"/>
        <v>0</v>
      </c>
      <c r="M63" s="2"/>
      <c r="N63" s="6">
        <f t="shared" si="23"/>
        <v>0</v>
      </c>
      <c r="O63" s="11"/>
      <c r="P63" s="7"/>
      <c r="Q63" s="2"/>
      <c r="R63" s="6">
        <f t="shared" si="24"/>
        <v>0</v>
      </c>
      <c r="S63" s="2"/>
      <c r="T63" s="7">
        <v>0</v>
      </c>
      <c r="U63" s="2"/>
      <c r="V63" s="6">
        <f t="shared" si="25"/>
        <v>0</v>
      </c>
      <c r="W63" s="2"/>
      <c r="X63" s="7">
        <f t="shared" si="26"/>
        <v>0</v>
      </c>
      <c r="Y63" s="2"/>
      <c r="Z63" s="6">
        <f t="shared" si="27"/>
        <v>0</v>
      </c>
    </row>
    <row r="64" spans="1:26" s="28" customFormat="1" outlineLevel="1" collapsed="1" x14ac:dyDescent="0.3">
      <c r="A64" s="29"/>
      <c r="B64" s="14" t="str">
        <f>CONCATENATE("     ","Advertising/Promo                                 ")</f>
        <v xml:space="preserve">     Advertising/Promo                                 </v>
      </c>
      <c r="C64" s="14"/>
      <c r="D64" s="1">
        <f>SUM(OSRRefD22_2x_0)</f>
        <v>723.83</v>
      </c>
      <c r="E64" s="1"/>
      <c r="F64" s="5">
        <f t="shared" ref="F64:F78" si="28">IF(D$12=0,0,D64/D$12)</f>
        <v>4.1146361284413596E-3</v>
      </c>
      <c r="G64" s="1"/>
      <c r="H64" s="1">
        <f>SUM(OSRRefH22_2x_0)</f>
        <v>100</v>
      </c>
      <c r="I64" s="1"/>
      <c r="J64" s="5">
        <f t="shared" ref="J64:J78" si="29">IF(H$12=0,0,H64/H$12)</f>
        <v>3.7863728441339618E-4</v>
      </c>
      <c r="K64" s="1"/>
      <c r="L64" s="1">
        <f t="shared" ref="L64:L78" si="30">+D64-H64</f>
        <v>623.83000000000004</v>
      </c>
      <c r="M64" s="1"/>
      <c r="N64" s="5">
        <f t="shared" ref="N64:N78" si="31">IF(H64=0,0,L64/H64)</f>
        <v>6.2383000000000006</v>
      </c>
      <c r="O64" s="14"/>
      <c r="P64" s="1">
        <f>SUM(OSRRefP22_2x_0)</f>
        <v>4035.39</v>
      </c>
      <c r="Q64" s="1"/>
      <c r="R64" s="5">
        <f t="shared" ref="R64:R78" si="32">IF(P$12=0,0,P64/P$12)</f>
        <v>1.7978619592963203E-3</v>
      </c>
      <c r="S64" s="1"/>
      <c r="T64" s="1">
        <f>SUM(OSRRefT22_2x_0)</f>
        <v>2100</v>
      </c>
      <c r="U64" s="1"/>
      <c r="V64" s="5">
        <f t="shared" ref="V64:V78" si="33">IF(T$12=0,0,T64/T$12)</f>
        <v>1.079121163724263E-3</v>
      </c>
      <c r="W64" s="1"/>
      <c r="X64" s="1">
        <f t="shared" ref="X64:X78" si="34">+P64-T64</f>
        <v>1935.3899999999999</v>
      </c>
      <c r="Y64" s="1"/>
      <c r="Z64" s="5">
        <f t="shared" ref="Z64:Z78" si="35">IF(T64=0,0,X64/T64)</f>
        <v>0.92161428571428561</v>
      </c>
    </row>
    <row r="65" spans="1:26" s="24" customFormat="1" hidden="1" outlineLevel="2" x14ac:dyDescent="0.3">
      <c r="A65" s="27"/>
      <c r="B65" s="11" t="str">
        <f>CONCATENATE("          ", "6362", " - ", "ADVERTISING EXPENSE")</f>
        <v xml:space="preserve">          6362 - ADVERTISING EXPENSE</v>
      </c>
      <c r="C65" s="11"/>
      <c r="D65" s="7">
        <v>723.83</v>
      </c>
      <c r="E65" s="2"/>
      <c r="F65" s="6">
        <f t="shared" si="28"/>
        <v>4.1146361284413596E-3</v>
      </c>
      <c r="G65" s="2"/>
      <c r="H65" s="7">
        <v>100</v>
      </c>
      <c r="I65" s="2"/>
      <c r="J65" s="6">
        <f t="shared" si="29"/>
        <v>3.7863728441339618E-4</v>
      </c>
      <c r="K65" s="2"/>
      <c r="L65" s="7">
        <f t="shared" si="30"/>
        <v>623.83000000000004</v>
      </c>
      <c r="M65" s="2"/>
      <c r="N65" s="6">
        <f t="shared" si="31"/>
        <v>6.2383000000000006</v>
      </c>
      <c r="O65" s="11"/>
      <c r="P65" s="7">
        <v>4035.39</v>
      </c>
      <c r="Q65" s="2"/>
      <c r="R65" s="6">
        <f t="shared" si="32"/>
        <v>1.7978619592963203E-3</v>
      </c>
      <c r="S65" s="2"/>
      <c r="T65" s="7">
        <v>2100</v>
      </c>
      <c r="U65" s="2"/>
      <c r="V65" s="6">
        <f t="shared" si="33"/>
        <v>1.079121163724263E-3</v>
      </c>
      <c r="W65" s="2"/>
      <c r="X65" s="7">
        <f t="shared" si="34"/>
        <v>1935.3899999999999</v>
      </c>
      <c r="Y65" s="2"/>
      <c r="Z65" s="6">
        <f t="shared" si="35"/>
        <v>0.92161428571428561</v>
      </c>
    </row>
    <row r="66" spans="1:26" s="28" customFormat="1" outlineLevel="1" collapsed="1" x14ac:dyDescent="0.3">
      <c r="A66" s="29"/>
      <c r="B66" s="14" t="str">
        <f>CONCATENATE("     ","Bad Debts/Over/Short                              ")</f>
        <v xml:space="preserve">     Bad Debts/Over/Short                              </v>
      </c>
      <c r="C66" s="14"/>
      <c r="D66" s="1">
        <f>SUM(OSRRefD22_3x_0)</f>
        <v>-3.35</v>
      </c>
      <c r="E66" s="1"/>
      <c r="F66" s="5">
        <f t="shared" si="28"/>
        <v>-1.9043188359529939E-5</v>
      </c>
      <c r="G66" s="1"/>
      <c r="H66" s="1">
        <f>SUM(OSRRefH22_3x_0)</f>
        <v>10</v>
      </c>
      <c r="I66" s="1"/>
      <c r="J66" s="5">
        <f t="shared" si="29"/>
        <v>3.7863728441339617E-5</v>
      </c>
      <c r="K66" s="1"/>
      <c r="L66" s="1">
        <f t="shared" si="30"/>
        <v>-13.35</v>
      </c>
      <c r="M66" s="1"/>
      <c r="N66" s="5">
        <f t="shared" si="31"/>
        <v>-1.335</v>
      </c>
      <c r="O66" s="14"/>
      <c r="P66" s="1">
        <f>SUM(OSRRefP22_3x_0)</f>
        <v>-13.38</v>
      </c>
      <c r="Q66" s="1"/>
      <c r="R66" s="5">
        <f t="shared" si="32"/>
        <v>-5.9611073565094738E-6</v>
      </c>
      <c r="S66" s="1"/>
      <c r="T66" s="1">
        <f>SUM(OSRRefT22_3x_0)</f>
        <v>70</v>
      </c>
      <c r="U66" s="1"/>
      <c r="V66" s="5">
        <f t="shared" si="33"/>
        <v>3.5970705457475432E-5</v>
      </c>
      <c r="W66" s="1"/>
      <c r="X66" s="1">
        <f t="shared" si="34"/>
        <v>-83.38</v>
      </c>
      <c r="Y66" s="1"/>
      <c r="Z66" s="5">
        <f t="shared" si="35"/>
        <v>-1.1911428571428571</v>
      </c>
    </row>
    <row r="67" spans="1:26" s="24" customFormat="1" hidden="1" outlineLevel="2" x14ac:dyDescent="0.3">
      <c r="A67" s="27"/>
      <c r="B67" s="11" t="str">
        <f>CONCATENATE("          ", "6272", " - ", "CASH (OVER/SHORT)")</f>
        <v xml:space="preserve">          6272 - CASH (OVER/SHORT)</v>
      </c>
      <c r="C67" s="11"/>
      <c r="D67" s="7">
        <v>-3.35</v>
      </c>
      <c r="E67" s="2"/>
      <c r="F67" s="6">
        <f t="shared" si="28"/>
        <v>-1.9043188359529939E-5</v>
      </c>
      <c r="G67" s="2"/>
      <c r="H67" s="7">
        <v>10</v>
      </c>
      <c r="I67" s="2"/>
      <c r="J67" s="6">
        <f t="shared" si="29"/>
        <v>3.7863728441339617E-5</v>
      </c>
      <c r="K67" s="2"/>
      <c r="L67" s="7">
        <f t="shared" si="30"/>
        <v>-13.35</v>
      </c>
      <c r="M67" s="2"/>
      <c r="N67" s="6">
        <f t="shared" si="31"/>
        <v>-1.335</v>
      </c>
      <c r="O67" s="11"/>
      <c r="P67" s="7">
        <v>-13.38</v>
      </c>
      <c r="Q67" s="2"/>
      <c r="R67" s="6">
        <f t="shared" si="32"/>
        <v>-5.9611073565094738E-6</v>
      </c>
      <c r="S67" s="2"/>
      <c r="T67" s="7">
        <v>70</v>
      </c>
      <c r="U67" s="2"/>
      <c r="V67" s="6">
        <f t="shared" si="33"/>
        <v>3.5970705457475432E-5</v>
      </c>
      <c r="W67" s="2"/>
      <c r="X67" s="7">
        <f t="shared" si="34"/>
        <v>-83.38</v>
      </c>
      <c r="Y67" s="2"/>
      <c r="Z67" s="6">
        <f t="shared" si="35"/>
        <v>-1.1911428571428571</v>
      </c>
    </row>
    <row r="68" spans="1:26" s="28" customFormat="1" outlineLevel="1" collapsed="1" x14ac:dyDescent="0.3">
      <c r="A68" s="29"/>
      <c r="B68" s="14" t="str">
        <f>CONCATENATE("     ","Bank/card Fees                                    ")</f>
        <v xml:space="preserve">     Bank/card Fees                                    </v>
      </c>
      <c r="C68" s="14"/>
      <c r="D68" s="1">
        <f>SUM(OSRRefD22_4x_0)</f>
        <v>339.5</v>
      </c>
      <c r="E68" s="1"/>
      <c r="F68" s="5">
        <f t="shared" si="28"/>
        <v>1.9298992382269892E-3</v>
      </c>
      <c r="G68" s="1"/>
      <c r="H68" s="1">
        <f>SUM(OSRRefH22_4x_0)</f>
        <v>417</v>
      </c>
      <c r="I68" s="1"/>
      <c r="J68" s="5">
        <f t="shared" si="29"/>
        <v>1.5789174760038622E-3</v>
      </c>
      <c r="K68" s="1"/>
      <c r="L68" s="1">
        <f t="shared" si="30"/>
        <v>-77.5</v>
      </c>
      <c r="M68" s="1"/>
      <c r="N68" s="5">
        <f t="shared" si="31"/>
        <v>-0.18585131894484413</v>
      </c>
      <c r="O68" s="14"/>
      <c r="P68" s="1">
        <f>SUM(OSRRefP22_4x_0)</f>
        <v>3814.08</v>
      </c>
      <c r="Q68" s="1"/>
      <c r="R68" s="5">
        <f t="shared" si="32"/>
        <v>1.6992631051058037E-3</v>
      </c>
      <c r="S68" s="1"/>
      <c r="T68" s="1">
        <f>SUM(OSRRefT22_4x_0)</f>
        <v>3637</v>
      </c>
      <c r="U68" s="1"/>
      <c r="V68" s="5">
        <f t="shared" si="33"/>
        <v>1.8689350821262593E-3</v>
      </c>
      <c r="W68" s="1"/>
      <c r="X68" s="1">
        <f t="shared" si="34"/>
        <v>177.07999999999993</v>
      </c>
      <c r="Y68" s="1"/>
      <c r="Z68" s="5">
        <f t="shared" si="35"/>
        <v>4.8688479516084668E-2</v>
      </c>
    </row>
    <row r="69" spans="1:26" s="24" customFormat="1" hidden="1" outlineLevel="2" x14ac:dyDescent="0.3">
      <c r="A69" s="27"/>
      <c r="B69" s="11" t="str">
        <f>CONCATENATE("          ", "6381", " - ", "BANK/CREDIT CARD FEES")</f>
        <v xml:space="preserve">          6381 - BANK/CREDIT CARD FEES</v>
      </c>
      <c r="C69" s="11"/>
      <c r="D69" s="7">
        <v>339.5</v>
      </c>
      <c r="E69" s="2"/>
      <c r="F69" s="6">
        <f t="shared" si="28"/>
        <v>1.9298992382269892E-3</v>
      </c>
      <c r="G69" s="2"/>
      <c r="H69" s="7">
        <v>417</v>
      </c>
      <c r="I69" s="2"/>
      <c r="J69" s="6">
        <f t="shared" si="29"/>
        <v>1.5789174760038622E-3</v>
      </c>
      <c r="K69" s="2"/>
      <c r="L69" s="7">
        <f t="shared" si="30"/>
        <v>-77.5</v>
      </c>
      <c r="M69" s="2"/>
      <c r="N69" s="6">
        <f t="shared" si="31"/>
        <v>-0.18585131894484413</v>
      </c>
      <c r="O69" s="11"/>
      <c r="P69" s="7">
        <v>3814.08</v>
      </c>
      <c r="Q69" s="2"/>
      <c r="R69" s="6">
        <f t="shared" si="32"/>
        <v>1.6992631051058037E-3</v>
      </c>
      <c r="S69" s="2"/>
      <c r="T69" s="7">
        <v>3637</v>
      </c>
      <c r="U69" s="2"/>
      <c r="V69" s="6">
        <f t="shared" si="33"/>
        <v>1.8689350821262593E-3</v>
      </c>
      <c r="W69" s="2"/>
      <c r="X69" s="7">
        <f t="shared" si="34"/>
        <v>177.07999999999993</v>
      </c>
      <c r="Y69" s="2"/>
      <c r="Z69" s="6">
        <f t="shared" si="35"/>
        <v>4.8688479516084668E-2</v>
      </c>
    </row>
    <row r="70" spans="1:26" s="28" customFormat="1" outlineLevel="1" collapsed="1" x14ac:dyDescent="0.3">
      <c r="A70" s="29"/>
      <c r="B70" s="14" t="str">
        <f>CONCATENATE("     ","Discounts and Markdowns                           ")</f>
        <v xml:space="preserve">     Discounts and Markdowns                           </v>
      </c>
      <c r="C70" s="14"/>
      <c r="D70" s="1">
        <f>SUM(OSRRefD22_5x_0)</f>
        <v>0</v>
      </c>
      <c r="E70" s="1"/>
      <c r="F70" s="5">
        <f t="shared" si="28"/>
        <v>0</v>
      </c>
      <c r="G70" s="1"/>
      <c r="H70" s="1">
        <f>SUM(OSRRefH22_5x_0)</f>
        <v>0</v>
      </c>
      <c r="I70" s="1"/>
      <c r="J70" s="5">
        <f t="shared" si="29"/>
        <v>0</v>
      </c>
      <c r="K70" s="1"/>
      <c r="L70" s="1">
        <f t="shared" si="30"/>
        <v>0</v>
      </c>
      <c r="M70" s="1"/>
      <c r="N70" s="5">
        <f t="shared" si="31"/>
        <v>0</v>
      </c>
      <c r="O70" s="14"/>
      <c r="P70" s="1">
        <f>SUM(OSRRefP22_5x_0)</f>
        <v>0</v>
      </c>
      <c r="Q70" s="1"/>
      <c r="R70" s="5">
        <f t="shared" si="32"/>
        <v>0</v>
      </c>
      <c r="S70" s="1"/>
      <c r="T70" s="1">
        <f>SUM(OSRRefT22_5x_0)</f>
        <v>0</v>
      </c>
      <c r="U70" s="1"/>
      <c r="V70" s="5">
        <f t="shared" si="33"/>
        <v>0</v>
      </c>
      <c r="W70" s="1"/>
      <c r="X70" s="1">
        <f t="shared" si="34"/>
        <v>0</v>
      </c>
      <c r="Y70" s="1"/>
      <c r="Z70" s="5">
        <f t="shared" si="35"/>
        <v>0</v>
      </c>
    </row>
    <row r="71" spans="1:26" s="24" customFormat="1" hidden="1" outlineLevel="2" x14ac:dyDescent="0.3">
      <c r="A71" s="27"/>
      <c r="B71" s="11" t="str">
        <f>CONCATENATE("          ", "9175", " - ", "EARNED DISCOUNTS")</f>
        <v xml:space="preserve">          9175 - EARNED DISCOUNTS</v>
      </c>
      <c r="C71" s="11"/>
      <c r="D71" s="7"/>
      <c r="E71" s="2"/>
      <c r="F71" s="6">
        <f t="shared" si="28"/>
        <v>0</v>
      </c>
      <c r="G71" s="2"/>
      <c r="H71" s="7"/>
      <c r="I71" s="2"/>
      <c r="J71" s="6">
        <f t="shared" si="29"/>
        <v>0</v>
      </c>
      <c r="K71" s="2"/>
      <c r="L71" s="7">
        <f t="shared" si="30"/>
        <v>0</v>
      </c>
      <c r="M71" s="2"/>
      <c r="N71" s="6">
        <f t="shared" si="31"/>
        <v>0</v>
      </c>
      <c r="O71" s="11"/>
      <c r="P71" s="7">
        <v>0</v>
      </c>
      <c r="Q71" s="2"/>
      <c r="R71" s="6">
        <f t="shared" si="32"/>
        <v>0</v>
      </c>
      <c r="S71" s="2"/>
      <c r="T71" s="7"/>
      <c r="U71" s="2"/>
      <c r="V71" s="6">
        <f t="shared" si="33"/>
        <v>0</v>
      </c>
      <c r="W71" s="2"/>
      <c r="X71" s="7">
        <f t="shared" si="34"/>
        <v>0</v>
      </c>
      <c r="Y71" s="2"/>
      <c r="Z71" s="6">
        <f t="shared" si="35"/>
        <v>0</v>
      </c>
    </row>
    <row r="72" spans="1:26" s="28" customFormat="1" outlineLevel="1" collapsed="1" x14ac:dyDescent="0.3">
      <c r="A72" s="29"/>
      <c r="B72" s="14" t="str">
        <f>CONCATENATE("     ","Employees' Appreciation                           ")</f>
        <v xml:space="preserve">     Employees' Appreciation                           </v>
      </c>
      <c r="C72" s="14"/>
      <c r="D72" s="1">
        <f>SUM(OSRRefD22_6x_0)</f>
        <v>0</v>
      </c>
      <c r="E72" s="1"/>
      <c r="F72" s="5">
        <f t="shared" si="28"/>
        <v>0</v>
      </c>
      <c r="G72" s="1"/>
      <c r="H72" s="1">
        <f>SUM(OSRRefH22_6x_0)</f>
        <v>75</v>
      </c>
      <c r="I72" s="1"/>
      <c r="J72" s="5">
        <f t="shared" si="29"/>
        <v>2.8397796331004716E-4</v>
      </c>
      <c r="K72" s="1"/>
      <c r="L72" s="1">
        <f t="shared" si="30"/>
        <v>-75</v>
      </c>
      <c r="M72" s="1"/>
      <c r="N72" s="5">
        <f t="shared" si="31"/>
        <v>-1</v>
      </c>
      <c r="O72" s="14"/>
      <c r="P72" s="1">
        <f>SUM(OSRRefP22_6x_0)</f>
        <v>216.44</v>
      </c>
      <c r="Q72" s="1"/>
      <c r="R72" s="5">
        <f t="shared" si="32"/>
        <v>9.6429153680337114E-5</v>
      </c>
      <c r="S72" s="1"/>
      <c r="T72" s="1">
        <f>SUM(OSRRefT22_6x_0)</f>
        <v>525</v>
      </c>
      <c r="U72" s="1"/>
      <c r="V72" s="5">
        <f t="shared" si="33"/>
        <v>2.6978029093106576E-4</v>
      </c>
      <c r="W72" s="1"/>
      <c r="X72" s="1">
        <f t="shared" si="34"/>
        <v>-308.56</v>
      </c>
      <c r="Y72" s="1"/>
      <c r="Z72" s="5">
        <f t="shared" si="35"/>
        <v>-0.58773333333333333</v>
      </c>
    </row>
    <row r="73" spans="1:26" s="24" customFormat="1" hidden="1" outlineLevel="2" x14ac:dyDescent="0.3">
      <c r="A73" s="27"/>
      <c r="B73" s="11" t="str">
        <f>CONCATENATE("          ", "6277", " - ", "EMPLOYEE APPRECIATION")</f>
        <v xml:space="preserve">          6277 - EMPLOYEE APPRECIATION</v>
      </c>
      <c r="C73" s="11"/>
      <c r="D73" s="7"/>
      <c r="E73" s="2"/>
      <c r="F73" s="6">
        <f t="shared" si="28"/>
        <v>0</v>
      </c>
      <c r="G73" s="2"/>
      <c r="H73" s="7">
        <v>75</v>
      </c>
      <c r="I73" s="2"/>
      <c r="J73" s="6">
        <f t="shared" si="29"/>
        <v>2.8397796331004716E-4</v>
      </c>
      <c r="K73" s="2"/>
      <c r="L73" s="7">
        <f t="shared" si="30"/>
        <v>-75</v>
      </c>
      <c r="M73" s="2"/>
      <c r="N73" s="6">
        <f t="shared" si="31"/>
        <v>-1</v>
      </c>
      <c r="O73" s="11"/>
      <c r="P73" s="7">
        <v>216.44</v>
      </c>
      <c r="Q73" s="2"/>
      <c r="R73" s="6">
        <f t="shared" si="32"/>
        <v>9.6429153680337114E-5</v>
      </c>
      <c r="S73" s="2"/>
      <c r="T73" s="7">
        <v>525</v>
      </c>
      <c r="U73" s="2"/>
      <c r="V73" s="6">
        <f t="shared" si="33"/>
        <v>2.6978029093106576E-4</v>
      </c>
      <c r="W73" s="2"/>
      <c r="X73" s="7">
        <f t="shared" si="34"/>
        <v>-308.56</v>
      </c>
      <c r="Y73" s="2"/>
      <c r="Z73" s="6">
        <f t="shared" si="35"/>
        <v>-0.58773333333333333</v>
      </c>
    </row>
    <row r="74" spans="1:26" s="28" customFormat="1" outlineLevel="1" collapsed="1" x14ac:dyDescent="0.3">
      <c r="A74" s="29"/>
      <c r="B74" s="14" t="str">
        <f>CONCATENATE("     ","Equipment Rental                                  ")</f>
        <v xml:space="preserve">     Equipment Rental                                  </v>
      </c>
      <c r="C74" s="14"/>
      <c r="D74" s="1">
        <f>SUM(OSRRefD22_7x_0)</f>
        <v>0</v>
      </c>
      <c r="E74" s="1"/>
      <c r="F74" s="5">
        <f t="shared" si="28"/>
        <v>0</v>
      </c>
      <c r="G74" s="1"/>
      <c r="H74" s="1">
        <f>SUM(OSRRefH22_7x_0)</f>
        <v>0</v>
      </c>
      <c r="I74" s="1"/>
      <c r="J74" s="5">
        <f t="shared" si="29"/>
        <v>0</v>
      </c>
      <c r="K74" s="1"/>
      <c r="L74" s="1">
        <f t="shared" si="30"/>
        <v>0</v>
      </c>
      <c r="M74" s="1"/>
      <c r="N74" s="5">
        <f t="shared" si="31"/>
        <v>0</v>
      </c>
      <c r="O74" s="14"/>
      <c r="P74" s="1">
        <f>SUM(OSRRefP22_7x_0)</f>
        <v>118.91</v>
      </c>
      <c r="Q74" s="1"/>
      <c r="R74" s="5">
        <f t="shared" si="32"/>
        <v>5.2977225393314016E-5</v>
      </c>
      <c r="S74" s="1"/>
      <c r="T74" s="1">
        <f>SUM(OSRRefT22_7x_0)</f>
        <v>0</v>
      </c>
      <c r="U74" s="1"/>
      <c r="V74" s="5">
        <f t="shared" si="33"/>
        <v>0</v>
      </c>
      <c r="W74" s="1"/>
      <c r="X74" s="1">
        <f t="shared" si="34"/>
        <v>118.91</v>
      </c>
      <c r="Y74" s="1"/>
      <c r="Z74" s="5">
        <f t="shared" si="35"/>
        <v>0</v>
      </c>
    </row>
    <row r="75" spans="1:26" s="24" customFormat="1" hidden="1" outlineLevel="2" x14ac:dyDescent="0.3">
      <c r="A75" s="27"/>
      <c r="B75" s="11" t="str">
        <f>CONCATENATE("          ", "6351", " - ", "EQUIPMENT RENTAL")</f>
        <v xml:space="preserve">          6351 - EQUIPMENT RENTAL</v>
      </c>
      <c r="C75" s="11"/>
      <c r="D75" s="7"/>
      <c r="E75" s="2"/>
      <c r="F75" s="6">
        <f t="shared" si="28"/>
        <v>0</v>
      </c>
      <c r="G75" s="2"/>
      <c r="H75" s="7"/>
      <c r="I75" s="2"/>
      <c r="J75" s="6">
        <f t="shared" si="29"/>
        <v>0</v>
      </c>
      <c r="K75" s="2"/>
      <c r="L75" s="7">
        <f t="shared" si="30"/>
        <v>0</v>
      </c>
      <c r="M75" s="2"/>
      <c r="N75" s="6">
        <f t="shared" si="31"/>
        <v>0</v>
      </c>
      <c r="O75" s="11"/>
      <c r="P75" s="7">
        <v>118.91</v>
      </c>
      <c r="Q75" s="2"/>
      <c r="R75" s="6">
        <f t="shared" si="32"/>
        <v>5.2977225393314016E-5</v>
      </c>
      <c r="S75" s="2"/>
      <c r="T75" s="7"/>
      <c r="U75" s="2"/>
      <c r="V75" s="6">
        <f t="shared" si="33"/>
        <v>0</v>
      </c>
      <c r="W75" s="2"/>
      <c r="X75" s="7">
        <f t="shared" si="34"/>
        <v>118.91</v>
      </c>
      <c r="Y75" s="2"/>
      <c r="Z75" s="6">
        <f t="shared" si="35"/>
        <v>0</v>
      </c>
    </row>
    <row r="76" spans="1:26" s="28" customFormat="1" outlineLevel="1" collapsed="1" x14ac:dyDescent="0.3">
      <c r="A76" s="29"/>
      <c r="B76" s="14" t="str">
        <f>CONCATENATE("     ","Freight out/Postage                               ")</f>
        <v xml:space="preserve">     Freight out/Postage                               </v>
      </c>
      <c r="C76" s="14"/>
      <c r="D76" s="1">
        <f>SUM(OSRRefD22_8x_0)</f>
        <v>0</v>
      </c>
      <c r="E76" s="1"/>
      <c r="F76" s="5">
        <f t="shared" si="28"/>
        <v>0</v>
      </c>
      <c r="G76" s="1"/>
      <c r="H76" s="1">
        <f>SUM(OSRRefH22_8x_0)</f>
        <v>50</v>
      </c>
      <c r="I76" s="1"/>
      <c r="J76" s="5">
        <f t="shared" si="29"/>
        <v>1.8931864220669809E-4</v>
      </c>
      <c r="K76" s="1"/>
      <c r="L76" s="1">
        <f t="shared" si="30"/>
        <v>-50</v>
      </c>
      <c r="M76" s="1"/>
      <c r="N76" s="5">
        <f t="shared" si="31"/>
        <v>-1</v>
      </c>
      <c r="O76" s="14"/>
      <c r="P76" s="1">
        <f>SUM(OSRRefP22_8x_0)</f>
        <v>929.29</v>
      </c>
      <c r="Q76" s="1"/>
      <c r="R76" s="5">
        <f t="shared" si="32"/>
        <v>4.1402073657180038E-4</v>
      </c>
      <c r="S76" s="1"/>
      <c r="T76" s="1">
        <f>SUM(OSRRefT22_8x_0)</f>
        <v>350</v>
      </c>
      <c r="U76" s="1"/>
      <c r="V76" s="5">
        <f t="shared" si="33"/>
        <v>1.7985352728737717E-4</v>
      </c>
      <c r="W76" s="1"/>
      <c r="X76" s="1">
        <f t="shared" si="34"/>
        <v>579.29</v>
      </c>
      <c r="Y76" s="1"/>
      <c r="Z76" s="5">
        <f t="shared" si="35"/>
        <v>1.6551142857142855</v>
      </c>
    </row>
    <row r="77" spans="1:26" s="24" customFormat="1" hidden="1" outlineLevel="2" x14ac:dyDescent="0.3">
      <c r="A77" s="27"/>
      <c r="B77" s="11" t="str">
        <f>CONCATENATE("          ", "6305", " - ", "FREIGHT OUT")</f>
        <v xml:space="preserve">          6305 - FREIGHT OUT</v>
      </c>
      <c r="C77" s="11"/>
      <c r="D77" s="7"/>
      <c r="E77" s="2"/>
      <c r="F77" s="6">
        <f t="shared" si="28"/>
        <v>0</v>
      </c>
      <c r="G77" s="2"/>
      <c r="H77" s="7">
        <v>50</v>
      </c>
      <c r="I77" s="2"/>
      <c r="J77" s="6">
        <f t="shared" si="29"/>
        <v>1.8931864220669809E-4</v>
      </c>
      <c r="K77" s="2"/>
      <c r="L77" s="7">
        <f t="shared" si="30"/>
        <v>-50</v>
      </c>
      <c r="M77" s="2"/>
      <c r="N77" s="6">
        <f t="shared" si="31"/>
        <v>-1</v>
      </c>
      <c r="O77" s="11"/>
      <c r="P77" s="7">
        <v>893.87</v>
      </c>
      <c r="Q77" s="2"/>
      <c r="R77" s="6">
        <f t="shared" si="32"/>
        <v>3.98240286454643E-4</v>
      </c>
      <c r="S77" s="2"/>
      <c r="T77" s="7">
        <v>350</v>
      </c>
      <c r="U77" s="2"/>
      <c r="V77" s="6">
        <f t="shared" si="33"/>
        <v>1.7985352728737717E-4</v>
      </c>
      <c r="W77" s="2"/>
      <c r="X77" s="7">
        <f t="shared" si="34"/>
        <v>543.87</v>
      </c>
      <c r="Y77" s="2"/>
      <c r="Z77" s="6">
        <f t="shared" si="35"/>
        <v>1.5539142857142858</v>
      </c>
    </row>
    <row r="78" spans="1:26" s="24" customFormat="1" hidden="1" outlineLevel="2" x14ac:dyDescent="0.3">
      <c r="A78" s="27"/>
      <c r="B78" s="11" t="str">
        <f>CONCATENATE("          ", "6307", " - ", "POSTAGE")</f>
        <v xml:space="preserve">          6307 - POSTAGE</v>
      </c>
      <c r="C78" s="11"/>
      <c r="D78" s="7"/>
      <c r="E78" s="2"/>
      <c r="F78" s="6">
        <f t="shared" si="28"/>
        <v>0</v>
      </c>
      <c r="G78" s="2"/>
      <c r="H78" s="7"/>
      <c r="I78" s="2"/>
      <c r="J78" s="6">
        <f t="shared" si="29"/>
        <v>0</v>
      </c>
      <c r="K78" s="2"/>
      <c r="L78" s="7">
        <f t="shared" si="30"/>
        <v>0</v>
      </c>
      <c r="M78" s="2"/>
      <c r="N78" s="6">
        <f t="shared" si="31"/>
        <v>0</v>
      </c>
      <c r="O78" s="11"/>
      <c r="P78" s="7">
        <v>35.42</v>
      </c>
      <c r="Q78" s="2"/>
      <c r="R78" s="6">
        <f t="shared" si="32"/>
        <v>1.5780450117157368E-5</v>
      </c>
      <c r="S78" s="2"/>
      <c r="T78" s="7"/>
      <c r="U78" s="2"/>
      <c r="V78" s="6">
        <f t="shared" si="33"/>
        <v>0</v>
      </c>
      <c r="W78" s="2"/>
      <c r="X78" s="7">
        <f t="shared" si="34"/>
        <v>35.42</v>
      </c>
      <c r="Y78" s="2"/>
      <c r="Z78" s="6">
        <f t="shared" si="35"/>
        <v>0</v>
      </c>
    </row>
    <row r="79" spans="1:26" s="28" customFormat="1" outlineLevel="1" collapsed="1" x14ac:dyDescent="0.3">
      <c r="A79" s="29"/>
      <c r="B79" s="14" t="str">
        <f>CONCATENATE("     ","General                                           ")</f>
        <v xml:space="preserve">     General                                           </v>
      </c>
      <c r="C79" s="14"/>
      <c r="D79" s="1">
        <f>SUM(OSRRefD22_9x_0)</f>
        <v>0</v>
      </c>
      <c r="E79" s="1"/>
      <c r="F79" s="5">
        <f t="shared" ref="F79:F81" si="36">IF(D$12=0,0,D79/D$12)</f>
        <v>0</v>
      </c>
      <c r="G79" s="1"/>
      <c r="H79" s="1">
        <f>SUM(OSRRefH22_9x_0)</f>
        <v>0</v>
      </c>
      <c r="I79" s="1"/>
      <c r="J79" s="5">
        <f t="shared" ref="J79:J81" si="37">IF(H$12=0,0,H79/H$12)</f>
        <v>0</v>
      </c>
      <c r="K79" s="1"/>
      <c r="L79" s="1">
        <f t="shared" ref="L79:L81" si="38">+D79-H79</f>
        <v>0</v>
      </c>
      <c r="M79" s="1"/>
      <c r="N79" s="5">
        <f t="shared" ref="N79:N81" si="39">IF(H79=0,0,L79/H79)</f>
        <v>0</v>
      </c>
      <c r="O79" s="14"/>
      <c r="P79" s="1">
        <f>SUM(OSRRefP22_9x_0)</f>
        <v>1295.0899999999999</v>
      </c>
      <c r="Q79" s="1"/>
      <c r="R79" s="5">
        <f t="shared" ref="R79:R81" si="40">IF(P$12=0,0,P79/P$12)</f>
        <v>5.7699331288055711E-4</v>
      </c>
      <c r="S79" s="1"/>
      <c r="T79" s="1">
        <f>SUM(OSRRefT22_9x_0)</f>
        <v>1250</v>
      </c>
      <c r="U79" s="1"/>
      <c r="V79" s="5">
        <f t="shared" ref="V79:V81" si="41">IF(T$12=0,0,T79/T$12)</f>
        <v>6.4233402602634703E-4</v>
      </c>
      <c r="W79" s="1"/>
      <c r="X79" s="1">
        <f t="shared" ref="X79:X81" si="42">+P79-T79</f>
        <v>45.089999999999918</v>
      </c>
      <c r="Y79" s="1"/>
      <c r="Z79" s="5">
        <f t="shared" ref="Z79:Z81" si="43">IF(T79=0,0,X79/T79)</f>
        <v>3.6071999999999937E-2</v>
      </c>
    </row>
    <row r="80" spans="1:26" s="24" customFormat="1" hidden="1" outlineLevel="2" x14ac:dyDescent="0.3">
      <c r="A80" s="27"/>
      <c r="B80" s="11" t="str">
        <f>CONCATENATE("          ", "6276", " - ", "PROPERTY TAX")</f>
        <v xml:space="preserve">          6276 - PROPERTY TAX</v>
      </c>
      <c r="C80" s="11"/>
      <c r="D80" s="7"/>
      <c r="E80" s="2"/>
      <c r="F80" s="6">
        <f t="shared" si="36"/>
        <v>0</v>
      </c>
      <c r="G80" s="2"/>
      <c r="H80" s="7"/>
      <c r="I80" s="2"/>
      <c r="J80" s="6">
        <f t="shared" si="37"/>
        <v>0</v>
      </c>
      <c r="K80" s="2"/>
      <c r="L80" s="7">
        <f t="shared" si="38"/>
        <v>0</v>
      </c>
      <c r="M80" s="2"/>
      <c r="N80" s="6">
        <f t="shared" si="39"/>
        <v>0</v>
      </c>
      <c r="O80" s="11"/>
      <c r="P80" s="7"/>
      <c r="Q80" s="2"/>
      <c r="R80" s="6">
        <f t="shared" si="40"/>
        <v>0</v>
      </c>
      <c r="S80" s="2"/>
      <c r="T80" s="7">
        <v>1250</v>
      </c>
      <c r="U80" s="2"/>
      <c r="V80" s="6">
        <f t="shared" si="41"/>
        <v>6.4233402602634703E-4</v>
      </c>
      <c r="W80" s="2"/>
      <c r="X80" s="7">
        <f t="shared" si="42"/>
        <v>-1250</v>
      </c>
      <c r="Y80" s="2"/>
      <c r="Z80" s="6">
        <f t="shared" si="43"/>
        <v>-1</v>
      </c>
    </row>
    <row r="81" spans="1:26" s="24" customFormat="1" hidden="1" outlineLevel="2" x14ac:dyDescent="0.3">
      <c r="A81" s="27"/>
      <c r="B81" s="11" t="str">
        <f>CONCATENATE("          ", "6279", " - ", "GENERAL EXPENSE")</f>
        <v xml:space="preserve">          6279 - GENERAL EXPENSE</v>
      </c>
      <c r="C81" s="11"/>
      <c r="D81" s="7"/>
      <c r="E81" s="2"/>
      <c r="F81" s="6">
        <f t="shared" si="36"/>
        <v>0</v>
      </c>
      <c r="G81" s="2"/>
      <c r="H81" s="7">
        <v>0</v>
      </c>
      <c r="I81" s="2"/>
      <c r="J81" s="6">
        <f t="shared" si="37"/>
        <v>0</v>
      </c>
      <c r="K81" s="2"/>
      <c r="L81" s="7">
        <f t="shared" si="38"/>
        <v>0</v>
      </c>
      <c r="M81" s="2"/>
      <c r="N81" s="6">
        <f t="shared" si="39"/>
        <v>0</v>
      </c>
      <c r="O81" s="11"/>
      <c r="P81" s="7">
        <v>1295.0899999999999</v>
      </c>
      <c r="Q81" s="2"/>
      <c r="R81" s="6">
        <f t="shared" si="40"/>
        <v>5.7699331288055711E-4</v>
      </c>
      <c r="S81" s="2"/>
      <c r="T81" s="7">
        <v>0</v>
      </c>
      <c r="U81" s="2"/>
      <c r="V81" s="6">
        <f t="shared" si="41"/>
        <v>0</v>
      </c>
      <c r="W81" s="2"/>
      <c r="X81" s="7">
        <f t="shared" si="42"/>
        <v>1295.0899999999999</v>
      </c>
      <c r="Y81" s="2"/>
      <c r="Z81" s="6">
        <f t="shared" si="43"/>
        <v>0</v>
      </c>
    </row>
    <row r="82" spans="1:26" s="28" customFormat="1" outlineLevel="1" collapsed="1" x14ac:dyDescent="0.3">
      <c r="A82" s="29"/>
      <c r="B82" s="14" t="str">
        <f>CONCATENATE("     ","Insurance                                         ")</f>
        <v xml:space="preserve">     Insurance                                         </v>
      </c>
      <c r="C82" s="14"/>
      <c r="D82" s="1">
        <f>SUM(OSRRefD22_10x_0)</f>
        <v>219.08</v>
      </c>
      <c r="E82" s="1"/>
      <c r="F82" s="5">
        <f t="shared" ref="F82:F92" si="44">IF(D$12=0,0,D82/D$12)</f>
        <v>1.2453676733748713E-3</v>
      </c>
      <c r="G82" s="1"/>
      <c r="H82" s="1">
        <f>SUM(OSRRefH22_10x_0)</f>
        <v>175</v>
      </c>
      <c r="I82" s="1"/>
      <c r="J82" s="5">
        <f t="shared" ref="J82:J92" si="45">IF(H$12=0,0,H82/H$12)</f>
        <v>6.6261524772344329E-4</v>
      </c>
      <c r="K82" s="1"/>
      <c r="L82" s="1">
        <f t="shared" ref="L82:L92" si="46">+D82-H82</f>
        <v>44.080000000000013</v>
      </c>
      <c r="M82" s="1"/>
      <c r="N82" s="5">
        <f t="shared" ref="N82:N92" si="47">IF(H82=0,0,L82/H82)</f>
        <v>0.25188571428571438</v>
      </c>
      <c r="O82" s="14"/>
      <c r="P82" s="1">
        <f>SUM(OSRRefP22_10x_0)</f>
        <v>1533.56</v>
      </c>
      <c r="Q82" s="1"/>
      <c r="R82" s="5">
        <f t="shared" ref="R82:R92" si="48">IF(P$12=0,0,P82/P$12)</f>
        <v>6.8323735408435489E-4</v>
      </c>
      <c r="S82" s="1"/>
      <c r="T82" s="1">
        <f>SUM(OSRRefT22_10x_0)</f>
        <v>1225</v>
      </c>
      <c r="U82" s="1"/>
      <c r="V82" s="5">
        <f t="shared" ref="V82:V92" si="49">IF(T$12=0,0,T82/T$12)</f>
        <v>6.2948734550582011E-4</v>
      </c>
      <c r="W82" s="1"/>
      <c r="X82" s="1">
        <f t="shared" ref="X82:X92" si="50">+P82-T82</f>
        <v>308.55999999999995</v>
      </c>
      <c r="Y82" s="1"/>
      <c r="Z82" s="5">
        <f t="shared" ref="Z82:Z92" si="51">IF(T82=0,0,X82/T82)</f>
        <v>0.25188571428571427</v>
      </c>
    </row>
    <row r="83" spans="1:26" s="24" customFormat="1" hidden="1" outlineLevel="2" x14ac:dyDescent="0.3">
      <c r="A83" s="27"/>
      <c r="B83" s="11" t="str">
        <f>CONCATENATE("          ", "6314", " - ", "LIABILITY INSURANCE")</f>
        <v xml:space="preserve">          6314 - LIABILITY INSURANCE</v>
      </c>
      <c r="C83" s="11"/>
      <c r="D83" s="7">
        <v>219.08</v>
      </c>
      <c r="E83" s="2"/>
      <c r="F83" s="6">
        <f t="shared" si="44"/>
        <v>1.2453676733748713E-3</v>
      </c>
      <c r="G83" s="2"/>
      <c r="H83" s="7">
        <v>175</v>
      </c>
      <c r="I83" s="2"/>
      <c r="J83" s="6">
        <f t="shared" si="45"/>
        <v>6.6261524772344329E-4</v>
      </c>
      <c r="K83" s="2"/>
      <c r="L83" s="7">
        <f t="shared" si="46"/>
        <v>44.080000000000013</v>
      </c>
      <c r="M83" s="2"/>
      <c r="N83" s="6">
        <f t="shared" si="47"/>
        <v>0.25188571428571438</v>
      </c>
      <c r="O83" s="11"/>
      <c r="P83" s="7">
        <v>1533.56</v>
      </c>
      <c r="Q83" s="2"/>
      <c r="R83" s="6">
        <f t="shared" si="48"/>
        <v>6.8323735408435489E-4</v>
      </c>
      <c r="S83" s="2"/>
      <c r="T83" s="7">
        <v>1225</v>
      </c>
      <c r="U83" s="2"/>
      <c r="V83" s="6">
        <f t="shared" si="49"/>
        <v>6.2948734550582011E-4</v>
      </c>
      <c r="W83" s="2"/>
      <c r="X83" s="7">
        <f t="shared" si="50"/>
        <v>308.55999999999995</v>
      </c>
      <c r="Y83" s="2"/>
      <c r="Z83" s="6">
        <f t="shared" si="51"/>
        <v>0.25188571428571427</v>
      </c>
    </row>
    <row r="84" spans="1:26" s="28" customFormat="1" outlineLevel="1" collapsed="1" x14ac:dyDescent="0.3">
      <c r="A84" s="29"/>
      <c r="B84" s="14" t="str">
        <f>CONCATENATE("     ","Inventory Adjustment                              ")</f>
        <v xml:space="preserve">     Inventory Adjustment                              </v>
      </c>
      <c r="C84" s="14"/>
      <c r="D84" s="1">
        <f>SUM(OSRRefD22_11x_0)</f>
        <v>3450</v>
      </c>
      <c r="E84" s="1"/>
      <c r="F84" s="5">
        <f t="shared" si="44"/>
        <v>1.9611641743396503E-2</v>
      </c>
      <c r="G84" s="1"/>
      <c r="H84" s="1">
        <f>SUM(OSRRefH22_11x_0)</f>
        <v>3450</v>
      </c>
      <c r="I84" s="1"/>
      <c r="J84" s="5">
        <f t="shared" si="45"/>
        <v>1.3062986312262168E-2</v>
      </c>
      <c r="K84" s="1"/>
      <c r="L84" s="1">
        <f t="shared" si="46"/>
        <v>0</v>
      </c>
      <c r="M84" s="1"/>
      <c r="N84" s="5">
        <f t="shared" si="47"/>
        <v>0</v>
      </c>
      <c r="O84" s="14"/>
      <c r="P84" s="1">
        <f>SUM(OSRRefP22_11x_0)</f>
        <v>24150</v>
      </c>
      <c r="Q84" s="1"/>
      <c r="R84" s="5">
        <f t="shared" si="48"/>
        <v>1.075939780715275E-2</v>
      </c>
      <c r="S84" s="1"/>
      <c r="T84" s="1">
        <f>SUM(OSRRefT22_11x_0)</f>
        <v>24150</v>
      </c>
      <c r="U84" s="1"/>
      <c r="V84" s="5">
        <f t="shared" si="49"/>
        <v>1.2409893382829024E-2</v>
      </c>
      <c r="W84" s="1"/>
      <c r="X84" s="1">
        <f t="shared" si="50"/>
        <v>0</v>
      </c>
      <c r="Y84" s="1"/>
      <c r="Z84" s="5">
        <f t="shared" si="51"/>
        <v>0</v>
      </c>
    </row>
    <row r="85" spans="1:26" s="24" customFormat="1" hidden="1" outlineLevel="2" x14ac:dyDescent="0.3">
      <c r="A85" s="27"/>
      <c r="B85" s="11" t="str">
        <f>CONCATENATE("          ", "6408", " - ", "INVENTORY ADJUSTMENT")</f>
        <v xml:space="preserve">          6408 - INVENTORY ADJUSTMENT</v>
      </c>
      <c r="C85" s="11"/>
      <c r="D85" s="7">
        <v>3450</v>
      </c>
      <c r="E85" s="2"/>
      <c r="F85" s="6">
        <f t="shared" si="44"/>
        <v>1.9611641743396503E-2</v>
      </c>
      <c r="G85" s="2"/>
      <c r="H85" s="7">
        <v>3450</v>
      </c>
      <c r="I85" s="2"/>
      <c r="J85" s="6">
        <f t="shared" si="45"/>
        <v>1.3062986312262168E-2</v>
      </c>
      <c r="K85" s="2"/>
      <c r="L85" s="7">
        <f t="shared" si="46"/>
        <v>0</v>
      </c>
      <c r="M85" s="2"/>
      <c r="N85" s="6">
        <f t="shared" si="47"/>
        <v>0</v>
      </c>
      <c r="O85" s="11"/>
      <c r="P85" s="7">
        <v>24150</v>
      </c>
      <c r="Q85" s="2"/>
      <c r="R85" s="6">
        <f t="shared" si="48"/>
        <v>1.075939780715275E-2</v>
      </c>
      <c r="S85" s="2"/>
      <c r="T85" s="7">
        <v>24150</v>
      </c>
      <c r="U85" s="2"/>
      <c r="V85" s="6">
        <f t="shared" si="49"/>
        <v>1.2409893382829024E-2</v>
      </c>
      <c r="W85" s="2"/>
      <c r="X85" s="7">
        <f t="shared" si="50"/>
        <v>0</v>
      </c>
      <c r="Y85" s="2"/>
      <c r="Z85" s="6">
        <f t="shared" si="51"/>
        <v>0</v>
      </c>
    </row>
    <row r="86" spans="1:26" s="28" customFormat="1" outlineLevel="1" collapsed="1" x14ac:dyDescent="0.3">
      <c r="A86" s="29"/>
      <c r="B86" s="14" t="str">
        <f>CONCATENATE("     ","Professional Services                             ")</f>
        <v xml:space="preserve">     Professional Services                             </v>
      </c>
      <c r="C86" s="14"/>
      <c r="D86" s="1">
        <f>SUM(OSRRefD22_12x_0)</f>
        <v>0</v>
      </c>
      <c r="E86" s="1"/>
      <c r="F86" s="5">
        <f t="shared" si="44"/>
        <v>0</v>
      </c>
      <c r="G86" s="1"/>
      <c r="H86" s="1">
        <f>SUM(OSRRefH22_12x_0)</f>
        <v>250</v>
      </c>
      <c r="I86" s="1"/>
      <c r="J86" s="5">
        <f t="shared" si="45"/>
        <v>9.4659321103349051E-4</v>
      </c>
      <c r="K86" s="1"/>
      <c r="L86" s="1">
        <f t="shared" si="46"/>
        <v>-250</v>
      </c>
      <c r="M86" s="1"/>
      <c r="N86" s="5">
        <f t="shared" si="47"/>
        <v>-1</v>
      </c>
      <c r="O86" s="14"/>
      <c r="P86" s="1">
        <f>SUM(OSRRefP22_12x_0)</f>
        <v>669.1</v>
      </c>
      <c r="Q86" s="1"/>
      <c r="R86" s="5">
        <f t="shared" si="48"/>
        <v>2.9809992019734597E-4</v>
      </c>
      <c r="S86" s="1"/>
      <c r="T86" s="1">
        <f>SUM(OSRRefT22_12x_0)</f>
        <v>1500</v>
      </c>
      <c r="U86" s="1"/>
      <c r="V86" s="5">
        <f t="shared" si="49"/>
        <v>7.7080083123161639E-4</v>
      </c>
      <c r="W86" s="1"/>
      <c r="X86" s="1">
        <f t="shared" si="50"/>
        <v>-830.9</v>
      </c>
      <c r="Y86" s="1"/>
      <c r="Z86" s="5">
        <f t="shared" si="51"/>
        <v>-0.55393333333333328</v>
      </c>
    </row>
    <row r="87" spans="1:26" s="24" customFormat="1" hidden="1" outlineLevel="2" x14ac:dyDescent="0.3">
      <c r="A87" s="27"/>
      <c r="B87" s="11" t="str">
        <f>CONCATENATE("          ", "6336", " - ", "PROFESSIONAL SERVICES")</f>
        <v xml:space="preserve">          6336 - PROFESSIONAL SERVICES</v>
      </c>
      <c r="C87" s="11"/>
      <c r="D87" s="7"/>
      <c r="E87" s="2"/>
      <c r="F87" s="6">
        <f t="shared" si="44"/>
        <v>0</v>
      </c>
      <c r="G87" s="2"/>
      <c r="H87" s="7">
        <v>250</v>
      </c>
      <c r="I87" s="2"/>
      <c r="J87" s="6">
        <f t="shared" si="45"/>
        <v>9.4659321103349051E-4</v>
      </c>
      <c r="K87" s="2"/>
      <c r="L87" s="7">
        <f t="shared" si="46"/>
        <v>-250</v>
      </c>
      <c r="M87" s="2"/>
      <c r="N87" s="6">
        <f t="shared" si="47"/>
        <v>-1</v>
      </c>
      <c r="O87" s="11"/>
      <c r="P87" s="7">
        <v>669.1</v>
      </c>
      <c r="Q87" s="2"/>
      <c r="R87" s="6">
        <f t="shared" si="48"/>
        <v>2.9809992019734597E-4</v>
      </c>
      <c r="S87" s="2"/>
      <c r="T87" s="7">
        <v>1500</v>
      </c>
      <c r="U87" s="2"/>
      <c r="V87" s="6">
        <f t="shared" si="49"/>
        <v>7.7080083123161639E-4</v>
      </c>
      <c r="W87" s="2"/>
      <c r="X87" s="7">
        <f t="shared" si="50"/>
        <v>-830.9</v>
      </c>
      <c r="Y87" s="2"/>
      <c r="Z87" s="6">
        <f t="shared" si="51"/>
        <v>-0.55393333333333328</v>
      </c>
    </row>
    <row r="88" spans="1:26" s="28" customFormat="1" outlineLevel="1" collapsed="1" x14ac:dyDescent="0.3">
      <c r="A88" s="29"/>
      <c r="B88" s="14" t="str">
        <f>CONCATENATE("     ","Rent                                              ")</f>
        <v xml:space="preserve">     Rent                                              </v>
      </c>
      <c r="C88" s="14"/>
      <c r="D88" s="1">
        <f>SUM(OSRRefD22_13x_0)</f>
        <v>6900</v>
      </c>
      <c r="E88" s="1"/>
      <c r="F88" s="5">
        <f t="shared" si="44"/>
        <v>3.9223283486793006E-2</v>
      </c>
      <c r="G88" s="1"/>
      <c r="H88" s="1">
        <f>SUM(OSRRefH22_13x_0)</f>
        <v>6900</v>
      </c>
      <c r="I88" s="1"/>
      <c r="J88" s="5">
        <f t="shared" si="45"/>
        <v>2.6125972624524336E-2</v>
      </c>
      <c r="K88" s="1"/>
      <c r="L88" s="1">
        <f t="shared" si="46"/>
        <v>0</v>
      </c>
      <c r="M88" s="1"/>
      <c r="N88" s="5">
        <f t="shared" si="47"/>
        <v>0</v>
      </c>
      <c r="O88" s="14"/>
      <c r="P88" s="1">
        <f>SUM(OSRRefP22_13x_0)</f>
        <v>48300</v>
      </c>
      <c r="Q88" s="1"/>
      <c r="R88" s="5">
        <f t="shared" si="48"/>
        <v>2.1518795614305499E-2</v>
      </c>
      <c r="S88" s="1"/>
      <c r="T88" s="1">
        <f>SUM(OSRRefT22_13x_0)</f>
        <v>48300</v>
      </c>
      <c r="U88" s="1"/>
      <c r="V88" s="5">
        <f t="shared" si="49"/>
        <v>2.4819786765658047E-2</v>
      </c>
      <c r="W88" s="1"/>
      <c r="X88" s="1">
        <f t="shared" si="50"/>
        <v>0</v>
      </c>
      <c r="Y88" s="1"/>
      <c r="Z88" s="5">
        <f t="shared" si="51"/>
        <v>0</v>
      </c>
    </row>
    <row r="89" spans="1:26" s="24" customFormat="1" hidden="1" outlineLevel="2" x14ac:dyDescent="0.3">
      <c r="A89" s="27"/>
      <c r="B89" s="11" t="str">
        <f>CONCATENATE("          ", "6273", " - ", "RENT")</f>
        <v xml:space="preserve">          6273 - RENT</v>
      </c>
      <c r="C89" s="11"/>
      <c r="D89" s="7">
        <v>6900</v>
      </c>
      <c r="E89" s="2"/>
      <c r="F89" s="6">
        <f t="shared" si="44"/>
        <v>3.9223283486793006E-2</v>
      </c>
      <c r="G89" s="2"/>
      <c r="H89" s="7">
        <v>6900</v>
      </c>
      <c r="I89" s="2"/>
      <c r="J89" s="6">
        <f t="shared" si="45"/>
        <v>2.6125972624524336E-2</v>
      </c>
      <c r="K89" s="2"/>
      <c r="L89" s="7">
        <f t="shared" si="46"/>
        <v>0</v>
      </c>
      <c r="M89" s="2"/>
      <c r="N89" s="6">
        <f t="shared" si="47"/>
        <v>0</v>
      </c>
      <c r="O89" s="11"/>
      <c r="P89" s="7">
        <v>48300</v>
      </c>
      <c r="Q89" s="2"/>
      <c r="R89" s="6">
        <f t="shared" si="48"/>
        <v>2.1518795614305499E-2</v>
      </c>
      <c r="S89" s="2"/>
      <c r="T89" s="7">
        <v>48300</v>
      </c>
      <c r="U89" s="2"/>
      <c r="V89" s="6">
        <f t="shared" si="49"/>
        <v>2.4819786765658047E-2</v>
      </c>
      <c r="W89" s="2"/>
      <c r="X89" s="7">
        <f t="shared" si="50"/>
        <v>0</v>
      </c>
      <c r="Y89" s="2"/>
      <c r="Z89" s="6">
        <f t="shared" si="51"/>
        <v>0</v>
      </c>
    </row>
    <row r="90" spans="1:26" s="28" customFormat="1" outlineLevel="1" collapsed="1" x14ac:dyDescent="0.3">
      <c r="A90" s="29"/>
      <c r="B90" s="14" t="str">
        <f>CONCATENATE("     ","Repair and Maintenance                            ")</f>
        <v xml:space="preserve">     Repair and Maintenance                            </v>
      </c>
      <c r="C90" s="14"/>
      <c r="D90" s="1">
        <f>SUM(OSRRefD22_14x_0)</f>
        <v>0</v>
      </c>
      <c r="E90" s="1"/>
      <c r="F90" s="5">
        <f t="shared" si="44"/>
        <v>0</v>
      </c>
      <c r="G90" s="1"/>
      <c r="H90" s="1">
        <f>SUM(OSRRefH22_14x_0)</f>
        <v>615</v>
      </c>
      <c r="I90" s="1"/>
      <c r="J90" s="5">
        <f t="shared" si="45"/>
        <v>2.3286192991423867E-3</v>
      </c>
      <c r="K90" s="1"/>
      <c r="L90" s="1">
        <f t="shared" si="46"/>
        <v>-615</v>
      </c>
      <c r="M90" s="1"/>
      <c r="N90" s="5">
        <f t="shared" si="47"/>
        <v>-1</v>
      </c>
      <c r="O90" s="14"/>
      <c r="P90" s="1">
        <f>SUM(OSRRefP22_14x_0)</f>
        <v>2970.9300000000003</v>
      </c>
      <c r="Q90" s="1"/>
      <c r="R90" s="5">
        <f t="shared" si="48"/>
        <v>1.3236197816647753E-3</v>
      </c>
      <c r="S90" s="1"/>
      <c r="T90" s="1">
        <f>SUM(OSRRefT22_14x_0)</f>
        <v>1305</v>
      </c>
      <c r="U90" s="1"/>
      <c r="V90" s="5">
        <f t="shared" si="49"/>
        <v>6.7059672317150627E-4</v>
      </c>
      <c r="W90" s="1"/>
      <c r="X90" s="1">
        <f t="shared" si="50"/>
        <v>1665.9300000000003</v>
      </c>
      <c r="Y90" s="1"/>
      <c r="Z90" s="5">
        <f t="shared" si="51"/>
        <v>1.2765747126436784</v>
      </c>
    </row>
    <row r="91" spans="1:26" s="24" customFormat="1" hidden="1" outlineLevel="2" x14ac:dyDescent="0.3">
      <c r="A91" s="27"/>
      <c r="B91" s="11" t="str">
        <f>CONCATENATE("          ", "6373", " - ", "MAINTENANCE CONTRACTS")</f>
        <v xml:space="preserve">          6373 - MAINTENANCE CONTRACTS</v>
      </c>
      <c r="C91" s="11"/>
      <c r="D91" s="7"/>
      <c r="E91" s="2"/>
      <c r="F91" s="6">
        <f t="shared" si="44"/>
        <v>0</v>
      </c>
      <c r="G91" s="2"/>
      <c r="H91" s="7">
        <v>115</v>
      </c>
      <c r="I91" s="2"/>
      <c r="J91" s="6">
        <f t="shared" si="45"/>
        <v>4.354328770754056E-4</v>
      </c>
      <c r="K91" s="2"/>
      <c r="L91" s="7">
        <f t="shared" si="46"/>
        <v>-115</v>
      </c>
      <c r="M91" s="2"/>
      <c r="N91" s="6">
        <f t="shared" si="47"/>
        <v>-1</v>
      </c>
      <c r="O91" s="11"/>
      <c r="P91" s="7">
        <v>469.53</v>
      </c>
      <c r="Q91" s="2"/>
      <c r="R91" s="6">
        <f t="shared" si="48"/>
        <v>2.0918675165186048E-4</v>
      </c>
      <c r="S91" s="2"/>
      <c r="T91" s="7">
        <v>805</v>
      </c>
      <c r="U91" s="2"/>
      <c r="V91" s="6">
        <f t="shared" si="49"/>
        <v>4.1366311276096749E-4</v>
      </c>
      <c r="W91" s="2"/>
      <c r="X91" s="7">
        <f t="shared" si="50"/>
        <v>-335.47</v>
      </c>
      <c r="Y91" s="2"/>
      <c r="Z91" s="6">
        <f t="shared" si="51"/>
        <v>-0.41673291925465844</v>
      </c>
    </row>
    <row r="92" spans="1:26" s="24" customFormat="1" hidden="1" outlineLevel="2" x14ac:dyDescent="0.3">
      <c r="A92" s="27"/>
      <c r="B92" s="11" t="str">
        <f>CONCATENATE("          ", "6375", " - ", "OUTSIDE REPAIRS &amp; MAINTENANCE")</f>
        <v xml:space="preserve">          6375 - OUTSIDE REPAIRS &amp; MAINTENANCE</v>
      </c>
      <c r="C92" s="11"/>
      <c r="D92" s="7"/>
      <c r="E92" s="2"/>
      <c r="F92" s="6">
        <f t="shared" si="44"/>
        <v>0</v>
      </c>
      <c r="G92" s="2"/>
      <c r="H92" s="7">
        <v>500</v>
      </c>
      <c r="I92" s="2"/>
      <c r="J92" s="6">
        <f t="shared" si="45"/>
        <v>1.893186422066981E-3</v>
      </c>
      <c r="K92" s="2"/>
      <c r="L92" s="7">
        <f t="shared" si="46"/>
        <v>-500</v>
      </c>
      <c r="M92" s="2"/>
      <c r="N92" s="6">
        <f t="shared" si="47"/>
        <v>-1</v>
      </c>
      <c r="O92" s="11"/>
      <c r="P92" s="7">
        <v>2501.4</v>
      </c>
      <c r="Q92" s="2"/>
      <c r="R92" s="6">
        <f t="shared" si="48"/>
        <v>1.1144330300129146E-3</v>
      </c>
      <c r="S92" s="2"/>
      <c r="T92" s="7">
        <v>500</v>
      </c>
      <c r="U92" s="2"/>
      <c r="V92" s="6">
        <f t="shared" si="49"/>
        <v>2.5693361041053878E-4</v>
      </c>
      <c r="W92" s="2"/>
      <c r="X92" s="7">
        <f t="shared" si="50"/>
        <v>2001.4</v>
      </c>
      <c r="Y92" s="2"/>
      <c r="Z92" s="6">
        <f t="shared" si="51"/>
        <v>4.0028000000000006</v>
      </c>
    </row>
    <row r="93" spans="1:26" s="28" customFormat="1" outlineLevel="1" collapsed="1" x14ac:dyDescent="0.3">
      <c r="A93" s="29"/>
      <c r="B93" s="14" t="str">
        <f>CONCATENATE("     ","Royalty &amp; Commissions                             ")</f>
        <v xml:space="preserve">     Royalty &amp; Commissions                             </v>
      </c>
      <c r="C93" s="14"/>
      <c r="D93" s="1">
        <f>SUM(OSRRefD22_15x_0)</f>
        <v>23450.06</v>
      </c>
      <c r="E93" s="1"/>
      <c r="F93" s="5">
        <f t="shared" ref="F93:F96" si="52">IF(D$12=0,0,D93/D$12)</f>
        <v>0.13330265958873988</v>
      </c>
      <c r="G93" s="1"/>
      <c r="H93" s="1">
        <f>SUM(OSRRefH22_15x_0)</f>
        <v>9106</v>
      </c>
      <c r="I93" s="1"/>
      <c r="J93" s="5">
        <f t="shared" ref="J93:J96" si="53">IF(H$12=0,0,H93/H$12)</f>
        <v>3.4478711118683857E-2</v>
      </c>
      <c r="K93" s="1"/>
      <c r="L93" s="1">
        <f t="shared" ref="L93:L96" si="54">+D93-H93</f>
        <v>14344.060000000001</v>
      </c>
      <c r="M93" s="1"/>
      <c r="N93" s="5">
        <f t="shared" ref="N93:N96" si="55">IF(H93=0,0,L93/H93)</f>
        <v>1.575231715352515</v>
      </c>
      <c r="O93" s="14"/>
      <c r="P93" s="1">
        <f>SUM(OSRRefP22_15x_0)</f>
        <v>39582.850000000006</v>
      </c>
      <c r="Q93" s="1"/>
      <c r="R93" s="5">
        <f t="shared" ref="R93:R96" si="56">IF(P$12=0,0,P93/P$12)</f>
        <v>1.7635098529642082E-2</v>
      </c>
      <c r="S93" s="1"/>
      <c r="T93" s="1">
        <f>SUM(OSRRefT22_15x_0)</f>
        <v>35498</v>
      </c>
      <c r="U93" s="1"/>
      <c r="V93" s="5">
        <f t="shared" ref="V93:V96" si="57">IF(T$12=0,0,T93/T$12)</f>
        <v>1.8241258604706611E-2</v>
      </c>
      <c r="W93" s="1"/>
      <c r="X93" s="1">
        <f t="shared" ref="X93:X96" si="58">+P93-T93</f>
        <v>4084.8500000000058</v>
      </c>
      <c r="Y93" s="1"/>
      <c r="Z93" s="5">
        <f t="shared" ref="Z93:Z96" si="59">IF(T93=0,0,X93/T93)</f>
        <v>0.11507268015099459</v>
      </c>
    </row>
    <row r="94" spans="1:26" s="24" customFormat="1" hidden="1" outlineLevel="2" x14ac:dyDescent="0.3">
      <c r="A94" s="27"/>
      <c r="B94" s="11" t="str">
        <f>CONCATENATE("          ", "6252", " - ", "ROYALTY DUE CSTV")</f>
        <v xml:space="preserve">          6252 - ROYALTY DUE CSTV</v>
      </c>
      <c r="C94" s="11"/>
      <c r="D94" s="7"/>
      <c r="E94" s="2"/>
      <c r="F94" s="6">
        <f t="shared" si="52"/>
        <v>0</v>
      </c>
      <c r="G94" s="2"/>
      <c r="H94" s="7">
        <v>821</v>
      </c>
      <c r="I94" s="2"/>
      <c r="J94" s="6">
        <f t="shared" si="53"/>
        <v>3.1086121050339826E-3</v>
      </c>
      <c r="K94" s="2"/>
      <c r="L94" s="7">
        <f t="shared" si="54"/>
        <v>-821</v>
      </c>
      <c r="M94" s="2"/>
      <c r="N94" s="6">
        <f t="shared" si="55"/>
        <v>-1</v>
      </c>
      <c r="O94" s="11"/>
      <c r="P94" s="7"/>
      <c r="Q94" s="2"/>
      <c r="R94" s="6">
        <f t="shared" si="56"/>
        <v>0</v>
      </c>
      <c r="S94" s="2"/>
      <c r="T94" s="7">
        <v>11051</v>
      </c>
      <c r="U94" s="2"/>
      <c r="V94" s="6">
        <f t="shared" si="57"/>
        <v>5.6787466572937283E-3</v>
      </c>
      <c r="W94" s="2"/>
      <c r="X94" s="7">
        <f t="shared" si="58"/>
        <v>-11051</v>
      </c>
      <c r="Y94" s="2"/>
      <c r="Z94" s="6">
        <f t="shared" si="59"/>
        <v>-1</v>
      </c>
    </row>
    <row r="95" spans="1:26" s="24" customFormat="1" hidden="1" outlineLevel="2" x14ac:dyDescent="0.3">
      <c r="A95" s="27"/>
      <c r="B95" s="11" t="str">
        <f>CONCATENATE("          ", "6253", " - ", "ROYALTY DUE ATHLETICS-LRG")</f>
        <v xml:space="preserve">          6253 - ROYALTY DUE ATHLETICS-LRG</v>
      </c>
      <c r="C95" s="11"/>
      <c r="D95" s="7">
        <v>16060.87</v>
      </c>
      <c r="E95" s="2"/>
      <c r="F95" s="6">
        <f t="shared" si="52"/>
        <v>9.1298558993410037E-2</v>
      </c>
      <c r="G95" s="2"/>
      <c r="H95" s="7">
        <v>7785</v>
      </c>
      <c r="I95" s="2"/>
      <c r="J95" s="6">
        <f t="shared" si="53"/>
        <v>2.9476912591582895E-2</v>
      </c>
      <c r="K95" s="2"/>
      <c r="L95" s="7">
        <f t="shared" si="54"/>
        <v>8275.8700000000008</v>
      </c>
      <c r="M95" s="2"/>
      <c r="N95" s="6">
        <f t="shared" si="55"/>
        <v>1.0630533076429032</v>
      </c>
      <c r="O95" s="11"/>
      <c r="P95" s="7">
        <v>39221.160000000003</v>
      </c>
      <c r="Q95" s="2"/>
      <c r="R95" s="6">
        <f t="shared" si="56"/>
        <v>1.7473957055817276E-2</v>
      </c>
      <c r="S95" s="2"/>
      <c r="T95" s="7">
        <v>23947</v>
      </c>
      <c r="U95" s="2"/>
      <c r="V95" s="6">
        <f t="shared" si="57"/>
        <v>1.2305578337002345E-2</v>
      </c>
      <c r="W95" s="2"/>
      <c r="X95" s="7">
        <f t="shared" si="58"/>
        <v>15274.160000000003</v>
      </c>
      <c r="Y95" s="2"/>
      <c r="Z95" s="6">
        <f t="shared" si="59"/>
        <v>0.63783187873220037</v>
      </c>
    </row>
    <row r="96" spans="1:26" s="24" customFormat="1" hidden="1" outlineLevel="2" x14ac:dyDescent="0.3">
      <c r="A96" s="27"/>
      <c r="B96" s="11" t="str">
        <f>CONCATENATE("          ", "6254", " - ", "ROYALTY &amp; COMMISSIONS")</f>
        <v xml:space="preserve">          6254 - ROYALTY &amp; COMMISSIONS</v>
      </c>
      <c r="C96" s="11"/>
      <c r="D96" s="7">
        <v>7389.19</v>
      </c>
      <c r="E96" s="2"/>
      <c r="F96" s="6">
        <f t="shared" si="52"/>
        <v>4.2004100595329857E-2</v>
      </c>
      <c r="G96" s="2"/>
      <c r="H96" s="7">
        <v>500</v>
      </c>
      <c r="I96" s="2"/>
      <c r="J96" s="6">
        <f t="shared" si="53"/>
        <v>1.893186422066981E-3</v>
      </c>
      <c r="K96" s="2"/>
      <c r="L96" s="7">
        <f t="shared" si="54"/>
        <v>6889.19</v>
      </c>
      <c r="M96" s="2"/>
      <c r="N96" s="6">
        <f t="shared" si="55"/>
        <v>13.778379999999999</v>
      </c>
      <c r="O96" s="11"/>
      <c r="P96" s="7">
        <v>361.69</v>
      </c>
      <c r="Q96" s="2"/>
      <c r="R96" s="6">
        <f t="shared" si="56"/>
        <v>1.6114147382480655E-4</v>
      </c>
      <c r="S96" s="2"/>
      <c r="T96" s="7">
        <v>500</v>
      </c>
      <c r="U96" s="2"/>
      <c r="V96" s="6">
        <f t="shared" si="57"/>
        <v>2.5693361041053878E-4</v>
      </c>
      <c r="W96" s="2"/>
      <c r="X96" s="7">
        <f t="shared" si="58"/>
        <v>-138.31</v>
      </c>
      <c r="Y96" s="2"/>
      <c r="Z96" s="6">
        <f t="shared" si="59"/>
        <v>-0.27661999999999998</v>
      </c>
    </row>
    <row r="97" spans="1:26" s="28" customFormat="1" outlineLevel="1" collapsed="1" x14ac:dyDescent="0.3">
      <c r="A97" s="29"/>
      <c r="B97" s="14" t="str">
        <f>CONCATENATE("     ","Services                                          ")</f>
        <v xml:space="preserve">     Services                                          </v>
      </c>
      <c r="C97" s="14"/>
      <c r="D97" s="1">
        <f>SUM(OSRRefD22_16x_0)</f>
        <v>101.98999999999998</v>
      </c>
      <c r="E97" s="1"/>
      <c r="F97" s="5">
        <f t="shared" ref="F97:F99" si="60">IF(D$12=0,0,D97/D$12)</f>
        <v>5.7976560620550982E-4</v>
      </c>
      <c r="G97" s="1"/>
      <c r="H97" s="1">
        <f>SUM(OSRRefH22_16x_0)</f>
        <v>60</v>
      </c>
      <c r="I97" s="1"/>
      <c r="J97" s="5">
        <f t="shared" ref="J97:J99" si="61">IF(H$12=0,0,H97/H$12)</f>
        <v>2.2718237064803771E-4</v>
      </c>
      <c r="K97" s="1"/>
      <c r="L97" s="1">
        <f t="shared" ref="L97:L99" si="62">+D97-H97</f>
        <v>41.989999999999981</v>
      </c>
      <c r="M97" s="1"/>
      <c r="N97" s="5">
        <f t="shared" ref="N97:N99" si="63">IF(H97=0,0,L97/H97)</f>
        <v>0.69983333333333297</v>
      </c>
      <c r="O97" s="14"/>
      <c r="P97" s="1">
        <f>SUM(OSRRefP22_16x_0)</f>
        <v>1131.9100000000001</v>
      </c>
      <c r="Q97" s="1"/>
      <c r="R97" s="5">
        <f t="shared" ref="R97:R99" si="64">IF(P$12=0,0,P97/P$12)</f>
        <v>5.0429275245939009E-4</v>
      </c>
      <c r="S97" s="1"/>
      <c r="T97" s="1">
        <f>SUM(OSRRefT22_16x_0)</f>
        <v>540</v>
      </c>
      <c r="U97" s="1"/>
      <c r="V97" s="5">
        <f t="shared" ref="V97:V99" si="65">IF(T$12=0,0,T97/T$12)</f>
        <v>2.7748829924338192E-4</v>
      </c>
      <c r="W97" s="1"/>
      <c r="X97" s="1">
        <f t="shared" ref="X97:X99" si="66">+P97-T97</f>
        <v>591.91000000000008</v>
      </c>
      <c r="Y97" s="1"/>
      <c r="Z97" s="5">
        <f t="shared" ref="Z97:Z99" si="67">IF(T97=0,0,X97/T97)</f>
        <v>1.0961296296296297</v>
      </c>
    </row>
    <row r="98" spans="1:26" s="24" customFormat="1" hidden="1" outlineLevel="2" x14ac:dyDescent="0.3">
      <c r="A98" s="27"/>
      <c r="B98" s="11" t="str">
        <f>CONCATENATE("          ", "6284", " - ", "TRASH REMOVAL EXPENSE")</f>
        <v xml:space="preserve">          6284 - TRASH REMOVAL EXPENSE</v>
      </c>
      <c r="C98" s="11"/>
      <c r="D98" s="7">
        <v>149.69999999999999</v>
      </c>
      <c r="E98" s="2"/>
      <c r="F98" s="6">
        <f t="shared" si="60"/>
        <v>8.5097471564824824E-4</v>
      </c>
      <c r="G98" s="2"/>
      <c r="H98" s="7">
        <v>60</v>
      </c>
      <c r="I98" s="2"/>
      <c r="J98" s="6">
        <f t="shared" si="61"/>
        <v>2.2718237064803771E-4</v>
      </c>
      <c r="K98" s="2"/>
      <c r="L98" s="7">
        <f t="shared" si="62"/>
        <v>89.699999999999989</v>
      </c>
      <c r="M98" s="2"/>
      <c r="N98" s="6">
        <f t="shared" si="63"/>
        <v>1.4949999999999999</v>
      </c>
      <c r="O98" s="11"/>
      <c r="P98" s="7">
        <v>1040.77</v>
      </c>
      <c r="Q98" s="2"/>
      <c r="R98" s="6">
        <f t="shared" si="64"/>
        <v>4.6368772073500483E-4</v>
      </c>
      <c r="S98" s="2"/>
      <c r="T98" s="7">
        <v>540</v>
      </c>
      <c r="U98" s="2"/>
      <c r="V98" s="6">
        <f t="shared" si="65"/>
        <v>2.7748829924338192E-4</v>
      </c>
      <c r="W98" s="2"/>
      <c r="X98" s="7">
        <f t="shared" si="66"/>
        <v>500.77</v>
      </c>
      <c r="Y98" s="2"/>
      <c r="Z98" s="6">
        <f t="shared" si="67"/>
        <v>0.92735185185185187</v>
      </c>
    </row>
    <row r="99" spans="1:26" s="24" customFormat="1" hidden="1" outlineLevel="2" x14ac:dyDescent="0.3">
      <c r="A99" s="27"/>
      <c r="B99" s="11" t="str">
        <f>CONCATENATE("          ", "6285", " - ", "JANITORIAL SERVICES")</f>
        <v xml:space="preserve">          6285 - JANITORIAL SERVICES</v>
      </c>
      <c r="C99" s="11"/>
      <c r="D99" s="7">
        <v>-47.71</v>
      </c>
      <c r="E99" s="2"/>
      <c r="F99" s="6">
        <f t="shared" si="60"/>
        <v>-2.712091094427383E-4</v>
      </c>
      <c r="G99" s="2"/>
      <c r="H99" s="7"/>
      <c r="I99" s="2"/>
      <c r="J99" s="6">
        <f t="shared" si="61"/>
        <v>0</v>
      </c>
      <c r="K99" s="2"/>
      <c r="L99" s="7">
        <f t="shared" si="62"/>
        <v>-47.71</v>
      </c>
      <c r="M99" s="2"/>
      <c r="N99" s="6">
        <f t="shared" si="63"/>
        <v>0</v>
      </c>
      <c r="O99" s="11"/>
      <c r="P99" s="7">
        <v>91.14</v>
      </c>
      <c r="Q99" s="2"/>
      <c r="R99" s="6">
        <f t="shared" si="64"/>
        <v>4.0605031724385158E-5</v>
      </c>
      <c r="S99" s="2"/>
      <c r="T99" s="7"/>
      <c r="U99" s="2"/>
      <c r="V99" s="6">
        <f t="shared" si="65"/>
        <v>0</v>
      </c>
      <c r="W99" s="2"/>
      <c r="X99" s="7">
        <f t="shared" si="66"/>
        <v>91.14</v>
      </c>
      <c r="Y99" s="2"/>
      <c r="Z99" s="6">
        <f t="shared" si="67"/>
        <v>0</v>
      </c>
    </row>
    <row r="100" spans="1:26" s="28" customFormat="1" outlineLevel="1" collapsed="1" x14ac:dyDescent="0.3">
      <c r="A100" s="29"/>
      <c r="B100" s="14" t="str">
        <f>CONCATENATE("     ","Subscriptions &amp; Dues                              ")</f>
        <v xml:space="preserve">     Subscriptions &amp; Dues                              </v>
      </c>
      <c r="C100" s="14"/>
      <c r="D100" s="1">
        <f>SUM(OSRRefD22_17x_0)</f>
        <v>0</v>
      </c>
      <c r="E100" s="1"/>
      <c r="F100" s="5">
        <f t="shared" ref="F100:F102" si="68">IF(D$12=0,0,D100/D$12)</f>
        <v>0</v>
      </c>
      <c r="G100" s="1"/>
      <c r="H100" s="1">
        <f>SUM(OSRRefH22_17x_0)</f>
        <v>181</v>
      </c>
      <c r="I100" s="1"/>
      <c r="J100" s="5">
        <f t="shared" ref="J100:J102" si="69">IF(H$12=0,0,H100/H$12)</f>
        <v>6.8533348478824708E-4</v>
      </c>
      <c r="K100" s="1"/>
      <c r="L100" s="1">
        <f t="shared" ref="L100:L102" si="70">+D100-H100</f>
        <v>-181</v>
      </c>
      <c r="M100" s="1"/>
      <c r="N100" s="5">
        <f t="shared" ref="N100:N102" si="71">IF(H100=0,0,L100/H100)</f>
        <v>-1</v>
      </c>
      <c r="O100" s="14"/>
      <c r="P100" s="1">
        <f>SUM(OSRRefP22_17x_0)</f>
        <v>0</v>
      </c>
      <c r="Q100" s="1"/>
      <c r="R100" s="5">
        <f t="shared" ref="R100:R102" si="72">IF(P$12=0,0,P100/P$12)</f>
        <v>0</v>
      </c>
      <c r="S100" s="1"/>
      <c r="T100" s="1">
        <f>SUM(OSRRefT22_17x_0)</f>
        <v>2002</v>
      </c>
      <c r="U100" s="1"/>
      <c r="V100" s="5">
        <f t="shared" ref="V100:V102" si="73">IF(T$12=0,0,T100/T$12)</f>
        <v>1.0287621760837974E-3</v>
      </c>
      <c r="W100" s="1"/>
      <c r="X100" s="1">
        <f t="shared" ref="X100:X102" si="74">+P100-T100</f>
        <v>-2002</v>
      </c>
      <c r="Y100" s="1"/>
      <c r="Z100" s="5">
        <f t="shared" ref="Z100:Z102" si="75">IF(T100=0,0,X100/T100)</f>
        <v>-1</v>
      </c>
    </row>
    <row r="101" spans="1:26" s="24" customFormat="1" hidden="1" outlineLevel="2" x14ac:dyDescent="0.3">
      <c r="A101" s="27"/>
      <c r="B101" s="11" t="str">
        <f>CONCATENATE("          ", "6258", " - ", "MEMBERSHIP DUES")</f>
        <v xml:space="preserve">          6258 - MEMBERSHIP DUES</v>
      </c>
      <c r="C101" s="11"/>
      <c r="D101" s="7"/>
      <c r="E101" s="2"/>
      <c r="F101" s="6">
        <f t="shared" si="68"/>
        <v>0</v>
      </c>
      <c r="G101" s="2"/>
      <c r="H101" s="7">
        <v>0</v>
      </c>
      <c r="I101" s="2"/>
      <c r="J101" s="6">
        <f t="shared" si="69"/>
        <v>0</v>
      </c>
      <c r="K101" s="2"/>
      <c r="L101" s="7">
        <f t="shared" si="70"/>
        <v>0</v>
      </c>
      <c r="M101" s="2"/>
      <c r="N101" s="6">
        <f t="shared" si="71"/>
        <v>0</v>
      </c>
      <c r="O101" s="11"/>
      <c r="P101" s="7"/>
      <c r="Q101" s="2"/>
      <c r="R101" s="6">
        <f t="shared" si="72"/>
        <v>0</v>
      </c>
      <c r="S101" s="2"/>
      <c r="T101" s="7">
        <v>1395</v>
      </c>
      <c r="U101" s="2"/>
      <c r="V101" s="6">
        <f t="shared" si="73"/>
        <v>7.168447730454032E-4</v>
      </c>
      <c r="W101" s="2"/>
      <c r="X101" s="7">
        <f t="shared" si="74"/>
        <v>-1395</v>
      </c>
      <c r="Y101" s="2"/>
      <c r="Z101" s="6">
        <f t="shared" si="75"/>
        <v>-1</v>
      </c>
    </row>
    <row r="102" spans="1:26" s="24" customFormat="1" hidden="1" outlineLevel="2" x14ac:dyDescent="0.3">
      <c r="A102" s="27"/>
      <c r="B102" s="11" t="str">
        <f>CONCATENATE("          ", "6275", " - ", "SUBSCRIPTIONS")</f>
        <v xml:space="preserve">          6275 - SUBSCRIPTIONS</v>
      </c>
      <c r="C102" s="11"/>
      <c r="D102" s="7"/>
      <c r="E102" s="2"/>
      <c r="F102" s="6">
        <f t="shared" si="68"/>
        <v>0</v>
      </c>
      <c r="G102" s="2"/>
      <c r="H102" s="7">
        <v>181</v>
      </c>
      <c r="I102" s="2"/>
      <c r="J102" s="6">
        <f t="shared" si="69"/>
        <v>6.8533348478824708E-4</v>
      </c>
      <c r="K102" s="2"/>
      <c r="L102" s="7">
        <f t="shared" si="70"/>
        <v>-181</v>
      </c>
      <c r="M102" s="2"/>
      <c r="N102" s="6">
        <f t="shared" si="71"/>
        <v>-1</v>
      </c>
      <c r="O102" s="11"/>
      <c r="P102" s="7"/>
      <c r="Q102" s="2"/>
      <c r="R102" s="6">
        <f t="shared" si="72"/>
        <v>0</v>
      </c>
      <c r="S102" s="2"/>
      <c r="T102" s="7">
        <v>607</v>
      </c>
      <c r="U102" s="2"/>
      <c r="V102" s="6">
        <f t="shared" si="73"/>
        <v>3.119174030383941E-4</v>
      </c>
      <c r="W102" s="2"/>
      <c r="X102" s="7">
        <f t="shared" si="74"/>
        <v>-607</v>
      </c>
      <c r="Y102" s="2"/>
      <c r="Z102" s="6">
        <f t="shared" si="75"/>
        <v>-1</v>
      </c>
    </row>
    <row r="103" spans="1:26" s="28" customFormat="1" outlineLevel="1" collapsed="1" x14ac:dyDescent="0.3">
      <c r="A103" s="29"/>
      <c r="B103" s="14" t="str">
        <f>CONCATENATE("     ","Supplies                                          ")</f>
        <v xml:space="preserve">     Supplies                                          </v>
      </c>
      <c r="C103" s="14"/>
      <c r="D103" s="1">
        <f>SUM(OSRRefD22_18x_0)</f>
        <v>137.04</v>
      </c>
      <c r="E103" s="1"/>
      <c r="F103" s="5">
        <f t="shared" ref="F103:F108" si="76">IF(D$12=0,0,D103/D$12)</f>
        <v>7.7900851725074102E-4</v>
      </c>
      <c r="G103" s="1"/>
      <c r="H103" s="1">
        <f>SUM(OSRRefH22_18x_0)</f>
        <v>105</v>
      </c>
      <c r="I103" s="1"/>
      <c r="J103" s="5">
        <f t="shared" ref="J103:J108" si="77">IF(H$12=0,0,H103/H$12)</f>
        <v>3.9756914863406601E-4</v>
      </c>
      <c r="K103" s="1"/>
      <c r="L103" s="1">
        <f t="shared" ref="L103:L108" si="78">+D103-H103</f>
        <v>32.039999999999992</v>
      </c>
      <c r="M103" s="1"/>
      <c r="N103" s="5">
        <f t="shared" ref="N103:N108" si="79">IF(H103=0,0,L103/H103)</f>
        <v>0.30514285714285705</v>
      </c>
      <c r="O103" s="14"/>
      <c r="P103" s="1">
        <f>SUM(OSRRefP22_18x_0)</f>
        <v>8723.6</v>
      </c>
      <c r="Q103" s="1"/>
      <c r="R103" s="5">
        <f t="shared" ref="R103:R108" si="80">IF(P$12=0,0,P103/P$12)</f>
        <v>3.8865707126491816E-3</v>
      </c>
      <c r="S103" s="1"/>
      <c r="T103" s="1">
        <f>SUM(OSRRefT22_18x_0)</f>
        <v>815</v>
      </c>
      <c r="U103" s="1"/>
      <c r="V103" s="5">
        <f t="shared" ref="V103:V108" si="81">IF(T$12=0,0,T103/T$12)</f>
        <v>4.1880178496917826E-4</v>
      </c>
      <c r="W103" s="1"/>
      <c r="X103" s="1">
        <f t="shared" ref="X103:X108" si="82">+P103-T103</f>
        <v>7908.6</v>
      </c>
      <c r="Y103" s="1"/>
      <c r="Z103" s="5">
        <f t="shared" ref="Z103:Z108" si="83">IF(T103=0,0,X103/T103)</f>
        <v>9.7038036809815953</v>
      </c>
    </row>
    <row r="104" spans="1:26" s="24" customFormat="1" hidden="1" outlineLevel="2" x14ac:dyDescent="0.3">
      <c r="A104" s="27"/>
      <c r="B104" s="11" t="str">
        <f>CONCATENATE("          ", "6235", " - ", "COVID-19 EXPENSES")</f>
        <v xml:space="preserve">          6235 - COVID-19 EXPENSES</v>
      </c>
      <c r="C104" s="11"/>
      <c r="D104" s="7"/>
      <c r="E104" s="2"/>
      <c r="F104" s="6">
        <f t="shared" si="76"/>
        <v>0</v>
      </c>
      <c r="G104" s="2"/>
      <c r="H104" s="7">
        <v>0</v>
      </c>
      <c r="I104" s="2"/>
      <c r="J104" s="6">
        <f t="shared" si="77"/>
        <v>0</v>
      </c>
      <c r="K104" s="2"/>
      <c r="L104" s="7">
        <f t="shared" si="78"/>
        <v>0</v>
      </c>
      <c r="M104" s="2"/>
      <c r="N104" s="6">
        <f t="shared" si="79"/>
        <v>0</v>
      </c>
      <c r="O104" s="11"/>
      <c r="P104" s="7"/>
      <c r="Q104" s="2"/>
      <c r="R104" s="6">
        <f t="shared" si="80"/>
        <v>0</v>
      </c>
      <c r="S104" s="2"/>
      <c r="T104" s="7">
        <v>0</v>
      </c>
      <c r="U104" s="2"/>
      <c r="V104" s="6">
        <f t="shared" si="81"/>
        <v>0</v>
      </c>
      <c r="W104" s="2"/>
      <c r="X104" s="7">
        <f t="shared" si="82"/>
        <v>0</v>
      </c>
      <c r="Y104" s="2"/>
      <c r="Z104" s="6">
        <f t="shared" si="83"/>
        <v>0</v>
      </c>
    </row>
    <row r="105" spans="1:26" s="24" customFormat="1" hidden="1" outlineLevel="2" x14ac:dyDescent="0.3">
      <c r="A105" s="27"/>
      <c r="B105" s="11" t="str">
        <f>CONCATENATE("          ", "6237", " - ", "JANITORIAL SUPPLIES")</f>
        <v xml:space="preserve">          6237 - JANITORIAL SUPPLIES</v>
      </c>
      <c r="C105" s="11"/>
      <c r="D105" s="7"/>
      <c r="E105" s="2"/>
      <c r="F105" s="6">
        <f t="shared" si="76"/>
        <v>0</v>
      </c>
      <c r="G105" s="2"/>
      <c r="H105" s="7">
        <v>10</v>
      </c>
      <c r="I105" s="2"/>
      <c r="J105" s="6">
        <f t="shared" si="77"/>
        <v>3.7863728441339617E-5</v>
      </c>
      <c r="K105" s="2"/>
      <c r="L105" s="7">
        <f t="shared" si="78"/>
        <v>-10</v>
      </c>
      <c r="M105" s="2"/>
      <c r="N105" s="6">
        <f t="shared" si="79"/>
        <v>-1</v>
      </c>
      <c r="O105" s="11"/>
      <c r="P105" s="7">
        <v>77.17</v>
      </c>
      <c r="Q105" s="2"/>
      <c r="R105" s="6">
        <f t="shared" si="80"/>
        <v>3.4381065373829304E-5</v>
      </c>
      <c r="S105" s="2"/>
      <c r="T105" s="7">
        <v>150</v>
      </c>
      <c r="U105" s="2"/>
      <c r="V105" s="6">
        <f t="shared" si="81"/>
        <v>7.7080083123161634E-5</v>
      </c>
      <c r="W105" s="2"/>
      <c r="X105" s="7">
        <f t="shared" si="82"/>
        <v>-72.83</v>
      </c>
      <c r="Y105" s="2"/>
      <c r="Z105" s="6">
        <f t="shared" si="83"/>
        <v>-0.48553333333333332</v>
      </c>
    </row>
    <row r="106" spans="1:26" s="24" customFormat="1" hidden="1" outlineLevel="2" x14ac:dyDescent="0.3">
      <c r="A106" s="27"/>
      <c r="B106" s="11" t="str">
        <f>CONCATENATE("          ", "6241", " - ", "OFFICE EXPENSE")</f>
        <v xml:space="preserve">          6241 - OFFICE EXPENSE</v>
      </c>
      <c r="C106" s="11"/>
      <c r="D106" s="7">
        <v>137.04</v>
      </c>
      <c r="E106" s="2"/>
      <c r="F106" s="6">
        <f t="shared" si="76"/>
        <v>7.7900851725074102E-4</v>
      </c>
      <c r="G106" s="2"/>
      <c r="H106" s="7">
        <v>45</v>
      </c>
      <c r="I106" s="2"/>
      <c r="J106" s="6">
        <f t="shared" si="77"/>
        <v>1.7038677798602829E-4</v>
      </c>
      <c r="K106" s="2"/>
      <c r="L106" s="7">
        <f t="shared" si="78"/>
        <v>92.039999999999992</v>
      </c>
      <c r="M106" s="2"/>
      <c r="N106" s="6">
        <f t="shared" si="79"/>
        <v>2.0453333333333332</v>
      </c>
      <c r="O106" s="11"/>
      <c r="P106" s="7">
        <v>1550.02</v>
      </c>
      <c r="Q106" s="2"/>
      <c r="R106" s="6">
        <f t="shared" si="80"/>
        <v>6.9057067449453027E-4</v>
      </c>
      <c r="S106" s="2"/>
      <c r="T106" s="7">
        <v>315</v>
      </c>
      <c r="U106" s="2"/>
      <c r="V106" s="6">
        <f t="shared" si="81"/>
        <v>1.6186817455863945E-4</v>
      </c>
      <c r="W106" s="2"/>
      <c r="X106" s="7">
        <f t="shared" si="82"/>
        <v>1235.02</v>
      </c>
      <c r="Y106" s="2"/>
      <c r="Z106" s="6">
        <f t="shared" si="83"/>
        <v>3.9206984126984126</v>
      </c>
    </row>
    <row r="107" spans="1:26" s="24" customFormat="1" hidden="1" outlineLevel="2" x14ac:dyDescent="0.3">
      <c r="A107" s="27"/>
      <c r="B107" s="11" t="str">
        <f>CONCATENATE("          ", "6245", " - ", "PRINTING")</f>
        <v xml:space="preserve">          6245 - PRINTING</v>
      </c>
      <c r="C107" s="11"/>
      <c r="D107" s="7"/>
      <c r="E107" s="2"/>
      <c r="F107" s="6">
        <f t="shared" si="76"/>
        <v>0</v>
      </c>
      <c r="G107" s="2"/>
      <c r="H107" s="7"/>
      <c r="I107" s="2"/>
      <c r="J107" s="6">
        <f t="shared" si="77"/>
        <v>0</v>
      </c>
      <c r="K107" s="2"/>
      <c r="L107" s="7">
        <f t="shared" si="78"/>
        <v>0</v>
      </c>
      <c r="M107" s="2"/>
      <c r="N107" s="6">
        <f t="shared" si="79"/>
        <v>0</v>
      </c>
      <c r="O107" s="11"/>
      <c r="P107" s="7">
        <v>24.75</v>
      </c>
      <c r="Q107" s="2"/>
      <c r="R107" s="6">
        <f t="shared" si="80"/>
        <v>1.1026712038386359E-5</v>
      </c>
      <c r="S107" s="2"/>
      <c r="T107" s="7"/>
      <c r="U107" s="2"/>
      <c r="V107" s="6">
        <f t="shared" si="81"/>
        <v>0</v>
      </c>
      <c r="W107" s="2"/>
      <c r="X107" s="7">
        <f t="shared" si="82"/>
        <v>24.75</v>
      </c>
      <c r="Y107" s="2"/>
      <c r="Z107" s="6">
        <f t="shared" si="83"/>
        <v>0</v>
      </c>
    </row>
    <row r="108" spans="1:26" s="24" customFormat="1" hidden="1" outlineLevel="2" x14ac:dyDescent="0.3">
      <c r="A108" s="27"/>
      <c r="B108" s="11" t="str">
        <f>CONCATENATE("          ", "6247", " - ", "STORE SUPPLIES")</f>
        <v xml:space="preserve">          6247 - STORE SUPPLIES</v>
      </c>
      <c r="C108" s="11"/>
      <c r="D108" s="7"/>
      <c r="E108" s="2"/>
      <c r="F108" s="6">
        <f t="shared" si="76"/>
        <v>0</v>
      </c>
      <c r="G108" s="2"/>
      <c r="H108" s="7">
        <v>50</v>
      </c>
      <c r="I108" s="2"/>
      <c r="J108" s="6">
        <f t="shared" si="77"/>
        <v>1.8931864220669809E-4</v>
      </c>
      <c r="K108" s="2"/>
      <c r="L108" s="7">
        <f t="shared" si="78"/>
        <v>-50</v>
      </c>
      <c r="M108" s="2"/>
      <c r="N108" s="6">
        <f t="shared" si="79"/>
        <v>-1</v>
      </c>
      <c r="O108" s="11"/>
      <c r="P108" s="7">
        <v>7071.66</v>
      </c>
      <c r="Q108" s="2"/>
      <c r="R108" s="6">
        <f t="shared" si="80"/>
        <v>3.1505922607424353E-3</v>
      </c>
      <c r="S108" s="2"/>
      <c r="T108" s="7">
        <v>350</v>
      </c>
      <c r="U108" s="2"/>
      <c r="V108" s="6">
        <f t="shared" si="81"/>
        <v>1.7985352728737717E-4</v>
      </c>
      <c r="W108" s="2"/>
      <c r="X108" s="7">
        <f t="shared" si="82"/>
        <v>6721.66</v>
      </c>
      <c r="Y108" s="2"/>
      <c r="Z108" s="6">
        <f t="shared" si="83"/>
        <v>19.204742857142858</v>
      </c>
    </row>
    <row r="109" spans="1:26" s="28" customFormat="1" outlineLevel="1" collapsed="1" x14ac:dyDescent="0.3">
      <c r="A109" s="29"/>
      <c r="B109" s="14" t="str">
        <f>CONCATENATE("     ","Telephone/Data Lines                              ")</f>
        <v xml:space="preserve">     Telephone/Data Lines                              </v>
      </c>
      <c r="C109" s="14"/>
      <c r="D109" s="1">
        <f>SUM(OSRRefD22_19x_0)</f>
        <v>562.44000000000005</v>
      </c>
      <c r="E109" s="1"/>
      <c r="F109" s="5">
        <f t="shared" ref="F109:F113" si="84">IF(D$12=0,0,D109/D$12)</f>
        <v>3.1972092122191102E-3</v>
      </c>
      <c r="G109" s="1"/>
      <c r="H109" s="1">
        <f>SUM(OSRRefH22_19x_0)</f>
        <v>550</v>
      </c>
      <c r="I109" s="1"/>
      <c r="J109" s="5">
        <f t="shared" ref="J109:J113" si="85">IF(H$12=0,0,H109/H$12)</f>
        <v>2.0825050642736789E-3</v>
      </c>
      <c r="K109" s="1"/>
      <c r="L109" s="1">
        <f t="shared" ref="L109:L113" si="86">+D109-H109</f>
        <v>12.440000000000055</v>
      </c>
      <c r="M109" s="1"/>
      <c r="N109" s="5">
        <f t="shared" ref="N109:N113" si="87">IF(H109=0,0,L109/H109)</f>
        <v>2.2618181818181916E-2</v>
      </c>
      <c r="O109" s="14"/>
      <c r="P109" s="1">
        <f>SUM(OSRRefP22_19x_0)</f>
        <v>3595.78</v>
      </c>
      <c r="Q109" s="1"/>
      <c r="R109" s="5">
        <f t="shared" ref="R109:R113" si="88">IF(P$12=0,0,P109/P$12)</f>
        <v>1.6020052773086425E-3</v>
      </c>
      <c r="S109" s="1"/>
      <c r="T109" s="1">
        <f>SUM(OSRRefT22_19x_0)</f>
        <v>3850</v>
      </c>
      <c r="U109" s="1"/>
      <c r="V109" s="5">
        <f t="shared" ref="V109:V113" si="89">IF(T$12=0,0,T109/T$12)</f>
        <v>1.9783888001611489E-3</v>
      </c>
      <c r="W109" s="1"/>
      <c r="X109" s="1">
        <f t="shared" ref="X109:X113" si="90">+P109-T109</f>
        <v>-254.2199999999998</v>
      </c>
      <c r="Y109" s="1"/>
      <c r="Z109" s="5">
        <f t="shared" ref="Z109:Z113" si="91">IF(T109=0,0,X109/T109)</f>
        <v>-6.6031168831168774E-2</v>
      </c>
    </row>
    <row r="110" spans="1:26" s="24" customFormat="1" hidden="1" outlineLevel="2" x14ac:dyDescent="0.3">
      <c r="A110" s="27"/>
      <c r="B110" s="11" t="str">
        <f>CONCATENATE("          ", "6309", " - ", "TELEPHONE")</f>
        <v xml:space="preserve">          6309 - TELEPHONE</v>
      </c>
      <c r="C110" s="11"/>
      <c r="D110" s="7">
        <v>562.44000000000005</v>
      </c>
      <c r="E110" s="2"/>
      <c r="F110" s="6">
        <f t="shared" si="84"/>
        <v>3.1972092122191102E-3</v>
      </c>
      <c r="G110" s="2"/>
      <c r="H110" s="7">
        <v>550</v>
      </c>
      <c r="I110" s="2"/>
      <c r="J110" s="6">
        <f t="shared" si="85"/>
        <v>2.0825050642736789E-3</v>
      </c>
      <c r="K110" s="2"/>
      <c r="L110" s="7">
        <f t="shared" si="86"/>
        <v>12.440000000000055</v>
      </c>
      <c r="M110" s="2"/>
      <c r="N110" s="6">
        <f t="shared" si="87"/>
        <v>2.2618181818181916E-2</v>
      </c>
      <c r="O110" s="11"/>
      <c r="P110" s="7">
        <v>3595.78</v>
      </c>
      <c r="Q110" s="2"/>
      <c r="R110" s="6">
        <f t="shared" si="88"/>
        <v>1.6020052773086425E-3</v>
      </c>
      <c r="S110" s="2"/>
      <c r="T110" s="7">
        <v>3850</v>
      </c>
      <c r="U110" s="2"/>
      <c r="V110" s="6">
        <f t="shared" si="89"/>
        <v>1.9783888001611489E-3</v>
      </c>
      <c r="W110" s="2"/>
      <c r="X110" s="7">
        <f t="shared" si="90"/>
        <v>-254.2199999999998</v>
      </c>
      <c r="Y110" s="2"/>
      <c r="Z110" s="6">
        <f t="shared" si="91"/>
        <v>-6.6031168831168774E-2</v>
      </c>
    </row>
    <row r="111" spans="1:26" s="28" customFormat="1" outlineLevel="1" collapsed="1" x14ac:dyDescent="0.3">
      <c r="A111" s="29"/>
      <c r="B111" s="14" t="str">
        <f>CONCATENATE("     ","Travel                                            ")</f>
        <v xml:space="preserve">     Travel                                            </v>
      </c>
      <c r="C111" s="14"/>
      <c r="D111" s="1">
        <f>SUM(OSRRefD22_20x_0)</f>
        <v>0</v>
      </c>
      <c r="E111" s="1"/>
      <c r="F111" s="5">
        <f t="shared" si="84"/>
        <v>0</v>
      </c>
      <c r="G111" s="1"/>
      <c r="H111" s="1">
        <f>SUM(OSRRefH22_20x_0)</f>
        <v>50</v>
      </c>
      <c r="I111" s="1"/>
      <c r="J111" s="5">
        <f t="shared" si="85"/>
        <v>1.8931864220669809E-4</v>
      </c>
      <c r="K111" s="1"/>
      <c r="L111" s="1">
        <f t="shared" si="86"/>
        <v>-50</v>
      </c>
      <c r="M111" s="1"/>
      <c r="N111" s="5">
        <f t="shared" si="87"/>
        <v>-1</v>
      </c>
      <c r="O111" s="14"/>
      <c r="P111" s="1">
        <f>SUM(OSRRefP22_20x_0)</f>
        <v>239.93</v>
      </c>
      <c r="Q111" s="1"/>
      <c r="R111" s="5">
        <f t="shared" si="88"/>
        <v>1.0689450583313289E-4</v>
      </c>
      <c r="S111" s="1"/>
      <c r="T111" s="1">
        <f>SUM(OSRRefT22_20x_0)</f>
        <v>600</v>
      </c>
      <c r="U111" s="1"/>
      <c r="V111" s="5">
        <f t="shared" si="89"/>
        <v>3.0832033249264654E-4</v>
      </c>
      <c r="W111" s="1"/>
      <c r="X111" s="1">
        <f t="shared" si="90"/>
        <v>-360.07</v>
      </c>
      <c r="Y111" s="1"/>
      <c r="Z111" s="5">
        <f t="shared" si="91"/>
        <v>-0.60011666666666663</v>
      </c>
    </row>
    <row r="112" spans="1:26" s="24" customFormat="1" hidden="1" outlineLevel="2" x14ac:dyDescent="0.3">
      <c r="A112" s="27"/>
      <c r="B112" s="11" t="str">
        <f>CONCATENATE("          ", "6294", " - ", "TRAVEL OPERATIONAL")</f>
        <v xml:space="preserve">          6294 - TRAVEL OPERATIONAL</v>
      </c>
      <c r="C112" s="11"/>
      <c r="D112" s="7"/>
      <c r="E112" s="2"/>
      <c r="F112" s="6">
        <f t="shared" si="84"/>
        <v>0</v>
      </c>
      <c r="G112" s="2"/>
      <c r="H112" s="7">
        <v>25</v>
      </c>
      <c r="I112" s="2"/>
      <c r="J112" s="6">
        <f t="shared" si="85"/>
        <v>9.4659321103349046E-5</v>
      </c>
      <c r="K112" s="2"/>
      <c r="L112" s="7">
        <f t="shared" si="86"/>
        <v>-25</v>
      </c>
      <c r="M112" s="2"/>
      <c r="N112" s="6">
        <f t="shared" si="87"/>
        <v>-1</v>
      </c>
      <c r="O112" s="11"/>
      <c r="P112" s="7">
        <v>239.93</v>
      </c>
      <c r="Q112" s="2"/>
      <c r="R112" s="6">
        <f t="shared" si="88"/>
        <v>1.0689450583313289E-4</v>
      </c>
      <c r="S112" s="2"/>
      <c r="T112" s="7">
        <v>175</v>
      </c>
      <c r="U112" s="2"/>
      <c r="V112" s="6">
        <f t="shared" si="89"/>
        <v>8.9926763643688587E-5</v>
      </c>
      <c r="W112" s="2"/>
      <c r="X112" s="7">
        <f t="shared" si="90"/>
        <v>64.930000000000007</v>
      </c>
      <c r="Y112" s="2"/>
      <c r="Z112" s="6">
        <f t="shared" si="91"/>
        <v>0.37102857142857149</v>
      </c>
    </row>
    <row r="113" spans="1:26" s="24" customFormat="1" hidden="1" outlineLevel="2" x14ac:dyDescent="0.3">
      <c r="A113" s="27"/>
      <c r="B113" s="11" t="str">
        <f>CONCATENATE("          ", "6298", " - ", "VEHICLE MILEAGE")</f>
        <v xml:space="preserve">          6298 - VEHICLE MILEAGE</v>
      </c>
      <c r="C113" s="11"/>
      <c r="D113" s="7"/>
      <c r="E113" s="2"/>
      <c r="F113" s="6">
        <f t="shared" si="84"/>
        <v>0</v>
      </c>
      <c r="G113" s="2"/>
      <c r="H113" s="7">
        <v>25</v>
      </c>
      <c r="I113" s="2"/>
      <c r="J113" s="6">
        <f t="shared" si="85"/>
        <v>9.4659321103349046E-5</v>
      </c>
      <c r="K113" s="2"/>
      <c r="L113" s="7">
        <f t="shared" si="86"/>
        <v>-25</v>
      </c>
      <c r="M113" s="2"/>
      <c r="N113" s="6">
        <f t="shared" si="87"/>
        <v>-1</v>
      </c>
      <c r="O113" s="11"/>
      <c r="P113" s="7"/>
      <c r="Q113" s="2"/>
      <c r="R113" s="6">
        <f t="shared" si="88"/>
        <v>0</v>
      </c>
      <c r="S113" s="2"/>
      <c r="T113" s="7">
        <v>425</v>
      </c>
      <c r="U113" s="2"/>
      <c r="V113" s="6">
        <f t="shared" si="89"/>
        <v>2.1839356884895798E-4</v>
      </c>
      <c r="W113" s="2"/>
      <c r="X113" s="7">
        <f t="shared" si="90"/>
        <v>-425</v>
      </c>
      <c r="Y113" s="2"/>
      <c r="Z113" s="6">
        <f t="shared" si="91"/>
        <v>-1</v>
      </c>
    </row>
    <row r="114" spans="1:26" s="28" customFormat="1" outlineLevel="1" collapsed="1" x14ac:dyDescent="0.3">
      <c r="A114" s="29"/>
      <c r="B114" s="14" t="str">
        <f>CONCATENATE("     ","Utilities                                         ")</f>
        <v xml:space="preserve">     Utilities                                         </v>
      </c>
      <c r="C114" s="14"/>
      <c r="D114" s="1">
        <f>SUM(OSRRefD22_21x_0)</f>
        <v>292.91000000000003</v>
      </c>
      <c r="E114" s="1"/>
      <c r="F114" s="5">
        <f t="shared" ref="F114:F115" si="92">IF(D$12=0,0,D114/D$12)</f>
        <v>1.6650568066835566E-3</v>
      </c>
      <c r="G114" s="1"/>
      <c r="H114" s="1">
        <f>SUM(OSRRefH22_21x_0)</f>
        <v>120</v>
      </c>
      <c r="I114" s="1"/>
      <c r="J114" s="5">
        <f t="shared" ref="J114:J115" si="93">IF(H$12=0,0,H114/H$12)</f>
        <v>4.5436474129607543E-4</v>
      </c>
      <c r="K114" s="1"/>
      <c r="L114" s="1">
        <f t="shared" ref="L114:L115" si="94">+D114-H114</f>
        <v>172.91000000000003</v>
      </c>
      <c r="M114" s="1"/>
      <c r="N114" s="5">
        <f t="shared" ref="N114:N115" si="95">IF(H114=0,0,L114/H114)</f>
        <v>1.4409166666666668</v>
      </c>
      <c r="O114" s="14"/>
      <c r="P114" s="1">
        <f>SUM(OSRRefP22_21x_0)</f>
        <v>539.41999999999996</v>
      </c>
      <c r="Q114" s="1"/>
      <c r="R114" s="5">
        <f t="shared" ref="R114:R115" si="96">IF(P$12=0,0,P114/P$12)</f>
        <v>2.4032440435338865E-4</v>
      </c>
      <c r="S114" s="1"/>
      <c r="T114" s="1">
        <f>SUM(OSRRefT22_21x_0)</f>
        <v>840</v>
      </c>
      <c r="U114" s="1"/>
      <c r="V114" s="5">
        <f t="shared" ref="V114:V115" si="97">IF(T$12=0,0,T114/T$12)</f>
        <v>4.3164846548970518E-4</v>
      </c>
      <c r="W114" s="1"/>
      <c r="X114" s="1">
        <f t="shared" ref="X114:X115" si="98">+P114-T114</f>
        <v>-300.58000000000004</v>
      </c>
      <c r="Y114" s="1"/>
      <c r="Z114" s="5">
        <f t="shared" ref="Z114:Z115" si="99">IF(T114=0,0,X114/T114)</f>
        <v>-0.35783333333333339</v>
      </c>
    </row>
    <row r="115" spans="1:26" s="24" customFormat="1" hidden="1" outlineLevel="2" x14ac:dyDescent="0.3">
      <c r="A115" s="27"/>
      <c r="B115" s="11" t="str">
        <f>CONCATENATE("          ", "6274", " - ", "UTILITIES")</f>
        <v xml:space="preserve">          6274 - UTILITIES</v>
      </c>
      <c r="C115" s="11"/>
      <c r="D115" s="7">
        <v>292.91000000000003</v>
      </c>
      <c r="E115" s="2"/>
      <c r="F115" s="6">
        <f t="shared" si="92"/>
        <v>1.6650568066835566E-3</v>
      </c>
      <c r="G115" s="2"/>
      <c r="H115" s="7">
        <v>120</v>
      </c>
      <c r="I115" s="2"/>
      <c r="J115" s="6">
        <f t="shared" si="93"/>
        <v>4.5436474129607543E-4</v>
      </c>
      <c r="K115" s="2"/>
      <c r="L115" s="7">
        <f t="shared" si="94"/>
        <v>172.91000000000003</v>
      </c>
      <c r="M115" s="2"/>
      <c r="N115" s="6">
        <f t="shared" si="95"/>
        <v>1.4409166666666668</v>
      </c>
      <c r="O115" s="11"/>
      <c r="P115" s="7">
        <v>539.41999999999996</v>
      </c>
      <c r="Q115" s="2"/>
      <c r="R115" s="6">
        <f t="shared" si="96"/>
        <v>2.4032440435338865E-4</v>
      </c>
      <c r="S115" s="2"/>
      <c r="T115" s="7">
        <v>840</v>
      </c>
      <c r="U115" s="2"/>
      <c r="V115" s="6">
        <f t="shared" si="97"/>
        <v>4.3164846548970518E-4</v>
      </c>
      <c r="W115" s="2"/>
      <c r="X115" s="7">
        <f t="shared" si="98"/>
        <v>-300.58000000000004</v>
      </c>
      <c r="Y115" s="2"/>
      <c r="Z115" s="6">
        <f t="shared" si="99"/>
        <v>-0.35783333333333339</v>
      </c>
    </row>
    <row r="116" spans="1:26" s="55" customFormat="1" x14ac:dyDescent="0.3">
      <c r="A116" s="36"/>
      <c r="B116" s="36"/>
      <c r="C116" s="36"/>
      <c r="D116" s="1"/>
      <c r="E116" s="1"/>
      <c r="F116" s="5"/>
      <c r="G116" s="1"/>
      <c r="H116" s="1"/>
      <c r="I116" s="1"/>
      <c r="J116" s="5"/>
      <c r="K116" s="1"/>
      <c r="L116" s="1"/>
      <c r="M116" s="1"/>
      <c r="N116" s="5"/>
      <c r="O116" s="36"/>
      <c r="P116" s="1"/>
      <c r="Q116" s="1"/>
      <c r="R116" s="5"/>
      <c r="S116" s="1"/>
      <c r="T116" s="1"/>
      <c r="U116" s="1"/>
      <c r="V116" s="5"/>
      <c r="W116" s="1"/>
      <c r="X116" s="1"/>
      <c r="Y116" s="1"/>
      <c r="Z116" s="5"/>
    </row>
    <row r="117" spans="1:26" s="23" customFormat="1" collapsed="1" x14ac:dyDescent="0.3">
      <c r="A117" s="10"/>
      <c r="B117" s="25" t="s">
        <v>293</v>
      </c>
      <c r="C117" s="10"/>
      <c r="D117" s="4">
        <f>SUM(OSRRefD25x_0)</f>
        <v>39149.25</v>
      </c>
      <c r="E117" s="4"/>
      <c r="F117" s="12">
        <f t="shared" ref="F117:F120" si="100">IF(D$12=0,0,D117/D$12)</f>
        <v>0.22254523638338131</v>
      </c>
      <c r="G117" s="4"/>
      <c r="H117" s="4">
        <f>SUM(OSRRefH25x_0)</f>
        <v>15571</v>
      </c>
      <c r="I117" s="4"/>
      <c r="J117" s="12">
        <f t="shared" ref="J117:J120" si="101">IF(H$12=0,0,H117/H$12)</f>
        <v>5.8957611556009919E-2</v>
      </c>
      <c r="K117" s="4"/>
      <c r="L117" s="4">
        <f t="shared" ref="L117:L120" si="102">+D117-H117</f>
        <v>23578.25</v>
      </c>
      <c r="M117" s="4"/>
      <c r="N117" s="12">
        <f t="shared" ref="N117:N120" si="103">IF(H117=0,0,L117/H117)</f>
        <v>1.5142412176481921</v>
      </c>
      <c r="O117" s="10"/>
      <c r="P117" s="4">
        <f>SUM(OSRRefP25x_0)</f>
        <v>158502.37</v>
      </c>
      <c r="Q117" s="4"/>
      <c r="R117" s="12">
        <f t="shared" ref="R117:R120" si="104">IF(P$12=0,0,P117/P$12)</f>
        <v>7.0616565308758331E-2</v>
      </c>
      <c r="S117" s="4"/>
      <c r="T117" s="4">
        <f>SUM(OSRRefT25x_0)</f>
        <v>106228</v>
      </c>
      <c r="U117" s="4"/>
      <c r="V117" s="12">
        <f t="shared" ref="V117:V120" si="105">IF(T$12=0,0,T117/T$12)</f>
        <v>5.458708713338143E-2</v>
      </c>
      <c r="W117" s="4"/>
      <c r="X117" s="4">
        <f t="shared" ref="X117:X120" si="106">+P117-T117</f>
        <v>52274.369999999995</v>
      </c>
      <c r="Y117" s="4"/>
      <c r="Z117" s="12">
        <f t="shared" ref="Z117:Z120" si="107">IF(T117=0,0,X117/T117)</f>
        <v>0.49209596339948031</v>
      </c>
    </row>
    <row r="118" spans="1:26" s="24" customFormat="1" hidden="1" outlineLevel="1" x14ac:dyDescent="0.3">
      <c r="A118" s="44"/>
      <c r="B118" s="11" t="str">
        <f>CONCATENATE("          ", "9150", " - ", "MISC. INCOME")</f>
        <v xml:space="preserve">          9150 - MISC. INCOME</v>
      </c>
      <c r="C118" s="11"/>
      <c r="D118" s="2">
        <f>--32121.75</f>
        <v>32121.75</v>
      </c>
      <c r="E118" s="2"/>
      <c r="F118" s="19">
        <f t="shared" si="100"/>
        <v>0.18259717483215845</v>
      </c>
      <c r="G118" s="2"/>
      <c r="H118" s="2">
        <v>15571</v>
      </c>
      <c r="I118" s="2"/>
      <c r="J118" s="19">
        <f t="shared" si="101"/>
        <v>5.8957611556009919E-2</v>
      </c>
      <c r="K118" s="2"/>
      <c r="L118" s="2">
        <f t="shared" si="102"/>
        <v>16550.75</v>
      </c>
      <c r="M118" s="2"/>
      <c r="N118" s="19">
        <f t="shared" si="103"/>
        <v>1.0629214565538501</v>
      </c>
      <c r="O118" s="11"/>
      <c r="P118" s="2">
        <f>--78726.67</f>
        <v>78726.67</v>
      </c>
      <c r="Q118" s="2"/>
      <c r="R118" s="19">
        <f t="shared" si="104"/>
        <v>3.5074598781053339E-2</v>
      </c>
      <c r="S118" s="2"/>
      <c r="T118" s="2">
        <v>47895</v>
      </c>
      <c r="U118" s="2"/>
      <c r="V118" s="19">
        <f t="shared" si="105"/>
        <v>2.4611670541225511E-2</v>
      </c>
      <c r="W118" s="2"/>
      <c r="X118" s="2">
        <f t="shared" si="106"/>
        <v>30831.67</v>
      </c>
      <c r="Y118" s="2"/>
      <c r="Z118" s="19">
        <f t="shared" si="107"/>
        <v>0.6437346278317152</v>
      </c>
    </row>
    <row r="119" spans="1:26" s="24" customFormat="1" hidden="1" outlineLevel="1" x14ac:dyDescent="0.3">
      <c r="A119" s="44"/>
      <c r="B119" s="11" t="str">
        <f>CONCATENATE("          ", "9160", " - ", "MISC. INCOME")</f>
        <v xml:space="preserve">          9160 - MISC. INCOME</v>
      </c>
      <c r="C119" s="11"/>
      <c r="D119" s="2">
        <f>0</f>
        <v>0</v>
      </c>
      <c r="E119" s="2"/>
      <c r="F119" s="19">
        <f t="shared" si="100"/>
        <v>0</v>
      </c>
      <c r="G119" s="2"/>
      <c r="H119" s="2">
        <v>0</v>
      </c>
      <c r="I119" s="2"/>
      <c r="J119" s="19">
        <f t="shared" si="101"/>
        <v>0</v>
      </c>
      <c r="K119" s="2"/>
      <c r="L119" s="2">
        <f t="shared" si="102"/>
        <v>0</v>
      </c>
      <c r="M119" s="2"/>
      <c r="N119" s="19">
        <f t="shared" si="103"/>
        <v>0</v>
      </c>
      <c r="O119" s="11"/>
      <c r="P119" s="2">
        <f>0</f>
        <v>0</v>
      </c>
      <c r="Q119" s="2"/>
      <c r="R119" s="19">
        <f t="shared" si="104"/>
        <v>0</v>
      </c>
      <c r="S119" s="2"/>
      <c r="T119" s="2">
        <v>58333</v>
      </c>
      <c r="U119" s="2"/>
      <c r="V119" s="19">
        <f t="shared" si="105"/>
        <v>2.9975416592155919E-2</v>
      </c>
      <c r="W119" s="2"/>
      <c r="X119" s="2">
        <f t="shared" si="106"/>
        <v>-58333</v>
      </c>
      <c r="Y119" s="2"/>
      <c r="Z119" s="19">
        <f t="shared" si="107"/>
        <v>-1</v>
      </c>
    </row>
    <row r="120" spans="1:26" s="24" customFormat="1" hidden="1" outlineLevel="1" x14ac:dyDescent="0.3">
      <c r="A120" s="44"/>
      <c r="B120" s="11" t="str">
        <f>CONCATENATE("          ", "9163", " - ", "MISC. INCOME")</f>
        <v xml:space="preserve">          9163 - MISC. INCOME</v>
      </c>
      <c r="C120" s="11"/>
      <c r="D120" s="2">
        <f>--7027.5</f>
        <v>7027.5</v>
      </c>
      <c r="E120" s="2"/>
      <c r="F120" s="19">
        <f t="shared" si="100"/>
        <v>3.994806155122288E-2</v>
      </c>
      <c r="G120" s="2"/>
      <c r="H120" s="2"/>
      <c r="I120" s="2"/>
      <c r="J120" s="19">
        <f t="shared" si="101"/>
        <v>0</v>
      </c>
      <c r="K120" s="2"/>
      <c r="L120" s="2">
        <f t="shared" si="102"/>
        <v>7027.5</v>
      </c>
      <c r="M120" s="2"/>
      <c r="N120" s="19">
        <f t="shared" si="103"/>
        <v>0</v>
      </c>
      <c r="O120" s="11"/>
      <c r="P120" s="2">
        <f>--79775.7</f>
        <v>79775.7</v>
      </c>
      <c r="Q120" s="2"/>
      <c r="R120" s="19">
        <f t="shared" si="104"/>
        <v>3.5541966527704992E-2</v>
      </c>
      <c r="S120" s="2"/>
      <c r="T120" s="2"/>
      <c r="U120" s="2"/>
      <c r="V120" s="19">
        <f t="shared" si="105"/>
        <v>0</v>
      </c>
      <c r="W120" s="2"/>
      <c r="X120" s="2">
        <f t="shared" si="106"/>
        <v>79775.7</v>
      </c>
      <c r="Y120" s="2"/>
      <c r="Z120" s="19">
        <f t="shared" si="107"/>
        <v>0</v>
      </c>
    </row>
    <row r="121" spans="1:26" x14ac:dyDescent="0.3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3">
      <c r="A122" s="10"/>
      <c r="B122" s="26" t="s">
        <v>277</v>
      </c>
      <c r="C122" s="26"/>
      <c r="D122" s="21">
        <f>+D40-D42+D117</f>
        <v>4031.800000000032</v>
      </c>
      <c r="E122" s="13"/>
      <c r="F122" s="22">
        <f>IF(D$12=0,0,D122/D$12)</f>
        <v>2.2918903530732362E-2</v>
      </c>
      <c r="G122" s="13"/>
      <c r="H122" s="21">
        <f>+H40-H42+H117</f>
        <v>21154.121572634642</v>
      </c>
      <c r="I122" s="13"/>
      <c r="J122" s="22">
        <f>IF(H$12=0,0,H122/H$12)</f>
        <v>8.0097391464132223E-2</v>
      </c>
      <c r="K122" s="15"/>
      <c r="L122" s="21">
        <f>+D122-H122</f>
        <v>-17122.32157263461</v>
      </c>
      <c r="M122" s="15"/>
      <c r="N122" s="22">
        <f>IF(H122=0,0,L122/H122)</f>
        <v>-0.80940829964711736</v>
      </c>
      <c r="O122" s="25"/>
      <c r="P122" s="21">
        <f>+P40-P42+P117</f>
        <v>619294.79999999981</v>
      </c>
      <c r="Q122" s="13"/>
      <c r="R122" s="22">
        <f>IF(P$12=0,0,P122/P$12)</f>
        <v>0.275910522281619</v>
      </c>
      <c r="S122" s="13"/>
      <c r="T122" s="21">
        <f>+T40-T42+T117</f>
        <v>289431.13784013432</v>
      </c>
      <c r="U122" s="13"/>
      <c r="V122" s="22">
        <f>IF(T$12=0,0,T122/T$12)</f>
        <v>0.14872917442099207</v>
      </c>
      <c r="W122" s="15"/>
      <c r="X122" s="21">
        <f>+P122-T122</f>
        <v>329863.66215986549</v>
      </c>
      <c r="Y122" s="15"/>
      <c r="Z122" s="22">
        <f>IF(T122=0,0,X122/T122)</f>
        <v>1.1396965254721967</v>
      </c>
    </row>
    <row r="123" spans="1:26" x14ac:dyDescent="0.3">
      <c r="A123" s="9"/>
      <c r="B123" s="10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3">
      <c r="A124" s="52"/>
      <c r="B124" s="10" t="s">
        <v>128</v>
      </c>
      <c r="C124" s="10"/>
      <c r="D124" s="4">
        <v>48102.07</v>
      </c>
      <c r="E124" s="4"/>
      <c r="F124" s="12">
        <f>IF(D$12=0,0,D124/D$12)</f>
        <v>0.27343784462486392</v>
      </c>
      <c r="G124" s="4"/>
      <c r="H124" s="4">
        <v>26070</v>
      </c>
      <c r="I124" s="4"/>
      <c r="J124" s="12">
        <f>IF(H$12=0,0,H124/H$12)</f>
        <v>9.871074004657239E-2</v>
      </c>
      <c r="K124" s="4"/>
      <c r="L124" s="4">
        <f>+D124-H124</f>
        <v>22032.07</v>
      </c>
      <c r="M124" s="4"/>
      <c r="N124" s="12">
        <f>IF(H124=0,0,L124/H124)</f>
        <v>0.84511200613732262</v>
      </c>
      <c r="O124" s="10"/>
      <c r="P124" s="4">
        <v>297105.14</v>
      </c>
      <c r="Q124" s="4"/>
      <c r="R124" s="12">
        <f>IF(P$12=0,0,P124/P$12)</f>
        <v>0.13236738682442281</v>
      </c>
      <c r="S124" s="4"/>
      <c r="T124" s="4">
        <v>243831</v>
      </c>
      <c r="U124" s="4"/>
      <c r="V124" s="12">
        <f>IF(T$12=0,0,T124/T$12)</f>
        <v>0.12529675832002418</v>
      </c>
      <c r="W124" s="4"/>
      <c r="X124" s="4">
        <f>+P124-T124</f>
        <v>53274.140000000014</v>
      </c>
      <c r="Y124" s="4"/>
      <c r="Z124" s="12">
        <f>IF(T124=0,0,X124/T124)</f>
        <v>0.21848796912615712</v>
      </c>
    </row>
    <row r="125" spans="1:26" x14ac:dyDescent="0.3">
      <c r="A125" s="9"/>
      <c r="B125" s="10"/>
      <c r="C125" s="10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0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" thickBot="1" x14ac:dyDescent="0.35">
      <c r="A126" s="10"/>
      <c r="B126" s="26" t="s">
        <v>126</v>
      </c>
      <c r="C126" s="26"/>
      <c r="D126" s="32">
        <f>+D122-D124</f>
        <v>-44070.269999999968</v>
      </c>
      <c r="E126" s="13"/>
      <c r="F126" s="31">
        <f>IF(D$12=0,0,D126/D$12)</f>
        <v>-0.25051894109413159</v>
      </c>
      <c r="G126" s="13"/>
      <c r="H126" s="32">
        <f>+H122-H124</f>
        <v>-4915.8784273653582</v>
      </c>
      <c r="I126" s="13"/>
      <c r="J126" s="31">
        <f>IF(H$12=0,0,H126/H$12)</f>
        <v>-1.861334858244016E-2</v>
      </c>
      <c r="K126" s="15"/>
      <c r="L126" s="32">
        <f>D126-H126</f>
        <v>-39154.391572634609</v>
      </c>
      <c r="M126" s="15"/>
      <c r="N126" s="31">
        <f>IF(H126=0,0,L126/H126)</f>
        <v>7.9648819943700726</v>
      </c>
      <c r="O126" s="25"/>
      <c r="P126" s="32">
        <f>+P122-P124</f>
        <v>322189.6599999998</v>
      </c>
      <c r="Q126" s="13"/>
      <c r="R126" s="31">
        <f>IF(P$12=0,0,P126/P$12)</f>
        <v>0.14354313545719619</v>
      </c>
      <c r="S126" s="13"/>
      <c r="T126" s="32">
        <f>+T122-T124</f>
        <v>45600.137840134325</v>
      </c>
      <c r="U126" s="13"/>
      <c r="V126" s="31">
        <f>IF(T$12=0,0,T126/T$12)</f>
        <v>2.3432416100967881E-2</v>
      </c>
      <c r="W126" s="15"/>
      <c r="X126" s="32">
        <f>P126-T126</f>
        <v>276589.52215986548</v>
      </c>
      <c r="Y126" s="15"/>
      <c r="Z126" s="31">
        <f>IF(T126=0,0,X126/T126)</f>
        <v>6.0655413615094176</v>
      </c>
    </row>
    <row r="127" spans="1:26" ht="15" thickTop="1" x14ac:dyDescent="0.3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x14ac:dyDescent="0.3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ht="15" thickBot="1" x14ac:dyDescent="0.35">
      <c r="A129" s="10"/>
      <c r="B129" s="26" t="s">
        <v>294</v>
      </c>
      <c r="C129" s="26"/>
      <c r="D129" s="34">
        <f>SUM(D126:D128)</f>
        <v>-44070.269999999968</v>
      </c>
      <c r="E129" s="13"/>
      <c r="F129" s="35">
        <f>IF(D$12=0,0,D129/D$12)</f>
        <v>-0.25051894109413159</v>
      </c>
      <c r="G129" s="13"/>
      <c r="H129" s="34">
        <f>SUM(H126:H128)</f>
        <v>-4915.8784273653582</v>
      </c>
      <c r="I129" s="13"/>
      <c r="J129" s="35">
        <f>IF(H$12=0,0,H129/H$12)</f>
        <v>-1.861334858244016E-2</v>
      </c>
      <c r="K129" s="15"/>
      <c r="L129" s="34">
        <f>+D129-H129</f>
        <v>-39154.391572634609</v>
      </c>
      <c r="M129" s="15"/>
      <c r="N129" s="35">
        <f>IF(H129=0,0,L129/H129)</f>
        <v>7.9648819943700726</v>
      </c>
      <c r="O129" s="25"/>
      <c r="P129" s="34">
        <f>SUM(P126:P128)</f>
        <v>322189.6599999998</v>
      </c>
      <c r="Q129" s="13"/>
      <c r="R129" s="35">
        <f>IF(P$12=0,0,P129/P$12)</f>
        <v>0.14354313545719619</v>
      </c>
      <c r="S129" s="13"/>
      <c r="T129" s="34">
        <f>SUM(T126:T128)</f>
        <v>45600.137840134325</v>
      </c>
      <c r="U129" s="13"/>
      <c r="V129" s="35">
        <f>IF(T$12=0,0,T129/T$12)</f>
        <v>2.3432416100967881E-2</v>
      </c>
      <c r="W129" s="15"/>
      <c r="X129" s="34">
        <f>+P129-T129</f>
        <v>276589.52215986548</v>
      </c>
      <c r="Y129" s="15"/>
      <c r="Z129" s="35">
        <f>IF(T129=0,0,X129/T129)</f>
        <v>6.0655413615094176</v>
      </c>
    </row>
    <row r="130" spans="1:26" ht="15" thickTop="1" x14ac:dyDescent="0.3">
      <c r="A130" s="9"/>
      <c r="C130" s="9"/>
      <c r="D130" s="17"/>
      <c r="E130" s="17"/>
      <c r="G130" s="17"/>
      <c r="H130" s="17"/>
      <c r="I130" s="17"/>
      <c r="J130" s="43"/>
      <c r="K130" s="17"/>
      <c r="L130" s="17"/>
      <c r="M130" s="17"/>
      <c r="P130" s="17"/>
      <c r="Q130" s="17"/>
      <c r="R130" s="43"/>
      <c r="S130" s="17"/>
      <c r="T130" s="17"/>
      <c r="U130" s="17"/>
      <c r="V130" s="43"/>
      <c r="W130" s="17"/>
      <c r="X130" s="17"/>
    </row>
    <row r="131" spans="1:26" x14ac:dyDescent="0.3">
      <c r="A131" s="9"/>
      <c r="B131" s="53">
        <v>44604.019963043982</v>
      </c>
      <c r="D131" s="17"/>
      <c r="E131" s="17"/>
      <c r="G131" s="17"/>
      <c r="H131" s="17"/>
      <c r="I131" s="17"/>
      <c r="J131" s="43"/>
      <c r="K131" s="17"/>
      <c r="L131" s="17"/>
      <c r="M131" s="17"/>
      <c r="P131" s="17"/>
      <c r="Q131" s="17"/>
      <c r="R131" s="43"/>
      <c r="S131" s="17"/>
      <c r="T131" s="17"/>
      <c r="U131" s="17"/>
      <c r="V131" s="43"/>
      <c r="W131" s="17"/>
      <c r="X131" s="17"/>
    </row>
    <row r="132" spans="1:26" x14ac:dyDescent="0.3">
      <c r="A132" s="9"/>
      <c r="B132" s="63" t="s">
        <v>56</v>
      </c>
      <c r="D132" s="17"/>
      <c r="E132" s="17"/>
      <c r="G132" s="17"/>
      <c r="H132" s="17"/>
      <c r="I132" s="17"/>
      <c r="J132" s="43"/>
      <c r="K132" s="17"/>
      <c r="L132" s="17"/>
      <c r="M132" s="17"/>
      <c r="P132" s="17"/>
      <c r="Q132" s="17"/>
      <c r="R132" s="43"/>
      <c r="S132" s="17"/>
      <c r="T132" s="17"/>
      <c r="U132" s="17"/>
      <c r="V132" s="43"/>
      <c r="W132" s="17"/>
      <c r="X132" s="17"/>
    </row>
    <row r="133" spans="1:26" x14ac:dyDescent="0.3">
      <c r="A133" s="9"/>
      <c r="B133" s="58"/>
      <c r="D133" s="17"/>
      <c r="E133" s="17"/>
      <c r="G133" s="17"/>
      <c r="H133" s="17"/>
      <c r="I133" s="17"/>
      <c r="J133" s="43"/>
      <c r="K133" s="17"/>
      <c r="L133" s="17"/>
      <c r="M133" s="17"/>
      <c r="P133" s="17"/>
      <c r="Q133" s="17"/>
      <c r="R133" s="43"/>
      <c r="S133" s="17"/>
      <c r="T133" s="17"/>
      <c r="U133" s="17"/>
      <c r="V133" s="43"/>
      <c r="W133" s="17"/>
      <c r="X133" s="17"/>
    </row>
    <row r="134" spans="1:26" x14ac:dyDescent="0.3">
      <c r="D134" s="17"/>
      <c r="E134" s="17"/>
      <c r="G134" s="17"/>
      <c r="H134" s="17"/>
      <c r="I134" s="17"/>
      <c r="J134" s="43"/>
      <c r="K134" s="17"/>
      <c r="L134" s="17"/>
      <c r="M134" s="17"/>
      <c r="P134" s="17"/>
      <c r="Q134" s="17"/>
      <c r="R134" s="43"/>
      <c r="S134" s="17"/>
      <c r="T134" s="17"/>
      <c r="U134" s="17"/>
      <c r="V134" s="43"/>
      <c r="W134" s="17"/>
      <c r="X134" s="17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92D050"/>
    <outlinePr summaryBelow="0" summaryRight="0"/>
  </sheetPr>
  <dimension ref="A2:Z12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","315", " - ", "Bookstore Retail")</f>
        <v>Department 315 - Bookstore Retail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149324.49</v>
      </c>
      <c r="E12" s="4"/>
      <c r="F12" s="12"/>
      <c r="G12" s="4"/>
      <c r="H12" s="4">
        <f>SUM(OSRRefH13x_0)</f>
        <v>242018</v>
      </c>
      <c r="I12" s="4"/>
      <c r="J12" s="12"/>
      <c r="K12" s="4"/>
      <c r="L12" s="4">
        <f t="shared" ref="L12:L17" si="0">+D12-H12</f>
        <v>-92693.510000000009</v>
      </c>
      <c r="M12" s="4"/>
      <c r="N12" s="12">
        <f t="shared" ref="N12:N17" si="1">IF(H12=0,0,L12/H12)</f>
        <v>-0.38300254526522826</v>
      </c>
      <c r="O12" s="10"/>
      <c r="P12" s="4">
        <f>SUM(OSRRefP13x_0)</f>
        <v>2013243.3999999997</v>
      </c>
      <c r="Q12" s="4"/>
      <c r="R12" s="12"/>
      <c r="S12" s="4"/>
      <c r="T12" s="4">
        <f>SUM(OSRRefT13x_0)</f>
        <v>1755422</v>
      </c>
      <c r="U12" s="4"/>
      <c r="V12" s="12"/>
      <c r="W12" s="4"/>
      <c r="X12" s="4">
        <f t="shared" ref="X12:X17" si="2">+P12-T12</f>
        <v>257821.39999999967</v>
      </c>
      <c r="Y12" s="4"/>
      <c r="Z12" s="12">
        <f t="shared" ref="Z12:Z17" si="3">IF(T12=0,0,X12/T12)</f>
        <v>0.14687146452533903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--141554.15</f>
        <v>141554.15</v>
      </c>
      <c r="E13" s="2"/>
      <c r="F13" s="19"/>
      <c r="G13" s="2"/>
      <c r="H13" s="2">
        <v>242018</v>
      </c>
      <c r="I13" s="2"/>
      <c r="J13" s="19"/>
      <c r="K13" s="2"/>
      <c r="L13" s="2">
        <f t="shared" si="0"/>
        <v>-100463.85</v>
      </c>
      <c r="M13" s="2"/>
      <c r="N13" s="19">
        <f t="shared" si="1"/>
        <v>-0.41510900015701313</v>
      </c>
      <c r="O13" s="11"/>
      <c r="P13" s="2">
        <f>--1885030.64</f>
        <v>1885030.64</v>
      </c>
      <c r="Q13" s="2"/>
      <c r="R13" s="19"/>
      <c r="S13" s="2"/>
      <c r="T13" s="2">
        <v>1755422</v>
      </c>
      <c r="U13" s="2"/>
      <c r="V13" s="19"/>
      <c r="W13" s="2"/>
      <c r="X13" s="2">
        <f t="shared" si="2"/>
        <v>129608.6399999999</v>
      </c>
      <c r="Y13" s="2"/>
      <c r="Z13" s="19">
        <f t="shared" si="3"/>
        <v>7.3833323269276496E-2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--17493.72</f>
        <v>17493.72</v>
      </c>
      <c r="E14" s="2"/>
      <c r="F14" s="19"/>
      <c r="G14" s="2"/>
      <c r="H14" s="2"/>
      <c r="I14" s="2"/>
      <c r="J14" s="19"/>
      <c r="K14" s="2"/>
      <c r="L14" s="2">
        <f t="shared" si="0"/>
        <v>17493.72</v>
      </c>
      <c r="M14" s="2"/>
      <c r="N14" s="19">
        <f t="shared" si="1"/>
        <v>0</v>
      </c>
      <c r="O14" s="11"/>
      <c r="P14" s="2">
        <f>--245524.52</f>
        <v>245524.52</v>
      </c>
      <c r="Q14" s="2"/>
      <c r="R14" s="19"/>
      <c r="S14" s="2"/>
      <c r="T14" s="2"/>
      <c r="U14" s="2"/>
      <c r="V14" s="19"/>
      <c r="W14" s="2"/>
      <c r="X14" s="2">
        <f t="shared" si="2"/>
        <v>245524.52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-5363.67</f>
        <v>-5363.67</v>
      </c>
      <c r="E15" s="2"/>
      <c r="F15" s="19"/>
      <c r="G15" s="2"/>
      <c r="H15" s="2"/>
      <c r="I15" s="2"/>
      <c r="J15" s="19"/>
      <c r="K15" s="2"/>
      <c r="L15" s="2">
        <f t="shared" si="0"/>
        <v>-5363.67</v>
      </c>
      <c r="M15" s="2"/>
      <c r="N15" s="19">
        <f t="shared" si="1"/>
        <v>0</v>
      </c>
      <c r="O15" s="11"/>
      <c r="P15" s="2">
        <f>-55180.49</f>
        <v>-55180.49</v>
      </c>
      <c r="Q15" s="2"/>
      <c r="R15" s="19"/>
      <c r="S15" s="2"/>
      <c r="T15" s="2"/>
      <c r="U15" s="2"/>
      <c r="V15" s="19"/>
      <c r="W15" s="2"/>
      <c r="X15" s="2">
        <f t="shared" si="2"/>
        <v>-55180.49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"4300", " - ", "NON-TAX RETURNS")</f>
        <v xml:space="preserve">          4300 - NON-TAX RETURNS</v>
      </c>
      <c r="C16" s="11"/>
      <c r="D16" s="2">
        <f>-376.59</f>
        <v>-376.59</v>
      </c>
      <c r="E16" s="2"/>
      <c r="F16" s="19"/>
      <c r="G16" s="2"/>
      <c r="H16" s="2"/>
      <c r="I16" s="2"/>
      <c r="J16" s="19"/>
      <c r="K16" s="2"/>
      <c r="L16" s="2">
        <f t="shared" si="0"/>
        <v>-376.59</v>
      </c>
      <c r="M16" s="2"/>
      <c r="N16" s="19">
        <f t="shared" si="1"/>
        <v>0</v>
      </c>
      <c r="O16" s="11"/>
      <c r="P16" s="2">
        <f>-1652.79</f>
        <v>-1652.79</v>
      </c>
      <c r="Q16" s="2"/>
      <c r="R16" s="19"/>
      <c r="S16" s="2"/>
      <c r="T16" s="2"/>
      <c r="U16" s="2"/>
      <c r="V16" s="19"/>
      <c r="W16" s="2"/>
      <c r="X16" s="2">
        <f t="shared" si="2"/>
        <v>-1652.79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"4500", " - ", "SALES DISCOUNT")</f>
        <v xml:space="preserve">          4500 - SALES DISCOUNT</v>
      </c>
      <c r="C17" s="11"/>
      <c r="D17" s="2">
        <f>-3983.12</f>
        <v>-3983.12</v>
      </c>
      <c r="E17" s="2"/>
      <c r="F17" s="19"/>
      <c r="G17" s="2"/>
      <c r="H17" s="2"/>
      <c r="I17" s="2"/>
      <c r="J17" s="19"/>
      <c r="K17" s="2"/>
      <c r="L17" s="2">
        <f t="shared" si="0"/>
        <v>-3983.12</v>
      </c>
      <c r="M17" s="2"/>
      <c r="N17" s="19">
        <f t="shared" si="1"/>
        <v>0</v>
      </c>
      <c r="O17" s="11"/>
      <c r="P17" s="2">
        <f>-60478.48</f>
        <v>-60478.48</v>
      </c>
      <c r="Q17" s="2"/>
      <c r="R17" s="19"/>
      <c r="S17" s="2"/>
      <c r="T17" s="2"/>
      <c r="U17" s="2"/>
      <c r="V17" s="19"/>
      <c r="W17" s="2"/>
      <c r="X17" s="2">
        <f t="shared" si="2"/>
        <v>-60478.48</v>
      </c>
      <c r="Y17" s="2"/>
      <c r="Z17" s="19">
        <f t="shared" si="3"/>
        <v>0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71420.520000000019</v>
      </c>
      <c r="E19" s="4"/>
      <c r="F19" s="12">
        <f t="shared" ref="F19:F38" si="4">IF(D$12=0,0,D19/D$12)</f>
        <v>0.47829073449371917</v>
      </c>
      <c r="G19" s="4"/>
      <c r="H19" s="4">
        <f>SUM(OSRRefH16x_0)</f>
        <v>121244</v>
      </c>
      <c r="I19" s="4"/>
      <c r="J19" s="12">
        <f t="shared" ref="J19:J38" si="5">IF(H$12=0,0,H19/H$12)</f>
        <v>0.50097100215686441</v>
      </c>
      <c r="K19" s="4"/>
      <c r="L19" s="4">
        <f t="shared" ref="L19:L38" si="6">+D19-H19</f>
        <v>-49823.479999999981</v>
      </c>
      <c r="M19" s="4"/>
      <c r="N19" s="12">
        <f t="shared" ref="N19:N38" si="7">IF(H19=0,0,L19/H19)</f>
        <v>-0.4109356339282767</v>
      </c>
      <c r="O19" s="10"/>
      <c r="P19" s="4">
        <f>SUM(OSRRefP16x_0)</f>
        <v>992107.7</v>
      </c>
      <c r="Q19" s="4"/>
      <c r="R19" s="12">
        <f t="shared" ref="R19:R38" si="8">IF(P$12=0,0,P19/P$12)</f>
        <v>0.49279073757301284</v>
      </c>
      <c r="S19" s="4"/>
      <c r="T19" s="4">
        <f>SUM(OSRRefT16x_0)</f>
        <v>913455</v>
      </c>
      <c r="U19" s="4"/>
      <c r="V19" s="12">
        <f t="shared" ref="V19:V38" si="9">IF(T$12=0,0,T19/T$12)</f>
        <v>0.52036205539180891</v>
      </c>
      <c r="W19" s="4"/>
      <c r="X19" s="4">
        <f t="shared" ref="X19:X38" si="10">+P19-T19</f>
        <v>78652.699999999953</v>
      </c>
      <c r="Y19" s="4"/>
      <c r="Z19" s="12">
        <f t="shared" ref="Z19:Z38" si="11">IF(T19=0,0,X19/T19)</f>
        <v>8.6104624748892883E-2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2">
        <v>166985.17000000001</v>
      </c>
      <c r="E20" s="2"/>
      <c r="F20" s="19">
        <f t="shared" si="4"/>
        <v>1.1182704859731984</v>
      </c>
      <c r="G20" s="2"/>
      <c r="H20" s="2">
        <v>121244</v>
      </c>
      <c r="I20" s="2"/>
      <c r="J20" s="19">
        <f t="shared" si="5"/>
        <v>0.50097100215686441</v>
      </c>
      <c r="K20" s="2"/>
      <c r="L20" s="2">
        <f t="shared" si="6"/>
        <v>45741.170000000013</v>
      </c>
      <c r="M20" s="2"/>
      <c r="N20" s="19">
        <f t="shared" si="7"/>
        <v>0.37726543169146526</v>
      </c>
      <c r="O20" s="11"/>
      <c r="P20" s="2">
        <v>1210519.27</v>
      </c>
      <c r="Q20" s="2"/>
      <c r="R20" s="19">
        <f t="shared" si="8"/>
        <v>0.60127815146444796</v>
      </c>
      <c r="S20" s="2"/>
      <c r="T20" s="2">
        <v>913455</v>
      </c>
      <c r="U20" s="2"/>
      <c r="V20" s="19">
        <f t="shared" si="9"/>
        <v>0.52036205539180891</v>
      </c>
      <c r="W20" s="2"/>
      <c r="X20" s="2">
        <f t="shared" si="10"/>
        <v>297064.27</v>
      </c>
      <c r="Y20" s="2"/>
      <c r="Z20" s="19">
        <f t="shared" si="11"/>
        <v>0.32520952865767883</v>
      </c>
    </row>
    <row r="21" spans="1:26" s="24" customFormat="1" hidden="1" outlineLevel="1" x14ac:dyDescent="0.3">
      <c r="A21" s="44"/>
      <c r="B21" s="11" t="str">
        <f>CONCATENATE("          ", "5027", " - ", "PURCHASES @ COST-SCHOOL SUPPLI")</f>
        <v xml:space="preserve">          5027 - PURCHASES @ COST-SCHOOL SUPPLI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"5028", " - ", "PURCHASES @ COST-ART/TECH")</f>
        <v xml:space="preserve">          5028 - PURCHASES @ COST-ART/TECH</v>
      </c>
      <c r="C22" s="11"/>
      <c r="D22" s="2"/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"5031", " - ", "PURCHASES @ COST-FOOD")</f>
        <v xml:space="preserve">          5031 - PURCHASES @ COST-FOOD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"5040", " - ", "PURCHASES @ COST-LOGO CLOTHING")</f>
        <v xml:space="preserve">          5040 - PURCHASES @ COST-LOGO CLOTHING</v>
      </c>
      <c r="C24" s="11"/>
      <c r="D24" s="2"/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"5041", " - ", "PURCHASES @ COST-LOGO GIFTS")</f>
        <v xml:space="preserve">          5041 - PURCHASES @ COST-LOGO GIFTS</v>
      </c>
      <c r="C25" s="11"/>
      <c r="D25" s="2"/>
      <c r="E25" s="2"/>
      <c r="F25" s="19">
        <f t="shared" si="4"/>
        <v>0</v>
      </c>
      <c r="G25" s="2"/>
      <c r="H25" s="2"/>
      <c r="I25" s="2"/>
      <c r="J25" s="19">
        <f t="shared" si="5"/>
        <v>0</v>
      </c>
      <c r="K25" s="2"/>
      <c r="L25" s="2">
        <f t="shared" si="6"/>
        <v>0</v>
      </c>
      <c r="M25" s="2"/>
      <c r="N25" s="19">
        <f t="shared" si="7"/>
        <v>0</v>
      </c>
      <c r="O25" s="11"/>
      <c r="P25" s="2">
        <v>0</v>
      </c>
      <c r="Q25" s="2"/>
      <c r="R25" s="19">
        <f t="shared" si="8"/>
        <v>0</v>
      </c>
      <c r="S25" s="2"/>
      <c r="T25" s="2"/>
      <c r="U25" s="2"/>
      <c r="V25" s="19">
        <f t="shared" si="9"/>
        <v>0</v>
      </c>
      <c r="W25" s="2"/>
      <c r="X25" s="2">
        <f t="shared" si="10"/>
        <v>0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"5042", " - ", "PURCHASES @ COST-EVERYDAY GIFT")</f>
        <v xml:space="preserve">          5042 - PURCHASES @ COST-EVERYDAY GIFT</v>
      </c>
      <c r="C26" s="11"/>
      <c r="D26" s="2"/>
      <c r="E26" s="2"/>
      <c r="F26" s="19">
        <f t="shared" si="4"/>
        <v>0</v>
      </c>
      <c r="G26" s="2"/>
      <c r="H26" s="2"/>
      <c r="I26" s="2"/>
      <c r="J26" s="19">
        <f t="shared" si="5"/>
        <v>0</v>
      </c>
      <c r="K26" s="2"/>
      <c r="L26" s="2">
        <f t="shared" si="6"/>
        <v>0</v>
      </c>
      <c r="M26" s="2"/>
      <c r="N26" s="19">
        <f t="shared" si="7"/>
        <v>0</v>
      </c>
      <c r="O26" s="11"/>
      <c r="P26" s="2">
        <v>0</v>
      </c>
      <c r="Q26" s="2"/>
      <c r="R26" s="19">
        <f t="shared" si="8"/>
        <v>0</v>
      </c>
      <c r="S26" s="2"/>
      <c r="T26" s="2"/>
      <c r="U26" s="2"/>
      <c r="V26" s="19">
        <f t="shared" si="9"/>
        <v>0</v>
      </c>
      <c r="W26" s="2"/>
      <c r="X26" s="2">
        <f t="shared" si="10"/>
        <v>0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"5043", " - ", "PURCHASES @ COST-CARDS")</f>
        <v xml:space="preserve">          5043 - PURCHASES @ COST-CARDS</v>
      </c>
      <c r="C27" s="11"/>
      <c r="D27" s="2"/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"5044", " - ", "PURCHASES @ COST-ACCESSORIES")</f>
        <v xml:space="preserve">          5044 - PURCHASES @ COST-ACCESSORIES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s="24" customFormat="1" hidden="1" outlineLevel="1" x14ac:dyDescent="0.3">
      <c r="A29" s="44"/>
      <c r="B29" s="11" t="str">
        <f>CONCATENATE("          ", "5045", " - ", "PURCHASES @ COST-SPECIAL ORDER")</f>
        <v xml:space="preserve">          5045 - PURCHASES @ COST-SPECIAL ORDER</v>
      </c>
      <c r="C29" s="11"/>
      <c r="D29" s="2"/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s="24" customFormat="1" hidden="1" outlineLevel="1" x14ac:dyDescent="0.3">
      <c r="A30" s="44"/>
      <c r="B30" s="11" t="str">
        <f>CONCATENATE("          ", "5200", " - ", "PURCHASES OFFSET")</f>
        <v xml:space="preserve">          5200 - PURCHASES OFFSET</v>
      </c>
      <c r="C30" s="11"/>
      <c r="D30" s="2">
        <v>-177423.53</v>
      </c>
      <c r="E30" s="2"/>
      <c r="F30" s="19">
        <f t="shared" si="4"/>
        <v>-1.1881743577359616</v>
      </c>
      <c r="G30" s="2"/>
      <c r="H30" s="2"/>
      <c r="I30" s="2"/>
      <c r="J30" s="19">
        <f t="shared" si="5"/>
        <v>0</v>
      </c>
      <c r="K30" s="2"/>
      <c r="L30" s="2">
        <f t="shared" si="6"/>
        <v>-177423.53</v>
      </c>
      <c r="M30" s="2"/>
      <c r="N30" s="19">
        <f t="shared" si="7"/>
        <v>0</v>
      </c>
      <c r="O30" s="11"/>
      <c r="P30" s="2">
        <v>-1252807.53</v>
      </c>
      <c r="Q30" s="2"/>
      <c r="R30" s="19">
        <f t="shared" si="8"/>
        <v>-0.62228319238498442</v>
      </c>
      <c r="S30" s="2"/>
      <c r="T30" s="2"/>
      <c r="U30" s="2"/>
      <c r="V30" s="19">
        <f t="shared" si="9"/>
        <v>0</v>
      </c>
      <c r="W30" s="2"/>
      <c r="X30" s="2">
        <f t="shared" si="10"/>
        <v>-1252807.53</v>
      </c>
      <c r="Y30" s="2"/>
      <c r="Z30" s="19">
        <f t="shared" si="11"/>
        <v>0</v>
      </c>
    </row>
    <row r="31" spans="1:26" s="24" customFormat="1" hidden="1" outlineLevel="1" x14ac:dyDescent="0.3">
      <c r="A31" s="44"/>
      <c r="B31" s="11" t="str">
        <f>CONCATENATE("          ", "5300", " - ", "COG$ OFFSET")</f>
        <v xml:space="preserve">          5300 - COG$ OFFSET</v>
      </c>
      <c r="C31" s="11"/>
      <c r="D31" s="2">
        <v>71420.52</v>
      </c>
      <c r="E31" s="2"/>
      <c r="F31" s="19">
        <f t="shared" si="4"/>
        <v>0.47829073449371906</v>
      </c>
      <c r="G31" s="2"/>
      <c r="H31" s="2"/>
      <c r="I31" s="2"/>
      <c r="J31" s="19">
        <f t="shared" si="5"/>
        <v>0</v>
      </c>
      <c r="K31" s="2"/>
      <c r="L31" s="2">
        <f t="shared" si="6"/>
        <v>71420.52</v>
      </c>
      <c r="M31" s="2"/>
      <c r="N31" s="19">
        <f t="shared" si="7"/>
        <v>0</v>
      </c>
      <c r="O31" s="11"/>
      <c r="P31" s="2">
        <v>992107.7</v>
      </c>
      <c r="Q31" s="2"/>
      <c r="R31" s="19">
        <f t="shared" si="8"/>
        <v>0.49279073757301284</v>
      </c>
      <c r="S31" s="2"/>
      <c r="T31" s="2"/>
      <c r="U31" s="2"/>
      <c r="V31" s="19">
        <f t="shared" si="9"/>
        <v>0</v>
      </c>
      <c r="W31" s="2"/>
      <c r="X31" s="2">
        <f t="shared" si="10"/>
        <v>992107.7</v>
      </c>
      <c r="Y31" s="2"/>
      <c r="Z31" s="19">
        <f t="shared" si="11"/>
        <v>0</v>
      </c>
    </row>
    <row r="32" spans="1:26" s="24" customFormat="1" hidden="1" outlineLevel="1" x14ac:dyDescent="0.3">
      <c r="A32" s="44"/>
      <c r="B32" s="11" t="str">
        <f>CONCATENATE("          ", "5500", " - ", "FREIGHT-IN")</f>
        <v xml:space="preserve">          5500 - FREIGHT-IN</v>
      </c>
      <c r="C32" s="11"/>
      <c r="D32" s="2">
        <v>10438.36</v>
      </c>
      <c r="E32" s="2"/>
      <c r="F32" s="19">
        <f t="shared" si="4"/>
        <v>6.9903871762763109E-2</v>
      </c>
      <c r="G32" s="2"/>
      <c r="H32" s="2"/>
      <c r="I32" s="2"/>
      <c r="J32" s="19">
        <f t="shared" si="5"/>
        <v>0</v>
      </c>
      <c r="K32" s="2"/>
      <c r="L32" s="2">
        <f t="shared" si="6"/>
        <v>10438.36</v>
      </c>
      <c r="M32" s="2"/>
      <c r="N32" s="19">
        <f t="shared" si="7"/>
        <v>0</v>
      </c>
      <c r="O32" s="11"/>
      <c r="P32" s="2">
        <v>42288.26</v>
      </c>
      <c r="Q32" s="2"/>
      <c r="R32" s="19">
        <f t="shared" si="8"/>
        <v>2.1005040920536486E-2</v>
      </c>
      <c r="S32" s="2"/>
      <c r="T32" s="2"/>
      <c r="U32" s="2"/>
      <c r="V32" s="19">
        <f t="shared" si="9"/>
        <v>0</v>
      </c>
      <c r="W32" s="2"/>
      <c r="X32" s="2">
        <f t="shared" si="10"/>
        <v>42288.26</v>
      </c>
      <c r="Y32" s="2"/>
      <c r="Z32" s="19">
        <f t="shared" si="11"/>
        <v>0</v>
      </c>
    </row>
    <row r="33" spans="1:26" s="24" customFormat="1" hidden="1" outlineLevel="1" x14ac:dyDescent="0.3">
      <c r="A33" s="44"/>
      <c r="B33" s="11" t="str">
        <f>CONCATENATE("          ", "5527", " - ", "FREIGHT-IN-SCHOOL SUPPLIES")</f>
        <v xml:space="preserve">          5527 - FREIGHT-IN-SCHOOL SUPPLIES</v>
      </c>
      <c r="C33" s="11"/>
      <c r="D33" s="2"/>
      <c r="E33" s="2"/>
      <c r="F33" s="19">
        <f t="shared" si="4"/>
        <v>0</v>
      </c>
      <c r="G33" s="2"/>
      <c r="H33" s="2"/>
      <c r="I33" s="2"/>
      <c r="J33" s="19">
        <f t="shared" si="5"/>
        <v>0</v>
      </c>
      <c r="K33" s="2"/>
      <c r="L33" s="2">
        <f t="shared" si="6"/>
        <v>0</v>
      </c>
      <c r="M33" s="2"/>
      <c r="N33" s="19">
        <f t="shared" si="7"/>
        <v>0</v>
      </c>
      <c r="O33" s="11"/>
      <c r="P33" s="2">
        <v>0</v>
      </c>
      <c r="Q33" s="2"/>
      <c r="R33" s="19">
        <f t="shared" si="8"/>
        <v>0</v>
      </c>
      <c r="S33" s="2"/>
      <c r="T33" s="2"/>
      <c r="U33" s="2"/>
      <c r="V33" s="19">
        <f t="shared" si="9"/>
        <v>0</v>
      </c>
      <c r="W33" s="2"/>
      <c r="X33" s="2">
        <f t="shared" si="10"/>
        <v>0</v>
      </c>
      <c r="Y33" s="2"/>
      <c r="Z33" s="19">
        <f t="shared" si="11"/>
        <v>0</v>
      </c>
    </row>
    <row r="34" spans="1:26" s="24" customFormat="1" hidden="1" outlineLevel="1" x14ac:dyDescent="0.3">
      <c r="A34" s="44"/>
      <c r="B34" s="11" t="str">
        <f>CONCATENATE("          ", "5540", " - ", "FREIGHT-IN-LOGO CLOTHING")</f>
        <v xml:space="preserve">          5540 - FREIGHT-IN-LOGO CLOTHING</v>
      </c>
      <c r="C34" s="11"/>
      <c r="D34" s="2"/>
      <c r="E34" s="2"/>
      <c r="F34" s="19">
        <f t="shared" si="4"/>
        <v>0</v>
      </c>
      <c r="G34" s="2"/>
      <c r="H34" s="2"/>
      <c r="I34" s="2"/>
      <c r="J34" s="19">
        <f t="shared" si="5"/>
        <v>0</v>
      </c>
      <c r="K34" s="2"/>
      <c r="L34" s="2">
        <f t="shared" si="6"/>
        <v>0</v>
      </c>
      <c r="M34" s="2"/>
      <c r="N34" s="19">
        <f t="shared" si="7"/>
        <v>0</v>
      </c>
      <c r="O34" s="11"/>
      <c r="P34" s="2">
        <v>0</v>
      </c>
      <c r="Q34" s="2"/>
      <c r="R34" s="19">
        <f t="shared" si="8"/>
        <v>0</v>
      </c>
      <c r="S34" s="2"/>
      <c r="T34" s="2"/>
      <c r="U34" s="2"/>
      <c r="V34" s="19">
        <f t="shared" si="9"/>
        <v>0</v>
      </c>
      <c r="W34" s="2"/>
      <c r="X34" s="2">
        <f t="shared" si="10"/>
        <v>0</v>
      </c>
      <c r="Y34" s="2"/>
      <c r="Z34" s="19">
        <f t="shared" si="11"/>
        <v>0</v>
      </c>
    </row>
    <row r="35" spans="1:26" s="24" customFormat="1" hidden="1" outlineLevel="1" x14ac:dyDescent="0.3">
      <c r="A35" s="44"/>
      <c r="B35" s="11" t="str">
        <f>CONCATENATE("          ", "5541", " - ", "FREIGHT-IN-LOGO GIFTS")</f>
        <v xml:space="preserve">          5541 - FREIGHT-IN-LOGO GIFTS</v>
      </c>
      <c r="C35" s="11"/>
      <c r="D35" s="2"/>
      <c r="E35" s="2"/>
      <c r="F35" s="19">
        <f t="shared" si="4"/>
        <v>0</v>
      </c>
      <c r="G35" s="2"/>
      <c r="H35" s="2"/>
      <c r="I35" s="2"/>
      <c r="J35" s="19">
        <f t="shared" si="5"/>
        <v>0</v>
      </c>
      <c r="K35" s="2"/>
      <c r="L35" s="2">
        <f t="shared" si="6"/>
        <v>0</v>
      </c>
      <c r="M35" s="2"/>
      <c r="N35" s="19">
        <f t="shared" si="7"/>
        <v>0</v>
      </c>
      <c r="O35" s="11"/>
      <c r="P35" s="2">
        <v>0</v>
      </c>
      <c r="Q35" s="2"/>
      <c r="R35" s="19">
        <f t="shared" si="8"/>
        <v>0</v>
      </c>
      <c r="S35" s="2"/>
      <c r="T35" s="2"/>
      <c r="U35" s="2"/>
      <c r="V35" s="19">
        <f t="shared" si="9"/>
        <v>0</v>
      </c>
      <c r="W35" s="2"/>
      <c r="X35" s="2">
        <f t="shared" si="10"/>
        <v>0</v>
      </c>
      <c r="Y35" s="2"/>
      <c r="Z35" s="19">
        <f t="shared" si="11"/>
        <v>0</v>
      </c>
    </row>
    <row r="36" spans="1:26" s="24" customFormat="1" hidden="1" outlineLevel="1" x14ac:dyDescent="0.3">
      <c r="A36" s="44"/>
      <c r="B36" s="11" t="str">
        <f>CONCATENATE("          ", "5542", " - ", "FREIGHT-IN-EVERYDAY GIFTS")</f>
        <v xml:space="preserve">          5542 - FREIGHT-IN-EVERYDAY GIFTS</v>
      </c>
      <c r="C36" s="11"/>
      <c r="D36" s="2"/>
      <c r="E36" s="2"/>
      <c r="F36" s="19">
        <f t="shared" si="4"/>
        <v>0</v>
      </c>
      <c r="G36" s="2"/>
      <c r="H36" s="2"/>
      <c r="I36" s="2"/>
      <c r="J36" s="19">
        <f t="shared" si="5"/>
        <v>0</v>
      </c>
      <c r="K36" s="2"/>
      <c r="L36" s="2">
        <f t="shared" si="6"/>
        <v>0</v>
      </c>
      <c r="M36" s="2"/>
      <c r="N36" s="19">
        <f t="shared" si="7"/>
        <v>0</v>
      </c>
      <c r="O36" s="11"/>
      <c r="P36" s="2">
        <v>0</v>
      </c>
      <c r="Q36" s="2"/>
      <c r="R36" s="19">
        <f t="shared" si="8"/>
        <v>0</v>
      </c>
      <c r="S36" s="2"/>
      <c r="T36" s="2"/>
      <c r="U36" s="2"/>
      <c r="V36" s="19">
        <f t="shared" si="9"/>
        <v>0</v>
      </c>
      <c r="W36" s="2"/>
      <c r="X36" s="2">
        <f t="shared" si="10"/>
        <v>0</v>
      </c>
      <c r="Y36" s="2"/>
      <c r="Z36" s="19">
        <f t="shared" si="11"/>
        <v>0</v>
      </c>
    </row>
    <row r="37" spans="1:26" s="24" customFormat="1" hidden="1" outlineLevel="1" x14ac:dyDescent="0.3">
      <c r="A37" s="44"/>
      <c r="B37" s="11" t="str">
        <f>CONCATENATE("          ", "5544", " - ", "FREIGHT-IN-ACCESSORIES")</f>
        <v xml:space="preserve">          5544 - FREIGHT-IN-ACCESSORIES</v>
      </c>
      <c r="C37" s="11"/>
      <c r="D37" s="2"/>
      <c r="E37" s="2"/>
      <c r="F37" s="19">
        <f t="shared" si="4"/>
        <v>0</v>
      </c>
      <c r="G37" s="2"/>
      <c r="H37" s="2"/>
      <c r="I37" s="2"/>
      <c r="J37" s="19">
        <f t="shared" si="5"/>
        <v>0</v>
      </c>
      <c r="K37" s="2"/>
      <c r="L37" s="2">
        <f t="shared" si="6"/>
        <v>0</v>
      </c>
      <c r="M37" s="2"/>
      <c r="N37" s="19">
        <f t="shared" si="7"/>
        <v>0</v>
      </c>
      <c r="O37" s="11"/>
      <c r="P37" s="2">
        <v>0</v>
      </c>
      <c r="Q37" s="2"/>
      <c r="R37" s="19">
        <f t="shared" si="8"/>
        <v>0</v>
      </c>
      <c r="S37" s="2"/>
      <c r="T37" s="2"/>
      <c r="U37" s="2"/>
      <c r="V37" s="19">
        <f t="shared" si="9"/>
        <v>0</v>
      </c>
      <c r="W37" s="2"/>
      <c r="X37" s="2">
        <f t="shared" si="10"/>
        <v>0</v>
      </c>
      <c r="Y37" s="2"/>
      <c r="Z37" s="19">
        <f t="shared" si="11"/>
        <v>0</v>
      </c>
    </row>
    <row r="38" spans="1:26" s="24" customFormat="1" hidden="1" outlineLevel="1" x14ac:dyDescent="0.3">
      <c r="A38" s="44"/>
      <c r="B38" s="11" t="str">
        <f>CONCATENATE("          ", "5545", " - ", "FREIGHT-IN-SPECIAL ORDERS")</f>
        <v xml:space="preserve">          5545 - FREIGHT-IN-SPECIAL ORDERS</v>
      </c>
      <c r="C38" s="11"/>
      <c r="D38" s="2"/>
      <c r="E38" s="2"/>
      <c r="F38" s="19">
        <f t="shared" si="4"/>
        <v>0</v>
      </c>
      <c r="G38" s="2"/>
      <c r="H38" s="2"/>
      <c r="I38" s="2"/>
      <c r="J38" s="19">
        <f t="shared" si="5"/>
        <v>0</v>
      </c>
      <c r="K38" s="2"/>
      <c r="L38" s="2">
        <f t="shared" si="6"/>
        <v>0</v>
      </c>
      <c r="M38" s="2"/>
      <c r="N38" s="19">
        <f t="shared" si="7"/>
        <v>0</v>
      </c>
      <c r="O38" s="11"/>
      <c r="P38" s="2">
        <v>0</v>
      </c>
      <c r="Q38" s="2"/>
      <c r="R38" s="19">
        <f t="shared" si="8"/>
        <v>0</v>
      </c>
      <c r="S38" s="2"/>
      <c r="T38" s="2"/>
      <c r="U38" s="2"/>
      <c r="V38" s="19">
        <f t="shared" si="9"/>
        <v>0</v>
      </c>
      <c r="W38" s="2"/>
      <c r="X38" s="2">
        <f t="shared" si="10"/>
        <v>0</v>
      </c>
      <c r="Y38" s="2"/>
      <c r="Z38" s="19">
        <f t="shared" si="11"/>
        <v>0</v>
      </c>
    </row>
    <row r="39" spans="1:26" x14ac:dyDescent="0.3">
      <c r="A39" s="9"/>
      <c r="B39" s="10"/>
      <c r="C39" s="10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O39" s="10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x14ac:dyDescent="0.3">
      <c r="A40" s="10"/>
      <c r="B40" s="26" t="s">
        <v>108</v>
      </c>
      <c r="C40" s="26"/>
      <c r="D40" s="21">
        <f>D12-D19</f>
        <v>77903.969999999972</v>
      </c>
      <c r="E40" s="13"/>
      <c r="F40" s="22">
        <f>IF(D$12=0,0,D40/D$12)</f>
        <v>0.52170926550628083</v>
      </c>
      <c r="G40" s="13"/>
      <c r="H40" s="21">
        <f>H12-H19</f>
        <v>120774</v>
      </c>
      <c r="I40" s="13"/>
      <c r="J40" s="22">
        <f>IF(H$12=0,0,H40/H$12)</f>
        <v>0.49902899784313565</v>
      </c>
      <c r="K40" s="15"/>
      <c r="L40" s="21">
        <f>+D40-H40</f>
        <v>-42870.030000000028</v>
      </c>
      <c r="M40" s="15"/>
      <c r="N40" s="22">
        <f>IF(H40=0,0,L40/H40)</f>
        <v>-0.35496075314223285</v>
      </c>
      <c r="O40" s="25"/>
      <c r="P40" s="21">
        <f>P12-P19</f>
        <v>1021135.6999999997</v>
      </c>
      <c r="Q40" s="13"/>
      <c r="R40" s="22">
        <f>IF(P$12=0,0,P40/P$12)</f>
        <v>0.50720926242698716</v>
      </c>
      <c r="S40" s="13"/>
      <c r="T40" s="21">
        <f>T12-T19</f>
        <v>841967</v>
      </c>
      <c r="U40" s="13"/>
      <c r="V40" s="22">
        <f>IF(T$12=0,0,T40/T$12)</f>
        <v>0.47963794460819109</v>
      </c>
      <c r="W40" s="15"/>
      <c r="X40" s="21">
        <f>+P40-T40</f>
        <v>179168.69999999972</v>
      </c>
      <c r="Y40" s="15"/>
      <c r="Z40" s="22">
        <f>IF(T40=0,0,X40/T40)</f>
        <v>0.21279776998385888</v>
      </c>
    </row>
    <row r="41" spans="1:26" x14ac:dyDescent="0.3">
      <c r="A41" s="9"/>
      <c r="B41" s="10"/>
      <c r="C41" s="9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6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3" customFormat="1" x14ac:dyDescent="0.3">
      <c r="A42" s="10"/>
      <c r="B42" s="25" t="s">
        <v>295</v>
      </c>
      <c r="C42" s="10"/>
      <c r="D42" s="20">
        <f>SUM(OSRRefD22x_0)</f>
        <v>109887.09000000001</v>
      </c>
      <c r="E42" s="20"/>
      <c r="F42" s="33">
        <f t="shared" ref="F42:F52" si="12">IF(D$12=0,0,D42/D$12)</f>
        <v>0.735894627867137</v>
      </c>
      <c r="G42" s="20"/>
      <c r="H42" s="20">
        <f>SUM(OSRRefH22x_0)</f>
        <v>103535.46949740386</v>
      </c>
      <c r="I42" s="20"/>
      <c r="J42" s="33">
        <f t="shared" ref="J42:J52" si="13">IF(H$12=0,0,H42/H$12)</f>
        <v>0.42780069869763349</v>
      </c>
      <c r="K42" s="4"/>
      <c r="L42" s="20">
        <f t="shared" ref="L42:L52" si="14">+D42-H42</f>
        <v>6351.6205025961535</v>
      </c>
      <c r="M42" s="4"/>
      <c r="N42" s="33">
        <f t="shared" ref="N42:N52" si="15">IF(H42=0,0,L42/H42)</f>
        <v>6.1347290290265401E-2</v>
      </c>
      <c r="O42" s="10"/>
      <c r="P42" s="20">
        <f>SUM(OSRRefP22x_0)</f>
        <v>561863.71000000008</v>
      </c>
      <c r="Q42" s="20"/>
      <c r="R42" s="33">
        <f t="shared" ref="R42:R52" si="16">IF(P$12=0,0,P42/P$12)</f>
        <v>0.27908384550025106</v>
      </c>
      <c r="S42" s="20"/>
      <c r="T42" s="20">
        <f>SUM(OSRRefT22x_0)</f>
        <v>607600.35955990385</v>
      </c>
      <c r="U42" s="20"/>
      <c r="V42" s="33">
        <f t="shared" ref="V42:V52" si="17">IF(T$12=0,0,T42/T$12)</f>
        <v>0.34612780263657617</v>
      </c>
      <c r="W42" s="4"/>
      <c r="X42" s="20">
        <f t="shared" ref="X42:X52" si="18">+P42-T42</f>
        <v>-45736.649559903773</v>
      </c>
      <c r="Y42" s="4"/>
      <c r="Z42" s="33">
        <f t="shared" ref="Z42:Z52" si="19">IF(T42=0,0,X42/T42)</f>
        <v>-7.5274230569961603E-2</v>
      </c>
    </row>
    <row r="43" spans="1:26" s="28" customFormat="1" outlineLevel="1" collapsed="1" x14ac:dyDescent="0.3">
      <c r="A43" s="29"/>
      <c r="B43" s="14" t="str">
        <f>CONCATENATE("     ","*Benefits                                         ")</f>
        <v xml:space="preserve">     *Benefits                                         </v>
      </c>
      <c r="C43" s="14"/>
      <c r="D43" s="1">
        <f>SUM(OSRRefD22_0x_0)</f>
        <v>17597.28</v>
      </c>
      <c r="E43" s="1"/>
      <c r="F43" s="5">
        <f t="shared" si="12"/>
        <v>0.11784590725874905</v>
      </c>
      <c r="G43" s="1"/>
      <c r="H43" s="1">
        <f>SUM(OSRRefH22_0x_0)</f>
        <v>20883.481997403855</v>
      </c>
      <c r="I43" s="1"/>
      <c r="J43" s="5">
        <f t="shared" si="13"/>
        <v>8.628896196730762E-2</v>
      </c>
      <c r="K43" s="1"/>
      <c r="L43" s="1">
        <f t="shared" si="14"/>
        <v>-3286.2019974038558</v>
      </c>
      <c r="M43" s="1"/>
      <c r="N43" s="5">
        <f t="shared" si="15"/>
        <v>-0.15735891159397569</v>
      </c>
      <c r="O43" s="14"/>
      <c r="P43" s="1">
        <f>SUM(OSRRefP22_0x_0)</f>
        <v>96075.99</v>
      </c>
      <c r="Q43" s="1"/>
      <c r="R43" s="5">
        <f t="shared" si="16"/>
        <v>4.7721994270538783E-2</v>
      </c>
      <c r="S43" s="1"/>
      <c r="T43" s="1">
        <f>SUM(OSRRefT22_0x_0)</f>
        <v>126964.99705990389</v>
      </c>
      <c r="U43" s="1"/>
      <c r="V43" s="5">
        <f t="shared" si="17"/>
        <v>7.2327336139061657E-2</v>
      </c>
      <c r="W43" s="1"/>
      <c r="X43" s="1">
        <f t="shared" si="18"/>
        <v>-30889.007059903888</v>
      </c>
      <c r="Y43" s="1"/>
      <c r="Z43" s="5">
        <f t="shared" si="19"/>
        <v>-0.2432875814215946</v>
      </c>
    </row>
    <row r="44" spans="1:26" s="24" customFormat="1" hidden="1" outlineLevel="2" x14ac:dyDescent="0.3">
      <c r="A44" s="27"/>
      <c r="B44" s="11" t="str">
        <f>CONCATENATE("          ", "6111", " - ", "F.I.C.A.")</f>
        <v xml:space="preserve">          6111 - F.I.C.A.</v>
      </c>
      <c r="C44" s="11"/>
      <c r="D44" s="7">
        <v>2103.94</v>
      </c>
      <c r="E44" s="2"/>
      <c r="F44" s="6">
        <f t="shared" si="12"/>
        <v>1.4089718304077249E-2</v>
      </c>
      <c r="G44" s="2"/>
      <c r="H44" s="7">
        <v>5545.8134137500001</v>
      </c>
      <c r="I44" s="2"/>
      <c r="J44" s="6">
        <f t="shared" si="13"/>
        <v>2.291487994178119E-2</v>
      </c>
      <c r="K44" s="2"/>
      <c r="L44" s="7">
        <f t="shared" si="14"/>
        <v>-3441.8734137500001</v>
      </c>
      <c r="M44" s="2"/>
      <c r="N44" s="6">
        <f t="shared" si="15"/>
        <v>-0.62062553442861945</v>
      </c>
      <c r="O44" s="11"/>
      <c r="P44" s="7">
        <v>17716.740000000002</v>
      </c>
      <c r="Q44" s="2"/>
      <c r="R44" s="6">
        <f t="shared" si="16"/>
        <v>8.8000983885008661E-3</v>
      </c>
      <c r="S44" s="2"/>
      <c r="T44" s="7">
        <v>28469.896601249999</v>
      </c>
      <c r="U44" s="2"/>
      <c r="V44" s="6">
        <f t="shared" si="17"/>
        <v>1.6218263529367866E-2</v>
      </c>
      <c r="W44" s="2"/>
      <c r="X44" s="7">
        <f t="shared" si="18"/>
        <v>-10753.156601249997</v>
      </c>
      <c r="Y44" s="2"/>
      <c r="Z44" s="6">
        <f t="shared" si="19"/>
        <v>-0.37770269249161476</v>
      </c>
    </row>
    <row r="45" spans="1:26" s="24" customFormat="1" hidden="1" outlineLevel="2" x14ac:dyDescent="0.3">
      <c r="A45" s="27"/>
      <c r="B45" s="11" t="str">
        <f>CONCATENATE("          ", "6112", " - ", "COMPENSATION INSURANCE")</f>
        <v xml:space="preserve">          6112 - COMPENSATION INSURANCE</v>
      </c>
      <c r="C45" s="11"/>
      <c r="D45" s="7">
        <v>801.85</v>
      </c>
      <c r="E45" s="2"/>
      <c r="F45" s="6">
        <f t="shared" si="12"/>
        <v>5.3698492457600229E-3</v>
      </c>
      <c r="G45" s="2"/>
      <c r="H45" s="7">
        <v>1130.46765</v>
      </c>
      <c r="I45" s="2"/>
      <c r="J45" s="6">
        <f t="shared" si="13"/>
        <v>4.6710064953846414E-3</v>
      </c>
      <c r="K45" s="2"/>
      <c r="L45" s="7">
        <f t="shared" si="14"/>
        <v>-328.61765000000003</v>
      </c>
      <c r="M45" s="2"/>
      <c r="N45" s="6">
        <f t="shared" si="15"/>
        <v>-0.29069177698273807</v>
      </c>
      <c r="O45" s="11"/>
      <c r="P45" s="7">
        <v>5968.74</v>
      </c>
      <c r="Q45" s="2"/>
      <c r="R45" s="6">
        <f t="shared" si="16"/>
        <v>2.9647383917910772E-3</v>
      </c>
      <c r="S45" s="2"/>
      <c r="T45" s="7">
        <v>6772.1101500000004</v>
      </c>
      <c r="U45" s="2"/>
      <c r="V45" s="6">
        <f t="shared" si="17"/>
        <v>3.85782458576912E-3</v>
      </c>
      <c r="W45" s="2"/>
      <c r="X45" s="7">
        <f t="shared" si="18"/>
        <v>-803.37015000000065</v>
      </c>
      <c r="Y45" s="2"/>
      <c r="Z45" s="6">
        <f t="shared" si="19"/>
        <v>-0.1186292207606813</v>
      </c>
    </row>
    <row r="46" spans="1:26" s="24" customFormat="1" hidden="1" outlineLevel="2" x14ac:dyDescent="0.3">
      <c r="A46" s="27"/>
      <c r="B46" s="11" t="str">
        <f>CONCATENATE("          ", "6113", " - ", "GROUP INSURANCE")</f>
        <v xml:space="preserve">          6113 - GROUP INSURANCE</v>
      </c>
      <c r="C46" s="11"/>
      <c r="D46" s="7">
        <v>3945.42</v>
      </c>
      <c r="E46" s="2"/>
      <c r="F46" s="6">
        <f t="shared" si="12"/>
        <v>2.6421787879536706E-2</v>
      </c>
      <c r="G46" s="2"/>
      <c r="H46" s="7">
        <v>7393.6538461538503</v>
      </c>
      <c r="I46" s="2"/>
      <c r="J46" s="6">
        <f t="shared" si="13"/>
        <v>3.0550016305208084E-2</v>
      </c>
      <c r="K46" s="2"/>
      <c r="L46" s="7">
        <f t="shared" si="14"/>
        <v>-3448.2338461538502</v>
      </c>
      <c r="M46" s="2"/>
      <c r="N46" s="6">
        <f t="shared" si="15"/>
        <v>-0.46637750669753197</v>
      </c>
      <c r="O46" s="11"/>
      <c r="P46" s="7">
        <v>29674.5</v>
      </c>
      <c r="Q46" s="2"/>
      <c r="R46" s="6">
        <f t="shared" si="16"/>
        <v>1.4739648469728004E-2</v>
      </c>
      <c r="S46" s="2"/>
      <c r="T46" s="7">
        <v>49318.653846153902</v>
      </c>
      <c r="U46" s="2"/>
      <c r="V46" s="6">
        <f t="shared" si="17"/>
        <v>2.8095041446531889E-2</v>
      </c>
      <c r="W46" s="2"/>
      <c r="X46" s="7">
        <f t="shared" si="18"/>
        <v>-19644.153846153902</v>
      </c>
      <c r="Y46" s="2"/>
      <c r="Z46" s="6">
        <f t="shared" si="19"/>
        <v>-0.39831082793606792</v>
      </c>
    </row>
    <row r="47" spans="1:26" s="24" customFormat="1" hidden="1" outlineLevel="2" x14ac:dyDescent="0.3">
      <c r="A47" s="27"/>
      <c r="B47" s="11" t="str">
        <f>CONCATENATE("          ", "6114", " - ", "STATE UNEMPLOYMENT INSURANCE")</f>
        <v xml:space="preserve">          6114 - STATE UNEMPLOYMENT INSURANCE</v>
      </c>
      <c r="C47" s="11"/>
      <c r="D47" s="7">
        <v>140.97</v>
      </c>
      <c r="E47" s="2"/>
      <c r="F47" s="6">
        <f t="shared" si="12"/>
        <v>9.440514412605729E-4</v>
      </c>
      <c r="G47" s="2"/>
      <c r="H47" s="7">
        <v>152.1783375</v>
      </c>
      <c r="I47" s="2"/>
      <c r="J47" s="6">
        <f t="shared" si="13"/>
        <v>6.2878933591716316E-4</v>
      </c>
      <c r="K47" s="2"/>
      <c r="L47" s="7">
        <f t="shared" si="14"/>
        <v>-11.208337499999999</v>
      </c>
      <c r="M47" s="2"/>
      <c r="N47" s="6">
        <f t="shared" si="15"/>
        <v>-7.3652647834978477E-2</v>
      </c>
      <c r="O47" s="11"/>
      <c r="P47" s="7">
        <v>1048.6600000000001</v>
      </c>
      <c r="Q47" s="2"/>
      <c r="R47" s="6">
        <f t="shared" si="16"/>
        <v>5.2088088305666386E-4</v>
      </c>
      <c r="S47" s="2"/>
      <c r="T47" s="7">
        <v>911.63021249999997</v>
      </c>
      <c r="U47" s="2"/>
      <c r="V47" s="6">
        <f t="shared" si="17"/>
        <v>5.193225403919969E-4</v>
      </c>
      <c r="W47" s="2"/>
      <c r="X47" s="7">
        <f t="shared" si="18"/>
        <v>137.02978750000011</v>
      </c>
      <c r="Y47" s="2"/>
      <c r="Z47" s="6">
        <f t="shared" si="19"/>
        <v>0.15031290716464721</v>
      </c>
    </row>
    <row r="48" spans="1:26" s="24" customFormat="1" hidden="1" outlineLevel="2" x14ac:dyDescent="0.3">
      <c r="A48" s="27"/>
      <c r="B48" s="11" t="str">
        <f>CONCATENATE("          ", "6115", " - ", "P.E.R.S.")</f>
        <v xml:space="preserve">          6115 - P.E.R.S.</v>
      </c>
      <c r="C48" s="11"/>
      <c r="D48" s="7">
        <v>1550.21</v>
      </c>
      <c r="E48" s="2"/>
      <c r="F48" s="6">
        <f t="shared" si="12"/>
        <v>1.0381485314297743E-2</v>
      </c>
      <c r="G48" s="2"/>
      <c r="H48" s="7">
        <v>1509.03125</v>
      </c>
      <c r="I48" s="2"/>
      <c r="J48" s="6">
        <f t="shared" si="13"/>
        <v>6.2352025469179975E-3</v>
      </c>
      <c r="K48" s="2"/>
      <c r="L48" s="7">
        <f t="shared" si="14"/>
        <v>41.178750000000036</v>
      </c>
      <c r="M48" s="2"/>
      <c r="N48" s="6">
        <f t="shared" si="15"/>
        <v>2.7288202282093256E-2</v>
      </c>
      <c r="O48" s="11"/>
      <c r="P48" s="7">
        <v>11358.29</v>
      </c>
      <c r="Q48" s="2"/>
      <c r="R48" s="6">
        <f t="shared" si="16"/>
        <v>5.641786780475725E-3</v>
      </c>
      <c r="S48" s="2"/>
      <c r="T48" s="7">
        <v>9355.9937499999996</v>
      </c>
      <c r="U48" s="2"/>
      <c r="V48" s="6">
        <f t="shared" si="17"/>
        <v>5.3297689957172685E-3</v>
      </c>
      <c r="W48" s="2"/>
      <c r="X48" s="7">
        <f t="shared" si="18"/>
        <v>2002.2962500000012</v>
      </c>
      <c r="Y48" s="2"/>
      <c r="Z48" s="6">
        <f t="shared" si="19"/>
        <v>0.2140121406130697</v>
      </c>
    </row>
    <row r="49" spans="1:26" s="24" customFormat="1" hidden="1" outlineLevel="2" x14ac:dyDescent="0.3">
      <c r="A49" s="27"/>
      <c r="B49" s="11" t="str">
        <f>CONCATENATE("          ", "6116", " - ", "EDUCATIONAL BENEFITS")</f>
        <v xml:space="preserve">          6116 - EDUCATIONAL BENEFITS</v>
      </c>
      <c r="C49" s="11"/>
      <c r="D49" s="7"/>
      <c r="E49" s="2"/>
      <c r="F49" s="6">
        <f t="shared" si="12"/>
        <v>0</v>
      </c>
      <c r="G49" s="2"/>
      <c r="H49" s="7">
        <v>0</v>
      </c>
      <c r="I49" s="2"/>
      <c r="J49" s="6">
        <f t="shared" si="13"/>
        <v>0</v>
      </c>
      <c r="K49" s="2"/>
      <c r="L49" s="7">
        <f t="shared" si="14"/>
        <v>0</v>
      </c>
      <c r="M49" s="2"/>
      <c r="N49" s="6">
        <f t="shared" si="15"/>
        <v>0</v>
      </c>
      <c r="O49" s="11"/>
      <c r="P49" s="7"/>
      <c r="Q49" s="2"/>
      <c r="R49" s="6">
        <f t="shared" si="16"/>
        <v>0</v>
      </c>
      <c r="S49" s="2"/>
      <c r="T49" s="7">
        <v>0</v>
      </c>
      <c r="U49" s="2"/>
      <c r="V49" s="6">
        <f t="shared" si="17"/>
        <v>0</v>
      </c>
      <c r="W49" s="2"/>
      <c r="X49" s="7">
        <f t="shared" si="18"/>
        <v>0</v>
      </c>
      <c r="Y49" s="2"/>
      <c r="Z49" s="6">
        <f t="shared" si="19"/>
        <v>0</v>
      </c>
    </row>
    <row r="50" spans="1:26" s="24" customFormat="1" hidden="1" outlineLevel="2" x14ac:dyDescent="0.3">
      <c r="A50" s="27"/>
      <c r="B50" s="11" t="str">
        <f>CONCATENATE("          ", "6118", " - ", "VACATION")</f>
        <v xml:space="preserve">          6118 - VACATION</v>
      </c>
      <c r="C50" s="11"/>
      <c r="D50" s="7">
        <v>3218.84</v>
      </c>
      <c r="E50" s="2"/>
      <c r="F50" s="6">
        <f t="shared" si="12"/>
        <v>2.1556008662745142E-2</v>
      </c>
      <c r="G50" s="2"/>
      <c r="H50" s="7">
        <v>1392.34375</v>
      </c>
      <c r="I50" s="2"/>
      <c r="J50" s="6">
        <f t="shared" si="13"/>
        <v>5.7530586567941227E-3</v>
      </c>
      <c r="K50" s="2"/>
      <c r="L50" s="7">
        <f t="shared" si="14"/>
        <v>1826.4962500000001</v>
      </c>
      <c r="M50" s="2"/>
      <c r="N50" s="6">
        <f t="shared" si="15"/>
        <v>1.3118141622713502</v>
      </c>
      <c r="O50" s="11"/>
      <c r="P50" s="7">
        <v>13786.01</v>
      </c>
      <c r="Q50" s="2"/>
      <c r="R50" s="6">
        <f t="shared" si="16"/>
        <v>6.8476618376098995E-3</v>
      </c>
      <c r="S50" s="2"/>
      <c r="T50" s="7">
        <v>8632.53125</v>
      </c>
      <c r="U50" s="2"/>
      <c r="V50" s="6">
        <f t="shared" si="17"/>
        <v>4.9176387501125088E-3</v>
      </c>
      <c r="W50" s="2"/>
      <c r="X50" s="7">
        <f t="shared" si="18"/>
        <v>5153.4787500000002</v>
      </c>
      <c r="Y50" s="2"/>
      <c r="Z50" s="6">
        <f t="shared" si="19"/>
        <v>0.59698350353495677</v>
      </c>
    </row>
    <row r="51" spans="1:26" s="24" customFormat="1" hidden="1" outlineLevel="2" x14ac:dyDescent="0.3">
      <c r="A51" s="27"/>
      <c r="B51" s="11" t="str">
        <f>CONCATENATE("          ", "6119", " - ", "SICK LEAVE")</f>
        <v xml:space="preserve">          6119 - SICK LEAVE</v>
      </c>
      <c r="C51" s="11"/>
      <c r="D51" s="7">
        <v>5169.1899999999996</v>
      </c>
      <c r="E51" s="2"/>
      <c r="F51" s="6">
        <f t="shared" si="12"/>
        <v>3.4617161592180895E-2</v>
      </c>
      <c r="G51" s="2"/>
      <c r="H51" s="7">
        <v>2884.9937500000001</v>
      </c>
      <c r="I51" s="2"/>
      <c r="J51" s="6">
        <f t="shared" si="13"/>
        <v>1.1920575122511549E-2</v>
      </c>
      <c r="K51" s="2"/>
      <c r="L51" s="7">
        <f t="shared" si="14"/>
        <v>2284.1962499999995</v>
      </c>
      <c r="M51" s="2"/>
      <c r="N51" s="6">
        <f t="shared" si="15"/>
        <v>0.79175084868034795</v>
      </c>
      <c r="O51" s="11"/>
      <c r="P51" s="7">
        <v>12186.07</v>
      </c>
      <c r="Q51" s="2"/>
      <c r="R51" s="6">
        <f t="shared" si="16"/>
        <v>6.0529541534818897E-3</v>
      </c>
      <c r="S51" s="2"/>
      <c r="T51" s="7">
        <v>17379.181250000001</v>
      </c>
      <c r="U51" s="2"/>
      <c r="V51" s="6">
        <f t="shared" si="17"/>
        <v>9.9002867971348212E-3</v>
      </c>
      <c r="W51" s="2"/>
      <c r="X51" s="7">
        <f t="shared" si="18"/>
        <v>-5193.1112500000017</v>
      </c>
      <c r="Y51" s="2"/>
      <c r="Z51" s="6">
        <f t="shared" si="19"/>
        <v>-0.29881219231774808</v>
      </c>
    </row>
    <row r="52" spans="1:26" s="24" customFormat="1" hidden="1" outlineLevel="2" x14ac:dyDescent="0.3">
      <c r="A52" s="27"/>
      <c r="B52" s="11" t="str">
        <f>CONCATENATE("          ", "6156", " - ", "EMPLOYEE MEALS")</f>
        <v xml:space="preserve">          6156 - EMPLOYEE MEALS</v>
      </c>
      <c r="C52" s="11"/>
      <c r="D52" s="7">
        <v>666.86</v>
      </c>
      <c r="E52" s="2"/>
      <c r="F52" s="6">
        <f t="shared" si="12"/>
        <v>4.4658448188907261E-3</v>
      </c>
      <c r="G52" s="2"/>
      <c r="H52" s="7">
        <v>875</v>
      </c>
      <c r="I52" s="2"/>
      <c r="J52" s="6">
        <f t="shared" si="13"/>
        <v>3.61543356279285E-3</v>
      </c>
      <c r="K52" s="2"/>
      <c r="L52" s="7">
        <f t="shared" si="14"/>
        <v>-208.14</v>
      </c>
      <c r="M52" s="2"/>
      <c r="N52" s="6">
        <f t="shared" si="15"/>
        <v>-0.2378742857142857</v>
      </c>
      <c r="O52" s="11"/>
      <c r="P52" s="7">
        <v>4336.9799999999996</v>
      </c>
      <c r="Q52" s="2"/>
      <c r="R52" s="6">
        <f t="shared" si="16"/>
        <v>2.1542253658946553E-3</v>
      </c>
      <c r="S52" s="2"/>
      <c r="T52" s="7">
        <v>6125</v>
      </c>
      <c r="U52" s="2"/>
      <c r="V52" s="6">
        <f t="shared" si="17"/>
        <v>3.4891894940361919E-3</v>
      </c>
      <c r="W52" s="2"/>
      <c r="X52" s="7">
        <f t="shared" si="18"/>
        <v>-1788.0200000000004</v>
      </c>
      <c r="Y52" s="2"/>
      <c r="Z52" s="6">
        <f t="shared" si="19"/>
        <v>-0.29192163265306131</v>
      </c>
    </row>
    <row r="53" spans="1:26" s="28" customFormat="1" outlineLevel="1" collapsed="1" x14ac:dyDescent="0.3">
      <c r="A53" s="29"/>
      <c r="B53" s="14" t="str">
        <f>CONCATENATE("     ","*Payroll                                          ")</f>
        <v xml:space="preserve">     *Payroll                                          </v>
      </c>
      <c r="C53" s="14"/>
      <c r="D53" s="1">
        <f>SUM(OSRRefD22_1x_0)</f>
        <v>64689.180000000008</v>
      </c>
      <c r="E53" s="1"/>
      <c r="F53" s="5">
        <f t="shared" ref="F53:F63" si="20">IF(D$12=0,0,D53/D$12)</f>
        <v>0.43321212749496091</v>
      </c>
      <c r="G53" s="1"/>
      <c r="H53" s="1">
        <f>SUM(OSRRefH22_1x_0)</f>
        <v>69295.987500000003</v>
      </c>
      <c r="I53" s="1"/>
      <c r="J53" s="5">
        <f t="shared" ref="J53:J63" si="21">IF(H$12=0,0,H53/H$12)</f>
        <v>0.28632575882785577</v>
      </c>
      <c r="K53" s="1"/>
      <c r="L53" s="1">
        <f t="shared" ref="L53:L63" si="22">+D53-H53</f>
        <v>-4606.8074999999953</v>
      </c>
      <c r="M53" s="1"/>
      <c r="N53" s="5">
        <f t="shared" ref="N53:N63" si="23">IF(H53=0,0,L53/H53)</f>
        <v>-6.6480147930643094E-2</v>
      </c>
      <c r="O53" s="14"/>
      <c r="P53" s="1">
        <f>SUM(OSRRefP22_1x_0)</f>
        <v>387539.07000000007</v>
      </c>
      <c r="Q53" s="1"/>
      <c r="R53" s="5">
        <f t="shared" ref="R53:R63" si="24">IF(P$12=0,0,P53/P$12)</f>
        <v>0.19249489157644831</v>
      </c>
      <c r="S53" s="1"/>
      <c r="T53" s="1">
        <f>SUM(OSRRefT22_1x_0)</f>
        <v>414587.36249999999</v>
      </c>
      <c r="U53" s="1"/>
      <c r="V53" s="5">
        <f t="shared" ref="V53:V63" si="25">IF(T$12=0,0,T53/T$12)</f>
        <v>0.23617532564819171</v>
      </c>
      <c r="W53" s="1"/>
      <c r="X53" s="1">
        <f t="shared" ref="X53:X63" si="26">+P53-T53</f>
        <v>-27048.292499999923</v>
      </c>
      <c r="Y53" s="1"/>
      <c r="Z53" s="5">
        <f t="shared" ref="Z53:Z63" si="27">IF(T53=0,0,X53/T53)</f>
        <v>-6.5241478507439846E-2</v>
      </c>
    </row>
    <row r="54" spans="1:26" s="24" customFormat="1" hidden="1" outlineLevel="2" x14ac:dyDescent="0.3">
      <c r="A54" s="27"/>
      <c r="B54" s="11" t="str">
        <f>CONCATENATE("          ", "6001", " - ", "ADMINISTRATIVE SALARIES")</f>
        <v xml:space="preserve">          6001 - ADMINISTRATIVE SALARIES</v>
      </c>
      <c r="C54" s="11"/>
      <c r="D54" s="7"/>
      <c r="E54" s="2"/>
      <c r="F54" s="6">
        <f t="shared" si="20"/>
        <v>0</v>
      </c>
      <c r="G54" s="2"/>
      <c r="H54" s="7">
        <v>0</v>
      </c>
      <c r="I54" s="2"/>
      <c r="J54" s="6">
        <f t="shared" si="21"/>
        <v>0</v>
      </c>
      <c r="K54" s="2"/>
      <c r="L54" s="7">
        <f t="shared" si="22"/>
        <v>0</v>
      </c>
      <c r="M54" s="2"/>
      <c r="N54" s="6">
        <f t="shared" si="23"/>
        <v>0</v>
      </c>
      <c r="O54" s="11"/>
      <c r="P54" s="7"/>
      <c r="Q54" s="2"/>
      <c r="R54" s="6">
        <f t="shared" si="24"/>
        <v>0</v>
      </c>
      <c r="S54" s="2"/>
      <c r="T54" s="7">
        <v>0</v>
      </c>
      <c r="U54" s="2"/>
      <c r="V54" s="6">
        <f t="shared" si="25"/>
        <v>0</v>
      </c>
      <c r="W54" s="2"/>
      <c r="X54" s="7">
        <f t="shared" si="26"/>
        <v>0</v>
      </c>
      <c r="Y54" s="2"/>
      <c r="Z54" s="6">
        <f t="shared" si="27"/>
        <v>0</v>
      </c>
    </row>
    <row r="55" spans="1:26" s="24" customFormat="1" hidden="1" outlineLevel="2" x14ac:dyDescent="0.3">
      <c r="A55" s="27"/>
      <c r="B55" s="11" t="str">
        <f>CONCATENATE("          ", "6002", " - ", "STAFF SALARIES")</f>
        <v xml:space="preserve">          6002 - STAFF SALARIES</v>
      </c>
      <c r="C55" s="11"/>
      <c r="D55" s="7">
        <v>17550.939999999999</v>
      </c>
      <c r="E55" s="2"/>
      <c r="F55" s="6">
        <f t="shared" si="20"/>
        <v>0.1175355763813424</v>
      </c>
      <c r="G55" s="2"/>
      <c r="H55" s="7">
        <v>15792.1875</v>
      </c>
      <c r="I55" s="2"/>
      <c r="J55" s="6">
        <f t="shared" si="21"/>
        <v>6.5252119677048817E-2</v>
      </c>
      <c r="K55" s="2"/>
      <c r="L55" s="7">
        <f t="shared" si="22"/>
        <v>1758.7524999999987</v>
      </c>
      <c r="M55" s="2"/>
      <c r="N55" s="6">
        <f t="shared" si="23"/>
        <v>0.11136851686949631</v>
      </c>
      <c r="O55" s="11"/>
      <c r="P55" s="7">
        <v>110050.02</v>
      </c>
      <c r="Q55" s="2"/>
      <c r="R55" s="6">
        <f t="shared" si="24"/>
        <v>5.4663047697064357E-2</v>
      </c>
      <c r="S55" s="2"/>
      <c r="T55" s="7">
        <v>97911.5625</v>
      </c>
      <c r="U55" s="2"/>
      <c r="V55" s="6">
        <f t="shared" si="25"/>
        <v>5.5776652280762118E-2</v>
      </c>
      <c r="W55" s="2"/>
      <c r="X55" s="7">
        <f t="shared" si="26"/>
        <v>12138.457500000004</v>
      </c>
      <c r="Y55" s="2"/>
      <c r="Z55" s="6">
        <f t="shared" si="27"/>
        <v>0.12397368799011868</v>
      </c>
    </row>
    <row r="56" spans="1:26" s="24" customFormat="1" hidden="1" outlineLevel="2" x14ac:dyDescent="0.3">
      <c r="A56" s="27"/>
      <c r="B56" s="11" t="str">
        <f>CONCATENATE("          ", "6003", " - ", "STAFF HOURLY-9 MONTH")</f>
        <v xml:space="preserve">          6003 - STAFF HOURLY-9 MONTH</v>
      </c>
      <c r="C56" s="11"/>
      <c r="D56" s="7"/>
      <c r="E56" s="2"/>
      <c r="F56" s="6">
        <f t="shared" si="20"/>
        <v>0</v>
      </c>
      <c r="G56" s="2"/>
      <c r="H56" s="7">
        <v>0</v>
      </c>
      <c r="I56" s="2"/>
      <c r="J56" s="6">
        <f t="shared" si="21"/>
        <v>0</v>
      </c>
      <c r="K56" s="2"/>
      <c r="L56" s="7">
        <f t="shared" si="22"/>
        <v>0</v>
      </c>
      <c r="M56" s="2"/>
      <c r="N56" s="6">
        <f t="shared" si="23"/>
        <v>0</v>
      </c>
      <c r="O56" s="11"/>
      <c r="P56" s="7"/>
      <c r="Q56" s="2"/>
      <c r="R56" s="6">
        <f t="shared" si="24"/>
        <v>0</v>
      </c>
      <c r="S56" s="2"/>
      <c r="T56" s="7">
        <v>0</v>
      </c>
      <c r="U56" s="2"/>
      <c r="V56" s="6">
        <f t="shared" si="25"/>
        <v>0</v>
      </c>
      <c r="W56" s="2"/>
      <c r="X56" s="7">
        <f t="shared" si="26"/>
        <v>0</v>
      </c>
      <c r="Y56" s="2"/>
      <c r="Z56" s="6">
        <f t="shared" si="27"/>
        <v>0</v>
      </c>
    </row>
    <row r="57" spans="1:26" s="24" customFormat="1" hidden="1" outlineLevel="2" x14ac:dyDescent="0.3">
      <c r="A57" s="27"/>
      <c r="B57" s="11" t="str">
        <f>CONCATENATE("          ", "6004", " - ", "STAFF HOURLY")</f>
        <v xml:space="preserve">          6004 - STAFF HOURLY</v>
      </c>
      <c r="C57" s="11"/>
      <c r="D57" s="7">
        <v>6306.96</v>
      </c>
      <c r="E57" s="2"/>
      <c r="F57" s="6">
        <f t="shared" si="20"/>
        <v>4.2236608342007396E-2</v>
      </c>
      <c r="G57" s="2"/>
      <c r="H57" s="7">
        <v>16588.8</v>
      </c>
      <c r="I57" s="2"/>
      <c r="J57" s="6">
        <f t="shared" si="21"/>
        <v>6.8543662041666314E-2</v>
      </c>
      <c r="K57" s="2"/>
      <c r="L57" s="7">
        <f t="shared" si="22"/>
        <v>-10281.84</v>
      </c>
      <c r="M57" s="2"/>
      <c r="N57" s="6">
        <f t="shared" si="23"/>
        <v>-0.61980613425925934</v>
      </c>
      <c r="O57" s="11"/>
      <c r="P57" s="7">
        <v>55539.14</v>
      </c>
      <c r="Q57" s="2"/>
      <c r="R57" s="6">
        <f t="shared" si="24"/>
        <v>2.7586897838582265E-2</v>
      </c>
      <c r="S57" s="2"/>
      <c r="T57" s="7">
        <v>100360.8</v>
      </c>
      <c r="U57" s="2"/>
      <c r="V57" s="6">
        <f t="shared" si="25"/>
        <v>5.7171893709888566E-2</v>
      </c>
      <c r="W57" s="2"/>
      <c r="X57" s="7">
        <f t="shared" si="26"/>
        <v>-44821.66</v>
      </c>
      <c r="Y57" s="2"/>
      <c r="Z57" s="6">
        <f t="shared" si="27"/>
        <v>-0.44660524826426257</v>
      </c>
    </row>
    <row r="58" spans="1:26" s="24" customFormat="1" hidden="1" outlineLevel="2" x14ac:dyDescent="0.3">
      <c r="A58" s="27"/>
      <c r="B58" s="11" t="str">
        <f>CONCATENATE("          ", "6005", " - ", "TEMPORARY WAGES-HOURLY")</f>
        <v xml:space="preserve">          6005 - TEMPORARY WAGES-HOURLY</v>
      </c>
      <c r="C58" s="11"/>
      <c r="D58" s="7">
        <v>2905.25</v>
      </c>
      <c r="E58" s="2"/>
      <c r="F58" s="6">
        <f t="shared" si="20"/>
        <v>1.9455951264256789E-2</v>
      </c>
      <c r="G58" s="2"/>
      <c r="H58" s="7">
        <v>0</v>
      </c>
      <c r="I58" s="2"/>
      <c r="J58" s="6">
        <f t="shared" si="21"/>
        <v>0</v>
      </c>
      <c r="K58" s="2"/>
      <c r="L58" s="7">
        <f t="shared" si="22"/>
        <v>2905.25</v>
      </c>
      <c r="M58" s="2"/>
      <c r="N58" s="6">
        <f t="shared" si="23"/>
        <v>0</v>
      </c>
      <c r="O58" s="11"/>
      <c r="P58" s="7">
        <v>19548.25</v>
      </c>
      <c r="Q58" s="2"/>
      <c r="R58" s="6">
        <f t="shared" si="24"/>
        <v>9.7098294225129479E-3</v>
      </c>
      <c r="S58" s="2"/>
      <c r="T58" s="7">
        <v>0</v>
      </c>
      <c r="U58" s="2"/>
      <c r="V58" s="6">
        <f t="shared" si="25"/>
        <v>0</v>
      </c>
      <c r="W58" s="2"/>
      <c r="X58" s="7">
        <f t="shared" si="26"/>
        <v>19548.25</v>
      </c>
      <c r="Y58" s="2"/>
      <c r="Z58" s="6">
        <f t="shared" si="27"/>
        <v>0</v>
      </c>
    </row>
    <row r="59" spans="1:26" s="24" customFormat="1" hidden="1" outlineLevel="2" x14ac:dyDescent="0.3">
      <c r="A59" s="27"/>
      <c r="B59" s="11" t="str">
        <f>CONCATENATE("          ", "6006", " - ", "TEMPORARY PART TIME")</f>
        <v xml:space="preserve">          6006 - TEMPORARY PART TIME</v>
      </c>
      <c r="C59" s="11"/>
      <c r="D59" s="7"/>
      <c r="E59" s="2"/>
      <c r="F59" s="6">
        <f t="shared" si="20"/>
        <v>0</v>
      </c>
      <c r="G59" s="2"/>
      <c r="H59" s="7">
        <v>0</v>
      </c>
      <c r="I59" s="2"/>
      <c r="J59" s="6">
        <f t="shared" si="21"/>
        <v>0</v>
      </c>
      <c r="K59" s="2"/>
      <c r="L59" s="7">
        <f t="shared" si="22"/>
        <v>0</v>
      </c>
      <c r="M59" s="2"/>
      <c r="N59" s="6">
        <f t="shared" si="23"/>
        <v>0</v>
      </c>
      <c r="O59" s="11"/>
      <c r="P59" s="7"/>
      <c r="Q59" s="2"/>
      <c r="R59" s="6">
        <f t="shared" si="24"/>
        <v>0</v>
      </c>
      <c r="S59" s="2"/>
      <c r="T59" s="7">
        <v>0</v>
      </c>
      <c r="U59" s="2"/>
      <c r="V59" s="6">
        <f t="shared" si="25"/>
        <v>0</v>
      </c>
      <c r="W59" s="2"/>
      <c r="X59" s="7">
        <f t="shared" si="26"/>
        <v>0</v>
      </c>
      <c r="Y59" s="2"/>
      <c r="Z59" s="6">
        <f t="shared" si="27"/>
        <v>0</v>
      </c>
    </row>
    <row r="60" spans="1:26" s="24" customFormat="1" hidden="1" outlineLevel="2" x14ac:dyDescent="0.3">
      <c r="A60" s="27"/>
      <c r="B60" s="11" t="str">
        <f>CONCATENATE("          ", "6007", " - ", "STUDENT HOURLY")</f>
        <v xml:space="preserve">          6007 - STUDENT HOURLY</v>
      </c>
      <c r="C60" s="11"/>
      <c r="D60" s="7">
        <v>34111.120000000003</v>
      </c>
      <c r="E60" s="2"/>
      <c r="F60" s="6">
        <f t="shared" si="20"/>
        <v>0.22843620627801914</v>
      </c>
      <c r="G60" s="2"/>
      <c r="H60" s="7">
        <v>36915</v>
      </c>
      <c r="I60" s="2"/>
      <c r="J60" s="6">
        <f t="shared" si="21"/>
        <v>0.15252997710914065</v>
      </c>
      <c r="K60" s="2"/>
      <c r="L60" s="7">
        <f t="shared" si="22"/>
        <v>-2803.8799999999974</v>
      </c>
      <c r="M60" s="2"/>
      <c r="N60" s="6">
        <f t="shared" si="23"/>
        <v>-7.595503182987938E-2</v>
      </c>
      <c r="O60" s="11"/>
      <c r="P60" s="7">
        <v>159512.64000000001</v>
      </c>
      <c r="Q60" s="2"/>
      <c r="R60" s="6">
        <f t="shared" si="24"/>
        <v>7.9231671639902079E-2</v>
      </c>
      <c r="S60" s="2"/>
      <c r="T60" s="7">
        <v>154215</v>
      </c>
      <c r="U60" s="2"/>
      <c r="V60" s="6">
        <f t="shared" si="25"/>
        <v>8.7850670664945521E-2</v>
      </c>
      <c r="W60" s="2"/>
      <c r="X60" s="7">
        <f t="shared" si="26"/>
        <v>5297.640000000014</v>
      </c>
      <c r="Y60" s="2"/>
      <c r="Z60" s="6">
        <f t="shared" si="27"/>
        <v>3.4352300359887261E-2</v>
      </c>
    </row>
    <row r="61" spans="1:26" s="24" customFormat="1" hidden="1" outlineLevel="2" x14ac:dyDescent="0.3">
      <c r="A61" s="27"/>
      <c r="B61" s="11" t="str">
        <f>CONCATENATE("          ", "6008", " - ", "STUDENT HOURLY-FICA EXEMPT")</f>
        <v xml:space="preserve">          6008 - STUDENT HOURLY-FICA EXEMPT</v>
      </c>
      <c r="C61" s="11"/>
      <c r="D61" s="7">
        <v>3814.91</v>
      </c>
      <c r="E61" s="2"/>
      <c r="F61" s="6">
        <f t="shared" si="20"/>
        <v>2.554778522933512E-2</v>
      </c>
      <c r="G61" s="2"/>
      <c r="H61" s="7">
        <v>0</v>
      </c>
      <c r="I61" s="2"/>
      <c r="J61" s="6">
        <f t="shared" si="21"/>
        <v>0</v>
      </c>
      <c r="K61" s="2"/>
      <c r="L61" s="7">
        <f t="shared" si="22"/>
        <v>3814.91</v>
      </c>
      <c r="M61" s="2"/>
      <c r="N61" s="6">
        <f t="shared" si="23"/>
        <v>0</v>
      </c>
      <c r="O61" s="11"/>
      <c r="P61" s="7">
        <v>42889.02</v>
      </c>
      <c r="Q61" s="2"/>
      <c r="R61" s="6">
        <f t="shared" si="24"/>
        <v>2.1303444978386619E-2</v>
      </c>
      <c r="S61" s="2"/>
      <c r="T61" s="7">
        <v>62100</v>
      </c>
      <c r="U61" s="2"/>
      <c r="V61" s="6">
        <f t="shared" si="25"/>
        <v>3.5376108992595516E-2</v>
      </c>
      <c r="W61" s="2"/>
      <c r="X61" s="7">
        <f t="shared" si="26"/>
        <v>-19210.980000000003</v>
      </c>
      <c r="Y61" s="2"/>
      <c r="Z61" s="6">
        <f t="shared" si="27"/>
        <v>-0.30935555555555561</v>
      </c>
    </row>
    <row r="62" spans="1:26" s="24" customFormat="1" hidden="1" outlineLevel="2" x14ac:dyDescent="0.3">
      <c r="A62" s="27"/>
      <c r="B62" s="11" t="str">
        <f>CONCATENATE("          ", "6009", " - ", "TEMPORARY-SEASONAL")</f>
        <v xml:space="preserve">          6009 - TEMPORARY-SEASONAL</v>
      </c>
      <c r="C62" s="11"/>
      <c r="D62" s="7"/>
      <c r="E62" s="2"/>
      <c r="F62" s="6">
        <f t="shared" si="20"/>
        <v>0</v>
      </c>
      <c r="G62" s="2"/>
      <c r="H62" s="7">
        <v>0</v>
      </c>
      <c r="I62" s="2"/>
      <c r="J62" s="6">
        <f t="shared" si="21"/>
        <v>0</v>
      </c>
      <c r="K62" s="2"/>
      <c r="L62" s="7">
        <f t="shared" si="22"/>
        <v>0</v>
      </c>
      <c r="M62" s="2"/>
      <c r="N62" s="6">
        <f t="shared" si="23"/>
        <v>0</v>
      </c>
      <c r="O62" s="11"/>
      <c r="P62" s="7"/>
      <c r="Q62" s="2"/>
      <c r="R62" s="6">
        <f t="shared" si="24"/>
        <v>0</v>
      </c>
      <c r="S62" s="2"/>
      <c r="T62" s="7">
        <v>0</v>
      </c>
      <c r="U62" s="2"/>
      <c r="V62" s="6">
        <f t="shared" si="25"/>
        <v>0</v>
      </c>
      <c r="W62" s="2"/>
      <c r="X62" s="7">
        <f t="shared" si="26"/>
        <v>0</v>
      </c>
      <c r="Y62" s="2"/>
      <c r="Z62" s="6">
        <f t="shared" si="27"/>
        <v>0</v>
      </c>
    </row>
    <row r="63" spans="1:26" s="24" customFormat="1" hidden="1" outlineLevel="2" x14ac:dyDescent="0.3">
      <c r="A63" s="27"/>
      <c r="B63" s="11" t="str">
        <f>CONCATENATE("          ", "6010", " - ", "GRATUITY")</f>
        <v xml:space="preserve">          6010 - GRATUITY</v>
      </c>
      <c r="C63" s="11"/>
      <c r="D63" s="7"/>
      <c r="E63" s="2"/>
      <c r="F63" s="6">
        <f t="shared" si="20"/>
        <v>0</v>
      </c>
      <c r="G63" s="2"/>
      <c r="H63" s="7">
        <v>0</v>
      </c>
      <c r="I63" s="2"/>
      <c r="J63" s="6">
        <f t="shared" si="21"/>
        <v>0</v>
      </c>
      <c r="K63" s="2"/>
      <c r="L63" s="7">
        <f t="shared" si="22"/>
        <v>0</v>
      </c>
      <c r="M63" s="2"/>
      <c r="N63" s="6">
        <f t="shared" si="23"/>
        <v>0</v>
      </c>
      <c r="O63" s="11"/>
      <c r="P63" s="7"/>
      <c r="Q63" s="2"/>
      <c r="R63" s="6">
        <f t="shared" si="24"/>
        <v>0</v>
      </c>
      <c r="S63" s="2"/>
      <c r="T63" s="7">
        <v>0</v>
      </c>
      <c r="U63" s="2"/>
      <c r="V63" s="6">
        <f t="shared" si="25"/>
        <v>0</v>
      </c>
      <c r="W63" s="2"/>
      <c r="X63" s="7">
        <f t="shared" si="26"/>
        <v>0</v>
      </c>
      <c r="Y63" s="2"/>
      <c r="Z63" s="6">
        <f t="shared" si="27"/>
        <v>0</v>
      </c>
    </row>
    <row r="64" spans="1:26" s="28" customFormat="1" outlineLevel="1" collapsed="1" x14ac:dyDescent="0.3">
      <c r="A64" s="29"/>
      <c r="B64" s="14" t="str">
        <f>CONCATENATE("     ","Advertising/Promo                                 ")</f>
        <v xml:space="preserve">     Advertising/Promo                                 </v>
      </c>
      <c r="C64" s="14"/>
      <c r="D64" s="1">
        <f>SUM(OSRRefD22_2x_0)</f>
        <v>428.83</v>
      </c>
      <c r="E64" s="1"/>
      <c r="F64" s="5">
        <f t="shared" ref="F64:F78" si="28">IF(D$12=0,0,D64/D$12)</f>
        <v>2.8717995286640526E-3</v>
      </c>
      <c r="G64" s="1"/>
      <c r="H64" s="1">
        <f>SUM(OSRRefH22_2x_0)</f>
        <v>50</v>
      </c>
      <c r="I64" s="1"/>
      <c r="J64" s="5">
        <f t="shared" ref="J64:J78" si="29">IF(H$12=0,0,H64/H$12)</f>
        <v>2.0659620358816287E-4</v>
      </c>
      <c r="K64" s="1"/>
      <c r="L64" s="1">
        <f t="shared" ref="L64:L78" si="30">+D64-H64</f>
        <v>378.83</v>
      </c>
      <c r="M64" s="1"/>
      <c r="N64" s="5">
        <f t="shared" ref="N64:N78" si="31">IF(H64=0,0,L64/H64)</f>
        <v>7.5766</v>
      </c>
      <c r="O64" s="14"/>
      <c r="P64" s="1">
        <f>SUM(OSRRefP22_2x_0)</f>
        <v>2616.04</v>
      </c>
      <c r="Q64" s="1"/>
      <c r="R64" s="5">
        <f t="shared" ref="R64:R78" si="32">IF(P$12=0,0,P64/P$12)</f>
        <v>1.2994156593286238E-3</v>
      </c>
      <c r="S64" s="1"/>
      <c r="T64" s="1">
        <f>SUM(OSRRefT22_2x_0)</f>
        <v>1750</v>
      </c>
      <c r="U64" s="1"/>
      <c r="V64" s="5">
        <f t="shared" ref="V64:V78" si="33">IF(T$12=0,0,T64/T$12)</f>
        <v>9.9691128401034048E-4</v>
      </c>
      <c r="W64" s="1"/>
      <c r="X64" s="1">
        <f t="shared" ref="X64:X78" si="34">+P64-T64</f>
        <v>866.04</v>
      </c>
      <c r="Y64" s="1"/>
      <c r="Z64" s="5">
        <f t="shared" ref="Z64:Z78" si="35">IF(T64=0,0,X64/T64)</f>
        <v>0.49487999999999999</v>
      </c>
    </row>
    <row r="65" spans="1:26" s="24" customFormat="1" hidden="1" outlineLevel="2" x14ac:dyDescent="0.3">
      <c r="A65" s="27"/>
      <c r="B65" s="11" t="str">
        <f>CONCATENATE("          ", "6362", " - ", "ADVERTISING EXPENSE")</f>
        <v xml:space="preserve">          6362 - ADVERTISING EXPENSE</v>
      </c>
      <c r="C65" s="11"/>
      <c r="D65" s="7">
        <v>428.83</v>
      </c>
      <c r="E65" s="2"/>
      <c r="F65" s="6">
        <f t="shared" si="28"/>
        <v>2.8717995286640526E-3</v>
      </c>
      <c r="G65" s="2"/>
      <c r="H65" s="7">
        <v>50</v>
      </c>
      <c r="I65" s="2"/>
      <c r="J65" s="6">
        <f t="shared" si="29"/>
        <v>2.0659620358816287E-4</v>
      </c>
      <c r="K65" s="2"/>
      <c r="L65" s="7">
        <f t="shared" si="30"/>
        <v>378.83</v>
      </c>
      <c r="M65" s="2"/>
      <c r="N65" s="6">
        <f t="shared" si="31"/>
        <v>7.5766</v>
      </c>
      <c r="O65" s="11"/>
      <c r="P65" s="7">
        <v>2616.04</v>
      </c>
      <c r="Q65" s="2"/>
      <c r="R65" s="6">
        <f t="shared" si="32"/>
        <v>1.2994156593286238E-3</v>
      </c>
      <c r="S65" s="2"/>
      <c r="T65" s="7">
        <v>1750</v>
      </c>
      <c r="U65" s="2"/>
      <c r="V65" s="6">
        <f t="shared" si="33"/>
        <v>9.9691128401034048E-4</v>
      </c>
      <c r="W65" s="2"/>
      <c r="X65" s="7">
        <f t="shared" si="34"/>
        <v>866.04</v>
      </c>
      <c r="Y65" s="2"/>
      <c r="Z65" s="6">
        <f t="shared" si="35"/>
        <v>0.49487999999999999</v>
      </c>
    </row>
    <row r="66" spans="1:26" s="28" customFormat="1" outlineLevel="1" collapsed="1" x14ac:dyDescent="0.3">
      <c r="A66" s="29"/>
      <c r="B66" s="14" t="str">
        <f>CONCATENATE("     ","Bad Debts/Over/Short                              ")</f>
        <v xml:space="preserve">     Bad Debts/Over/Short                              </v>
      </c>
      <c r="C66" s="14"/>
      <c r="D66" s="1">
        <f>SUM(OSRRefD22_3x_0)</f>
        <v>0</v>
      </c>
      <c r="E66" s="1"/>
      <c r="F66" s="5">
        <f t="shared" si="28"/>
        <v>0</v>
      </c>
      <c r="G66" s="1"/>
      <c r="H66" s="1">
        <f>SUM(OSRRefH22_3x_0)</f>
        <v>0</v>
      </c>
      <c r="I66" s="1"/>
      <c r="J66" s="5">
        <f t="shared" si="29"/>
        <v>0</v>
      </c>
      <c r="K66" s="1"/>
      <c r="L66" s="1">
        <f t="shared" si="30"/>
        <v>0</v>
      </c>
      <c r="M66" s="1"/>
      <c r="N66" s="5">
        <f t="shared" si="31"/>
        <v>0</v>
      </c>
      <c r="O66" s="14"/>
      <c r="P66" s="1">
        <f>SUM(OSRRefP22_3x_0)</f>
        <v>0</v>
      </c>
      <c r="Q66" s="1"/>
      <c r="R66" s="5">
        <f t="shared" si="32"/>
        <v>0</v>
      </c>
      <c r="S66" s="1"/>
      <c r="T66" s="1">
        <f>SUM(OSRRefT22_3x_0)</f>
        <v>0</v>
      </c>
      <c r="U66" s="1"/>
      <c r="V66" s="5">
        <f t="shared" si="33"/>
        <v>0</v>
      </c>
      <c r="W66" s="1"/>
      <c r="X66" s="1">
        <f t="shared" si="34"/>
        <v>0</v>
      </c>
      <c r="Y66" s="1"/>
      <c r="Z66" s="5">
        <f t="shared" si="35"/>
        <v>0</v>
      </c>
    </row>
    <row r="67" spans="1:26" s="24" customFormat="1" hidden="1" outlineLevel="2" x14ac:dyDescent="0.3">
      <c r="A67" s="27"/>
      <c r="B67" s="11" t="str">
        <f>CONCATENATE("          ", "6272", " - ", "CASH (OVER/SHORT)")</f>
        <v xml:space="preserve">          6272 - CASH (OVER/SHORT)</v>
      </c>
      <c r="C67" s="11"/>
      <c r="D67" s="7"/>
      <c r="E67" s="2"/>
      <c r="F67" s="6">
        <f t="shared" si="28"/>
        <v>0</v>
      </c>
      <c r="G67" s="2"/>
      <c r="H67" s="7">
        <v>0</v>
      </c>
      <c r="I67" s="2"/>
      <c r="J67" s="6">
        <f t="shared" si="29"/>
        <v>0</v>
      </c>
      <c r="K67" s="2"/>
      <c r="L67" s="7">
        <f t="shared" si="30"/>
        <v>0</v>
      </c>
      <c r="M67" s="2"/>
      <c r="N67" s="6">
        <f t="shared" si="31"/>
        <v>0</v>
      </c>
      <c r="O67" s="11"/>
      <c r="P67" s="7"/>
      <c r="Q67" s="2"/>
      <c r="R67" s="6">
        <f t="shared" si="32"/>
        <v>0</v>
      </c>
      <c r="S67" s="2"/>
      <c r="T67" s="7">
        <v>0</v>
      </c>
      <c r="U67" s="2"/>
      <c r="V67" s="6">
        <f t="shared" si="33"/>
        <v>0</v>
      </c>
      <c r="W67" s="2"/>
      <c r="X67" s="7">
        <f t="shared" si="34"/>
        <v>0</v>
      </c>
      <c r="Y67" s="2"/>
      <c r="Z67" s="6">
        <f t="shared" si="35"/>
        <v>0</v>
      </c>
    </row>
    <row r="68" spans="1:26" s="28" customFormat="1" outlineLevel="1" collapsed="1" x14ac:dyDescent="0.3">
      <c r="A68" s="29"/>
      <c r="B68" s="14" t="str">
        <f>CONCATENATE("     ","Bank/card Fees                                    ")</f>
        <v xml:space="preserve">     Bank/card Fees                                    </v>
      </c>
      <c r="C68" s="14"/>
      <c r="D68" s="1">
        <f>SUM(OSRRefD22_4x_0)</f>
        <v>0</v>
      </c>
      <c r="E68" s="1"/>
      <c r="F68" s="5">
        <f t="shared" si="28"/>
        <v>0</v>
      </c>
      <c r="G68" s="1"/>
      <c r="H68" s="1">
        <f>SUM(OSRRefH22_4x_0)</f>
        <v>0</v>
      </c>
      <c r="I68" s="1"/>
      <c r="J68" s="5">
        <f t="shared" si="29"/>
        <v>0</v>
      </c>
      <c r="K68" s="1"/>
      <c r="L68" s="1">
        <f t="shared" si="30"/>
        <v>0</v>
      </c>
      <c r="M68" s="1"/>
      <c r="N68" s="5">
        <f t="shared" si="31"/>
        <v>0</v>
      </c>
      <c r="O68" s="14"/>
      <c r="P68" s="1">
        <f>SUM(OSRRefP22_4x_0)</f>
        <v>0</v>
      </c>
      <c r="Q68" s="1"/>
      <c r="R68" s="5">
        <f t="shared" si="32"/>
        <v>0</v>
      </c>
      <c r="S68" s="1"/>
      <c r="T68" s="1">
        <f>SUM(OSRRefT22_4x_0)</f>
        <v>0</v>
      </c>
      <c r="U68" s="1"/>
      <c r="V68" s="5">
        <f t="shared" si="33"/>
        <v>0</v>
      </c>
      <c r="W68" s="1"/>
      <c r="X68" s="1">
        <f t="shared" si="34"/>
        <v>0</v>
      </c>
      <c r="Y68" s="1"/>
      <c r="Z68" s="5">
        <f t="shared" si="35"/>
        <v>0</v>
      </c>
    </row>
    <row r="69" spans="1:26" s="24" customFormat="1" hidden="1" outlineLevel="2" x14ac:dyDescent="0.3">
      <c r="A69" s="27"/>
      <c r="B69" s="11" t="str">
        <f>CONCATENATE("          ", "6381", " - ", "BANK/CREDIT CARD FEES")</f>
        <v xml:space="preserve">          6381 - BANK/CREDIT CARD FEES</v>
      </c>
      <c r="C69" s="11"/>
      <c r="D69" s="7"/>
      <c r="E69" s="2"/>
      <c r="F69" s="6">
        <f t="shared" si="28"/>
        <v>0</v>
      </c>
      <c r="G69" s="2"/>
      <c r="H69" s="7">
        <v>0</v>
      </c>
      <c r="I69" s="2"/>
      <c r="J69" s="6">
        <f t="shared" si="29"/>
        <v>0</v>
      </c>
      <c r="K69" s="2"/>
      <c r="L69" s="7">
        <f t="shared" si="30"/>
        <v>0</v>
      </c>
      <c r="M69" s="2"/>
      <c r="N69" s="6">
        <f t="shared" si="31"/>
        <v>0</v>
      </c>
      <c r="O69" s="11"/>
      <c r="P69" s="7"/>
      <c r="Q69" s="2"/>
      <c r="R69" s="6">
        <f t="shared" si="32"/>
        <v>0</v>
      </c>
      <c r="S69" s="2"/>
      <c r="T69" s="7">
        <v>0</v>
      </c>
      <c r="U69" s="2"/>
      <c r="V69" s="6">
        <f t="shared" si="33"/>
        <v>0</v>
      </c>
      <c r="W69" s="2"/>
      <c r="X69" s="7">
        <f t="shared" si="34"/>
        <v>0</v>
      </c>
      <c r="Y69" s="2"/>
      <c r="Z69" s="6">
        <f t="shared" si="35"/>
        <v>0</v>
      </c>
    </row>
    <row r="70" spans="1:26" s="28" customFormat="1" outlineLevel="1" collapsed="1" x14ac:dyDescent="0.3">
      <c r="A70" s="29"/>
      <c r="B70" s="14" t="str">
        <f>CONCATENATE("     ","Discounts and Markdowns                           ")</f>
        <v xml:space="preserve">     Discounts and Markdowns                           </v>
      </c>
      <c r="C70" s="14"/>
      <c r="D70" s="1">
        <f>SUM(OSRRefD22_5x_0)</f>
        <v>0</v>
      </c>
      <c r="E70" s="1"/>
      <c r="F70" s="5">
        <f t="shared" si="28"/>
        <v>0</v>
      </c>
      <c r="G70" s="1"/>
      <c r="H70" s="1">
        <f>SUM(OSRRefH22_5x_0)</f>
        <v>0</v>
      </c>
      <c r="I70" s="1"/>
      <c r="J70" s="5">
        <f t="shared" si="29"/>
        <v>0</v>
      </c>
      <c r="K70" s="1"/>
      <c r="L70" s="1">
        <f t="shared" si="30"/>
        <v>0</v>
      </c>
      <c r="M70" s="1"/>
      <c r="N70" s="5">
        <f t="shared" si="31"/>
        <v>0</v>
      </c>
      <c r="O70" s="14"/>
      <c r="P70" s="1">
        <f>SUM(OSRRefP22_5x_0)</f>
        <v>0</v>
      </c>
      <c r="Q70" s="1"/>
      <c r="R70" s="5">
        <f t="shared" si="32"/>
        <v>0</v>
      </c>
      <c r="S70" s="1"/>
      <c r="T70" s="1">
        <f>SUM(OSRRefT22_5x_0)</f>
        <v>0</v>
      </c>
      <c r="U70" s="1"/>
      <c r="V70" s="5">
        <f t="shared" si="33"/>
        <v>0</v>
      </c>
      <c r="W70" s="1"/>
      <c r="X70" s="1">
        <f t="shared" si="34"/>
        <v>0</v>
      </c>
      <c r="Y70" s="1"/>
      <c r="Z70" s="5">
        <f t="shared" si="35"/>
        <v>0</v>
      </c>
    </row>
    <row r="71" spans="1:26" s="24" customFormat="1" hidden="1" outlineLevel="2" x14ac:dyDescent="0.3">
      <c r="A71" s="27"/>
      <c r="B71" s="11" t="str">
        <f>CONCATENATE("          ", "9175", " - ", "EARNED DISCOUNTS")</f>
        <v xml:space="preserve">          9175 - EARNED DISCOUNTS</v>
      </c>
      <c r="C71" s="11"/>
      <c r="D71" s="7"/>
      <c r="E71" s="2"/>
      <c r="F71" s="6">
        <f t="shared" si="28"/>
        <v>0</v>
      </c>
      <c r="G71" s="2"/>
      <c r="H71" s="7"/>
      <c r="I71" s="2"/>
      <c r="J71" s="6">
        <f t="shared" si="29"/>
        <v>0</v>
      </c>
      <c r="K71" s="2"/>
      <c r="L71" s="7">
        <f t="shared" si="30"/>
        <v>0</v>
      </c>
      <c r="M71" s="2"/>
      <c r="N71" s="6">
        <f t="shared" si="31"/>
        <v>0</v>
      </c>
      <c r="O71" s="11"/>
      <c r="P71" s="7">
        <v>0</v>
      </c>
      <c r="Q71" s="2"/>
      <c r="R71" s="6">
        <f t="shared" si="32"/>
        <v>0</v>
      </c>
      <c r="S71" s="2"/>
      <c r="T71" s="7"/>
      <c r="U71" s="2"/>
      <c r="V71" s="6">
        <f t="shared" si="33"/>
        <v>0</v>
      </c>
      <c r="W71" s="2"/>
      <c r="X71" s="7">
        <f t="shared" si="34"/>
        <v>0</v>
      </c>
      <c r="Y71" s="2"/>
      <c r="Z71" s="6">
        <f t="shared" si="35"/>
        <v>0</v>
      </c>
    </row>
    <row r="72" spans="1:26" s="28" customFormat="1" outlineLevel="1" collapsed="1" x14ac:dyDescent="0.3">
      <c r="A72" s="29"/>
      <c r="B72" s="14" t="str">
        <f>CONCATENATE("     ","Employees' Appreciation                           ")</f>
        <v xml:space="preserve">     Employees' Appreciation                           </v>
      </c>
      <c r="C72" s="14"/>
      <c r="D72" s="1">
        <f>SUM(OSRRefD22_6x_0)</f>
        <v>0</v>
      </c>
      <c r="E72" s="1"/>
      <c r="F72" s="5">
        <f t="shared" si="28"/>
        <v>0</v>
      </c>
      <c r="G72" s="1"/>
      <c r="H72" s="1">
        <f>SUM(OSRRefH22_6x_0)</f>
        <v>50</v>
      </c>
      <c r="I72" s="1"/>
      <c r="J72" s="5">
        <f t="shared" si="29"/>
        <v>2.0659620358816287E-4</v>
      </c>
      <c r="K72" s="1"/>
      <c r="L72" s="1">
        <f t="shared" si="30"/>
        <v>-50</v>
      </c>
      <c r="M72" s="1"/>
      <c r="N72" s="5">
        <f t="shared" si="31"/>
        <v>-1</v>
      </c>
      <c r="O72" s="14"/>
      <c r="P72" s="1">
        <f>SUM(OSRRefP22_6x_0)</f>
        <v>216.44</v>
      </c>
      <c r="Q72" s="1"/>
      <c r="R72" s="5">
        <f t="shared" si="32"/>
        <v>1.0750811352467369E-4</v>
      </c>
      <c r="S72" s="1"/>
      <c r="T72" s="1">
        <f>SUM(OSRRefT22_6x_0)</f>
        <v>350</v>
      </c>
      <c r="U72" s="1"/>
      <c r="V72" s="5">
        <f t="shared" si="33"/>
        <v>1.9938225680206812E-4</v>
      </c>
      <c r="W72" s="1"/>
      <c r="X72" s="1">
        <f t="shared" si="34"/>
        <v>-133.56</v>
      </c>
      <c r="Y72" s="1"/>
      <c r="Z72" s="5">
        <f t="shared" si="35"/>
        <v>-0.38159999999999999</v>
      </c>
    </row>
    <row r="73" spans="1:26" s="24" customFormat="1" hidden="1" outlineLevel="2" x14ac:dyDescent="0.3">
      <c r="A73" s="27"/>
      <c r="B73" s="11" t="str">
        <f>CONCATENATE("          ", "6277", " - ", "EMPLOYEE APPRECIATION")</f>
        <v xml:space="preserve">          6277 - EMPLOYEE APPRECIATION</v>
      </c>
      <c r="C73" s="11"/>
      <c r="D73" s="7"/>
      <c r="E73" s="2"/>
      <c r="F73" s="6">
        <f t="shared" si="28"/>
        <v>0</v>
      </c>
      <c r="G73" s="2"/>
      <c r="H73" s="7">
        <v>50</v>
      </c>
      <c r="I73" s="2"/>
      <c r="J73" s="6">
        <f t="shared" si="29"/>
        <v>2.0659620358816287E-4</v>
      </c>
      <c r="K73" s="2"/>
      <c r="L73" s="7">
        <f t="shared" si="30"/>
        <v>-50</v>
      </c>
      <c r="M73" s="2"/>
      <c r="N73" s="6">
        <f t="shared" si="31"/>
        <v>-1</v>
      </c>
      <c r="O73" s="11"/>
      <c r="P73" s="7">
        <v>216.44</v>
      </c>
      <c r="Q73" s="2"/>
      <c r="R73" s="6">
        <f t="shared" si="32"/>
        <v>1.0750811352467369E-4</v>
      </c>
      <c r="S73" s="2"/>
      <c r="T73" s="7">
        <v>350</v>
      </c>
      <c r="U73" s="2"/>
      <c r="V73" s="6">
        <f t="shared" si="33"/>
        <v>1.9938225680206812E-4</v>
      </c>
      <c r="W73" s="2"/>
      <c r="X73" s="7">
        <f t="shared" si="34"/>
        <v>-133.56</v>
      </c>
      <c r="Y73" s="2"/>
      <c r="Z73" s="6">
        <f t="shared" si="35"/>
        <v>-0.38159999999999999</v>
      </c>
    </row>
    <row r="74" spans="1:26" s="28" customFormat="1" outlineLevel="1" collapsed="1" x14ac:dyDescent="0.3">
      <c r="A74" s="29"/>
      <c r="B74" s="14" t="str">
        <f>CONCATENATE("     ","Equipment Rental                                  ")</f>
        <v xml:space="preserve">     Equipment Rental                                  </v>
      </c>
      <c r="C74" s="14"/>
      <c r="D74" s="1">
        <f>SUM(OSRRefD22_7x_0)</f>
        <v>0</v>
      </c>
      <c r="E74" s="1"/>
      <c r="F74" s="5">
        <f t="shared" si="28"/>
        <v>0</v>
      </c>
      <c r="G74" s="1"/>
      <c r="H74" s="1">
        <f>SUM(OSRRefH22_7x_0)</f>
        <v>0</v>
      </c>
      <c r="I74" s="1"/>
      <c r="J74" s="5">
        <f t="shared" si="29"/>
        <v>0</v>
      </c>
      <c r="K74" s="1"/>
      <c r="L74" s="1">
        <f t="shared" si="30"/>
        <v>0</v>
      </c>
      <c r="M74" s="1"/>
      <c r="N74" s="5">
        <f t="shared" si="31"/>
        <v>0</v>
      </c>
      <c r="O74" s="14"/>
      <c r="P74" s="1">
        <f>SUM(OSRRefP22_7x_0)</f>
        <v>118.91</v>
      </c>
      <c r="Q74" s="1"/>
      <c r="R74" s="5">
        <f t="shared" si="32"/>
        <v>5.9063896595910865E-5</v>
      </c>
      <c r="S74" s="1"/>
      <c r="T74" s="1">
        <f>SUM(OSRRefT22_7x_0)</f>
        <v>0</v>
      </c>
      <c r="U74" s="1"/>
      <c r="V74" s="5">
        <f t="shared" si="33"/>
        <v>0</v>
      </c>
      <c r="W74" s="1"/>
      <c r="X74" s="1">
        <f t="shared" si="34"/>
        <v>118.91</v>
      </c>
      <c r="Y74" s="1"/>
      <c r="Z74" s="5">
        <f t="shared" si="35"/>
        <v>0</v>
      </c>
    </row>
    <row r="75" spans="1:26" s="24" customFormat="1" hidden="1" outlineLevel="2" x14ac:dyDescent="0.3">
      <c r="A75" s="27"/>
      <c r="B75" s="11" t="str">
        <f>CONCATENATE("          ", "6351", " - ", "EQUIPMENT RENTAL")</f>
        <v xml:space="preserve">          6351 - EQUIPMENT RENTAL</v>
      </c>
      <c r="C75" s="11"/>
      <c r="D75" s="7"/>
      <c r="E75" s="2"/>
      <c r="F75" s="6">
        <f t="shared" si="28"/>
        <v>0</v>
      </c>
      <c r="G75" s="2"/>
      <c r="H75" s="7"/>
      <c r="I75" s="2"/>
      <c r="J75" s="6">
        <f t="shared" si="29"/>
        <v>0</v>
      </c>
      <c r="K75" s="2"/>
      <c r="L75" s="7">
        <f t="shared" si="30"/>
        <v>0</v>
      </c>
      <c r="M75" s="2"/>
      <c r="N75" s="6">
        <f t="shared" si="31"/>
        <v>0</v>
      </c>
      <c r="O75" s="11"/>
      <c r="P75" s="7">
        <v>118.91</v>
      </c>
      <c r="Q75" s="2"/>
      <c r="R75" s="6">
        <f t="shared" si="32"/>
        <v>5.9063896595910865E-5</v>
      </c>
      <c r="S75" s="2"/>
      <c r="T75" s="7"/>
      <c r="U75" s="2"/>
      <c r="V75" s="6">
        <f t="shared" si="33"/>
        <v>0</v>
      </c>
      <c r="W75" s="2"/>
      <c r="X75" s="7">
        <f t="shared" si="34"/>
        <v>118.91</v>
      </c>
      <c r="Y75" s="2"/>
      <c r="Z75" s="6">
        <f t="shared" si="35"/>
        <v>0</v>
      </c>
    </row>
    <row r="76" spans="1:26" s="28" customFormat="1" outlineLevel="1" collapsed="1" x14ac:dyDescent="0.3">
      <c r="A76" s="29"/>
      <c r="B76" s="14" t="str">
        <f>CONCATENATE("     ","Freight out/Postage                               ")</f>
        <v xml:space="preserve">     Freight out/Postage                               </v>
      </c>
      <c r="C76" s="14"/>
      <c r="D76" s="1">
        <f>SUM(OSRRefD22_8x_0)</f>
        <v>0</v>
      </c>
      <c r="E76" s="1"/>
      <c r="F76" s="5">
        <f t="shared" si="28"/>
        <v>0</v>
      </c>
      <c r="G76" s="1"/>
      <c r="H76" s="1">
        <f>SUM(OSRRefH22_8x_0)</f>
        <v>50</v>
      </c>
      <c r="I76" s="1"/>
      <c r="J76" s="5">
        <f t="shared" si="29"/>
        <v>2.0659620358816287E-4</v>
      </c>
      <c r="K76" s="1"/>
      <c r="L76" s="1">
        <f t="shared" si="30"/>
        <v>-50</v>
      </c>
      <c r="M76" s="1"/>
      <c r="N76" s="5">
        <f t="shared" si="31"/>
        <v>-1</v>
      </c>
      <c r="O76" s="14"/>
      <c r="P76" s="1">
        <f>SUM(OSRRefP22_8x_0)</f>
        <v>929.29</v>
      </c>
      <c r="Q76" s="1"/>
      <c r="R76" s="5">
        <f t="shared" si="32"/>
        <v>4.6158849943330258E-4</v>
      </c>
      <c r="S76" s="1"/>
      <c r="T76" s="1">
        <f>SUM(OSRRefT22_8x_0)</f>
        <v>350</v>
      </c>
      <c r="U76" s="1"/>
      <c r="V76" s="5">
        <f t="shared" si="33"/>
        <v>1.9938225680206812E-4</v>
      </c>
      <c r="W76" s="1"/>
      <c r="X76" s="1">
        <f t="shared" si="34"/>
        <v>579.29</v>
      </c>
      <c r="Y76" s="1"/>
      <c r="Z76" s="5">
        <f t="shared" si="35"/>
        <v>1.6551142857142855</v>
      </c>
    </row>
    <row r="77" spans="1:26" s="24" customFormat="1" hidden="1" outlineLevel="2" x14ac:dyDescent="0.3">
      <c r="A77" s="27"/>
      <c r="B77" s="11" t="str">
        <f>CONCATENATE("          ", "6305", " - ", "FREIGHT OUT")</f>
        <v xml:space="preserve">          6305 - FREIGHT OUT</v>
      </c>
      <c r="C77" s="11"/>
      <c r="D77" s="7"/>
      <c r="E77" s="2"/>
      <c r="F77" s="6">
        <f t="shared" si="28"/>
        <v>0</v>
      </c>
      <c r="G77" s="2"/>
      <c r="H77" s="7">
        <v>50</v>
      </c>
      <c r="I77" s="2"/>
      <c r="J77" s="6">
        <f t="shared" si="29"/>
        <v>2.0659620358816287E-4</v>
      </c>
      <c r="K77" s="2"/>
      <c r="L77" s="7">
        <f t="shared" si="30"/>
        <v>-50</v>
      </c>
      <c r="M77" s="2"/>
      <c r="N77" s="6">
        <f t="shared" si="31"/>
        <v>-1</v>
      </c>
      <c r="O77" s="11"/>
      <c r="P77" s="7">
        <v>893.87</v>
      </c>
      <c r="Q77" s="2"/>
      <c r="R77" s="6">
        <f t="shared" si="32"/>
        <v>4.4399499831962702E-4</v>
      </c>
      <c r="S77" s="2"/>
      <c r="T77" s="7">
        <v>350</v>
      </c>
      <c r="U77" s="2"/>
      <c r="V77" s="6">
        <f t="shared" si="33"/>
        <v>1.9938225680206812E-4</v>
      </c>
      <c r="W77" s="2"/>
      <c r="X77" s="7">
        <f t="shared" si="34"/>
        <v>543.87</v>
      </c>
      <c r="Y77" s="2"/>
      <c r="Z77" s="6">
        <f t="shared" si="35"/>
        <v>1.5539142857142858</v>
      </c>
    </row>
    <row r="78" spans="1:26" s="24" customFormat="1" hidden="1" outlineLevel="2" x14ac:dyDescent="0.3">
      <c r="A78" s="27"/>
      <c r="B78" s="11" t="str">
        <f>CONCATENATE("          ", "6307", " - ", "POSTAGE")</f>
        <v xml:space="preserve">          6307 - POSTAGE</v>
      </c>
      <c r="C78" s="11"/>
      <c r="D78" s="7"/>
      <c r="E78" s="2"/>
      <c r="F78" s="6">
        <f t="shared" si="28"/>
        <v>0</v>
      </c>
      <c r="G78" s="2"/>
      <c r="H78" s="7"/>
      <c r="I78" s="2"/>
      <c r="J78" s="6">
        <f t="shared" si="29"/>
        <v>0</v>
      </c>
      <c r="K78" s="2"/>
      <c r="L78" s="7">
        <f t="shared" si="30"/>
        <v>0</v>
      </c>
      <c r="M78" s="2"/>
      <c r="N78" s="6">
        <f t="shared" si="31"/>
        <v>0</v>
      </c>
      <c r="O78" s="11"/>
      <c r="P78" s="7">
        <v>35.42</v>
      </c>
      <c r="Q78" s="2"/>
      <c r="R78" s="6">
        <f t="shared" si="32"/>
        <v>1.7593501113675579E-5</v>
      </c>
      <c r="S78" s="2"/>
      <c r="T78" s="7"/>
      <c r="U78" s="2"/>
      <c r="V78" s="6">
        <f t="shared" si="33"/>
        <v>0</v>
      </c>
      <c r="W78" s="2"/>
      <c r="X78" s="7">
        <f t="shared" si="34"/>
        <v>35.42</v>
      </c>
      <c r="Y78" s="2"/>
      <c r="Z78" s="6">
        <f t="shared" si="35"/>
        <v>0</v>
      </c>
    </row>
    <row r="79" spans="1:26" s="28" customFormat="1" outlineLevel="1" collapsed="1" x14ac:dyDescent="0.3">
      <c r="A79" s="29"/>
      <c r="B79" s="14" t="str">
        <f>CONCATENATE("     ","General                                           ")</f>
        <v xml:space="preserve">     General                                           </v>
      </c>
      <c r="C79" s="14"/>
      <c r="D79" s="1">
        <f>SUM(OSRRefD22_9x_0)</f>
        <v>0</v>
      </c>
      <c r="E79" s="1"/>
      <c r="F79" s="5">
        <f t="shared" ref="F79:F87" si="36">IF(D$12=0,0,D79/D$12)</f>
        <v>0</v>
      </c>
      <c r="G79" s="1"/>
      <c r="H79" s="1">
        <f>SUM(OSRRefH22_9x_0)</f>
        <v>0</v>
      </c>
      <c r="I79" s="1"/>
      <c r="J79" s="5">
        <f t="shared" ref="J79:J87" si="37">IF(H$12=0,0,H79/H$12)</f>
        <v>0</v>
      </c>
      <c r="K79" s="1"/>
      <c r="L79" s="1">
        <f t="shared" ref="L79:L87" si="38">+D79-H79</f>
        <v>0</v>
      </c>
      <c r="M79" s="1"/>
      <c r="N79" s="5">
        <f t="shared" ref="N79:N87" si="39">IF(H79=0,0,L79/H79)</f>
        <v>0</v>
      </c>
      <c r="O79" s="14"/>
      <c r="P79" s="1">
        <f>SUM(OSRRefP22_9x_0)</f>
        <v>0</v>
      </c>
      <c r="Q79" s="1"/>
      <c r="R79" s="5">
        <f t="shared" ref="R79:R87" si="40">IF(P$12=0,0,P79/P$12)</f>
        <v>0</v>
      </c>
      <c r="S79" s="1"/>
      <c r="T79" s="1">
        <f>SUM(OSRRefT22_9x_0)</f>
        <v>0</v>
      </c>
      <c r="U79" s="1"/>
      <c r="V79" s="5">
        <f t="shared" ref="V79:V87" si="41">IF(T$12=0,0,T79/T$12)</f>
        <v>0</v>
      </c>
      <c r="W79" s="1"/>
      <c r="X79" s="1">
        <f t="shared" ref="X79:X87" si="42">+P79-T79</f>
        <v>0</v>
      </c>
      <c r="Y79" s="1"/>
      <c r="Z79" s="5">
        <f t="shared" ref="Z79:Z87" si="43">IF(T79=0,0,X79/T79)</f>
        <v>0</v>
      </c>
    </row>
    <row r="80" spans="1:26" s="24" customFormat="1" hidden="1" outlineLevel="2" x14ac:dyDescent="0.3">
      <c r="A80" s="27"/>
      <c r="B80" s="11" t="str">
        <f>CONCATENATE("          ", "6279", " - ", "GENERAL EXPENSE")</f>
        <v xml:space="preserve">          6279 - GENERAL EXPENSE</v>
      </c>
      <c r="C80" s="11"/>
      <c r="D80" s="7"/>
      <c r="E80" s="2"/>
      <c r="F80" s="6">
        <f t="shared" si="36"/>
        <v>0</v>
      </c>
      <c r="G80" s="2"/>
      <c r="H80" s="7">
        <v>0</v>
      </c>
      <c r="I80" s="2"/>
      <c r="J80" s="6">
        <f t="shared" si="37"/>
        <v>0</v>
      </c>
      <c r="K80" s="2"/>
      <c r="L80" s="7">
        <f t="shared" si="38"/>
        <v>0</v>
      </c>
      <c r="M80" s="2"/>
      <c r="N80" s="6">
        <f t="shared" si="39"/>
        <v>0</v>
      </c>
      <c r="O80" s="11"/>
      <c r="P80" s="7"/>
      <c r="Q80" s="2"/>
      <c r="R80" s="6">
        <f t="shared" si="40"/>
        <v>0</v>
      </c>
      <c r="S80" s="2"/>
      <c r="T80" s="7">
        <v>0</v>
      </c>
      <c r="U80" s="2"/>
      <c r="V80" s="6">
        <f t="shared" si="41"/>
        <v>0</v>
      </c>
      <c r="W80" s="2"/>
      <c r="X80" s="7">
        <f t="shared" si="42"/>
        <v>0</v>
      </c>
      <c r="Y80" s="2"/>
      <c r="Z80" s="6">
        <f t="shared" si="43"/>
        <v>0</v>
      </c>
    </row>
    <row r="81" spans="1:26" s="28" customFormat="1" outlineLevel="1" collapsed="1" x14ac:dyDescent="0.3">
      <c r="A81" s="29"/>
      <c r="B81" s="14" t="str">
        <f>CONCATENATE("     ","Inventory Adjustment                              ")</f>
        <v xml:space="preserve">     Inventory Adjustment                              </v>
      </c>
      <c r="C81" s="14"/>
      <c r="D81" s="1">
        <f>SUM(OSRRefD22_10x_0)</f>
        <v>3350</v>
      </c>
      <c r="E81" s="1"/>
      <c r="F81" s="5">
        <f t="shared" si="36"/>
        <v>2.2434364249293605E-2</v>
      </c>
      <c r="G81" s="1"/>
      <c r="H81" s="1">
        <f>SUM(OSRRefH22_10x_0)</f>
        <v>3350</v>
      </c>
      <c r="I81" s="1"/>
      <c r="J81" s="5">
        <f t="shared" si="37"/>
        <v>1.3841945640406911E-2</v>
      </c>
      <c r="K81" s="1"/>
      <c r="L81" s="1">
        <f t="shared" si="38"/>
        <v>0</v>
      </c>
      <c r="M81" s="1"/>
      <c r="N81" s="5">
        <f t="shared" si="39"/>
        <v>0</v>
      </c>
      <c r="O81" s="14"/>
      <c r="P81" s="1">
        <f>SUM(OSRRefP22_10x_0)</f>
        <v>23450</v>
      </c>
      <c r="Q81" s="1"/>
      <c r="R81" s="5">
        <f t="shared" si="40"/>
        <v>1.1647871290674542E-2</v>
      </c>
      <c r="S81" s="1"/>
      <c r="T81" s="1">
        <f>SUM(OSRRefT22_10x_0)</f>
        <v>23450</v>
      </c>
      <c r="U81" s="1"/>
      <c r="V81" s="5">
        <f t="shared" si="41"/>
        <v>1.3358611205738563E-2</v>
      </c>
      <c r="W81" s="1"/>
      <c r="X81" s="1">
        <f t="shared" si="42"/>
        <v>0</v>
      </c>
      <c r="Y81" s="1"/>
      <c r="Z81" s="5">
        <f t="shared" si="43"/>
        <v>0</v>
      </c>
    </row>
    <row r="82" spans="1:26" s="24" customFormat="1" hidden="1" outlineLevel="2" x14ac:dyDescent="0.3">
      <c r="A82" s="27"/>
      <c r="B82" s="11" t="str">
        <f>CONCATENATE("          ", "6408", " - ", "INVENTORY ADJUSTMENT")</f>
        <v xml:space="preserve">          6408 - INVENTORY ADJUSTMENT</v>
      </c>
      <c r="C82" s="11"/>
      <c r="D82" s="7">
        <v>3350</v>
      </c>
      <c r="E82" s="2"/>
      <c r="F82" s="6">
        <f t="shared" si="36"/>
        <v>2.2434364249293605E-2</v>
      </c>
      <c r="G82" s="2"/>
      <c r="H82" s="7">
        <v>3350</v>
      </c>
      <c r="I82" s="2"/>
      <c r="J82" s="6">
        <f t="shared" si="37"/>
        <v>1.3841945640406911E-2</v>
      </c>
      <c r="K82" s="2"/>
      <c r="L82" s="7">
        <f t="shared" si="38"/>
        <v>0</v>
      </c>
      <c r="M82" s="2"/>
      <c r="N82" s="6">
        <f t="shared" si="39"/>
        <v>0</v>
      </c>
      <c r="O82" s="11"/>
      <c r="P82" s="7">
        <v>23450</v>
      </c>
      <c r="Q82" s="2"/>
      <c r="R82" s="6">
        <f t="shared" si="40"/>
        <v>1.1647871290674542E-2</v>
      </c>
      <c r="S82" s="2"/>
      <c r="T82" s="7">
        <v>23450</v>
      </c>
      <c r="U82" s="2"/>
      <c r="V82" s="6">
        <f t="shared" si="41"/>
        <v>1.3358611205738563E-2</v>
      </c>
      <c r="W82" s="2"/>
      <c r="X82" s="7">
        <f t="shared" si="42"/>
        <v>0</v>
      </c>
      <c r="Y82" s="2"/>
      <c r="Z82" s="6">
        <f t="shared" si="43"/>
        <v>0</v>
      </c>
    </row>
    <row r="83" spans="1:26" s="28" customFormat="1" outlineLevel="1" collapsed="1" x14ac:dyDescent="0.3">
      <c r="A83" s="29"/>
      <c r="B83" s="14" t="str">
        <f>CONCATENATE("     ","Professional Services                             ")</f>
        <v xml:space="preserve">     Professional Services                             </v>
      </c>
      <c r="C83" s="14"/>
      <c r="D83" s="1">
        <f>SUM(OSRRefD22_11x_0)</f>
        <v>0</v>
      </c>
      <c r="E83" s="1"/>
      <c r="F83" s="5">
        <f t="shared" si="36"/>
        <v>0</v>
      </c>
      <c r="G83" s="1"/>
      <c r="H83" s="1">
        <f>SUM(OSRRefH22_11x_0)</f>
        <v>250</v>
      </c>
      <c r="I83" s="1"/>
      <c r="J83" s="5">
        <f t="shared" si="37"/>
        <v>1.0329810179408143E-3</v>
      </c>
      <c r="K83" s="1"/>
      <c r="L83" s="1">
        <f t="shared" si="38"/>
        <v>-250</v>
      </c>
      <c r="M83" s="1"/>
      <c r="N83" s="5">
        <f t="shared" si="39"/>
        <v>-1</v>
      </c>
      <c r="O83" s="14"/>
      <c r="P83" s="1">
        <f>SUM(OSRRefP22_11x_0)</f>
        <v>507.64</v>
      </c>
      <c r="Q83" s="1"/>
      <c r="R83" s="5">
        <f t="shared" si="40"/>
        <v>2.5215033611931871E-4</v>
      </c>
      <c r="S83" s="1"/>
      <c r="T83" s="1">
        <f>SUM(OSRRefT22_11x_0)</f>
        <v>750</v>
      </c>
      <c r="U83" s="1"/>
      <c r="V83" s="5">
        <f t="shared" si="41"/>
        <v>4.2724769314728882E-4</v>
      </c>
      <c r="W83" s="1"/>
      <c r="X83" s="1">
        <f t="shared" si="42"/>
        <v>-242.36</v>
      </c>
      <c r="Y83" s="1"/>
      <c r="Z83" s="5">
        <f t="shared" si="43"/>
        <v>-0.32314666666666669</v>
      </c>
    </row>
    <row r="84" spans="1:26" s="24" customFormat="1" hidden="1" outlineLevel="2" x14ac:dyDescent="0.3">
      <c r="A84" s="27"/>
      <c r="B84" s="11" t="str">
        <f>CONCATENATE("          ", "6336", " - ", "PROFESSIONAL SERVICES")</f>
        <v xml:space="preserve">          6336 - PROFESSIONAL SERVICES</v>
      </c>
      <c r="C84" s="11"/>
      <c r="D84" s="7"/>
      <c r="E84" s="2"/>
      <c r="F84" s="6">
        <f t="shared" si="36"/>
        <v>0</v>
      </c>
      <c r="G84" s="2"/>
      <c r="H84" s="7">
        <v>250</v>
      </c>
      <c r="I84" s="2"/>
      <c r="J84" s="6">
        <f t="shared" si="37"/>
        <v>1.0329810179408143E-3</v>
      </c>
      <c r="K84" s="2"/>
      <c r="L84" s="7">
        <f t="shared" si="38"/>
        <v>-250</v>
      </c>
      <c r="M84" s="2"/>
      <c r="N84" s="6">
        <f t="shared" si="39"/>
        <v>-1</v>
      </c>
      <c r="O84" s="11"/>
      <c r="P84" s="7">
        <v>507.64</v>
      </c>
      <c r="Q84" s="2"/>
      <c r="R84" s="6">
        <f t="shared" si="40"/>
        <v>2.5215033611931871E-4</v>
      </c>
      <c r="S84" s="2"/>
      <c r="T84" s="7">
        <v>750</v>
      </c>
      <c r="U84" s="2"/>
      <c r="V84" s="6">
        <f t="shared" si="41"/>
        <v>4.2724769314728882E-4</v>
      </c>
      <c r="W84" s="2"/>
      <c r="X84" s="7">
        <f t="shared" si="42"/>
        <v>-242.36</v>
      </c>
      <c r="Y84" s="2"/>
      <c r="Z84" s="6">
        <f t="shared" si="43"/>
        <v>-0.32314666666666669</v>
      </c>
    </row>
    <row r="85" spans="1:26" s="28" customFormat="1" outlineLevel="1" collapsed="1" x14ac:dyDescent="0.3">
      <c r="A85" s="29"/>
      <c r="B85" s="14" t="str">
        <f>CONCATENATE("     ","Repair and Maintenance                            ")</f>
        <v xml:space="preserve">     Repair and Maintenance                            </v>
      </c>
      <c r="C85" s="14"/>
      <c r="D85" s="1">
        <f>SUM(OSRRefD22_12x_0)</f>
        <v>0</v>
      </c>
      <c r="E85" s="1"/>
      <c r="F85" s="5">
        <f t="shared" si="36"/>
        <v>0</v>
      </c>
      <c r="G85" s="1"/>
      <c r="H85" s="1">
        <f>SUM(OSRRefH22_12x_0)</f>
        <v>0</v>
      </c>
      <c r="I85" s="1"/>
      <c r="J85" s="5">
        <f t="shared" si="37"/>
        <v>0</v>
      </c>
      <c r="K85" s="1"/>
      <c r="L85" s="1">
        <f t="shared" si="38"/>
        <v>0</v>
      </c>
      <c r="M85" s="1"/>
      <c r="N85" s="5">
        <f t="shared" si="39"/>
        <v>0</v>
      </c>
      <c r="O85" s="14"/>
      <c r="P85" s="1">
        <f>SUM(OSRRefP22_12x_0)</f>
        <v>1684.29</v>
      </c>
      <c r="Q85" s="1"/>
      <c r="R85" s="5">
        <f t="shared" si="40"/>
        <v>8.3660525100939125E-4</v>
      </c>
      <c r="S85" s="1"/>
      <c r="T85" s="1">
        <f>SUM(OSRRefT22_12x_0)</f>
        <v>0</v>
      </c>
      <c r="U85" s="1"/>
      <c r="V85" s="5">
        <f t="shared" si="41"/>
        <v>0</v>
      </c>
      <c r="W85" s="1"/>
      <c r="X85" s="1">
        <f t="shared" si="42"/>
        <v>1684.29</v>
      </c>
      <c r="Y85" s="1"/>
      <c r="Z85" s="5">
        <f t="shared" si="43"/>
        <v>0</v>
      </c>
    </row>
    <row r="86" spans="1:26" s="24" customFormat="1" hidden="1" outlineLevel="2" x14ac:dyDescent="0.3">
      <c r="A86" s="27"/>
      <c r="B86" s="11" t="str">
        <f>CONCATENATE("          ", "6373", " - ", "MAINTENANCE CONTRACTS")</f>
        <v xml:space="preserve">          6373 - MAINTENANCE CONTRACTS</v>
      </c>
      <c r="C86" s="11"/>
      <c r="D86" s="7"/>
      <c r="E86" s="2"/>
      <c r="F86" s="6">
        <f t="shared" si="36"/>
        <v>0</v>
      </c>
      <c r="G86" s="2"/>
      <c r="H86" s="7"/>
      <c r="I86" s="2"/>
      <c r="J86" s="6">
        <f t="shared" si="37"/>
        <v>0</v>
      </c>
      <c r="K86" s="2"/>
      <c r="L86" s="7">
        <f t="shared" si="38"/>
        <v>0</v>
      </c>
      <c r="M86" s="2"/>
      <c r="N86" s="6">
        <f t="shared" si="39"/>
        <v>0</v>
      </c>
      <c r="O86" s="11"/>
      <c r="P86" s="7">
        <v>5.7</v>
      </c>
      <c r="Q86" s="2"/>
      <c r="R86" s="6">
        <f t="shared" si="40"/>
        <v>2.8312522966671596E-6</v>
      </c>
      <c r="S86" s="2"/>
      <c r="T86" s="7"/>
      <c r="U86" s="2"/>
      <c r="V86" s="6">
        <f t="shared" si="41"/>
        <v>0</v>
      </c>
      <c r="W86" s="2"/>
      <c r="X86" s="7">
        <f t="shared" si="42"/>
        <v>5.7</v>
      </c>
      <c r="Y86" s="2"/>
      <c r="Z86" s="6">
        <f t="shared" si="43"/>
        <v>0</v>
      </c>
    </row>
    <row r="87" spans="1:26" s="24" customFormat="1" hidden="1" outlineLevel="2" x14ac:dyDescent="0.3">
      <c r="A87" s="27"/>
      <c r="B87" s="11" t="str">
        <f>CONCATENATE("          ", "6375", " - ", "OUTSIDE REPAIRS &amp; MAINTENANCE")</f>
        <v xml:space="preserve">          6375 - OUTSIDE REPAIRS &amp; MAINTENANCE</v>
      </c>
      <c r="C87" s="11"/>
      <c r="D87" s="7"/>
      <c r="E87" s="2"/>
      <c r="F87" s="6">
        <f t="shared" si="36"/>
        <v>0</v>
      </c>
      <c r="G87" s="2"/>
      <c r="H87" s="7">
        <v>0</v>
      </c>
      <c r="I87" s="2"/>
      <c r="J87" s="6">
        <f t="shared" si="37"/>
        <v>0</v>
      </c>
      <c r="K87" s="2"/>
      <c r="L87" s="7">
        <f t="shared" si="38"/>
        <v>0</v>
      </c>
      <c r="M87" s="2"/>
      <c r="N87" s="6">
        <f t="shared" si="39"/>
        <v>0</v>
      </c>
      <c r="O87" s="11"/>
      <c r="P87" s="7">
        <v>1678.59</v>
      </c>
      <c r="Q87" s="2"/>
      <c r="R87" s="6">
        <f t="shared" si="40"/>
        <v>8.3377399871272407E-4</v>
      </c>
      <c r="S87" s="2"/>
      <c r="T87" s="7">
        <v>0</v>
      </c>
      <c r="U87" s="2"/>
      <c r="V87" s="6">
        <f t="shared" si="41"/>
        <v>0</v>
      </c>
      <c r="W87" s="2"/>
      <c r="X87" s="7">
        <f t="shared" si="42"/>
        <v>1678.59</v>
      </c>
      <c r="Y87" s="2"/>
      <c r="Z87" s="6">
        <f t="shared" si="43"/>
        <v>0</v>
      </c>
    </row>
    <row r="88" spans="1:26" s="28" customFormat="1" outlineLevel="1" collapsed="1" x14ac:dyDescent="0.3">
      <c r="A88" s="29"/>
      <c r="B88" s="14" t="str">
        <f>CONCATENATE("     ","Royalty &amp; Commissions                             ")</f>
        <v xml:space="preserve">     Royalty &amp; Commissions                             </v>
      </c>
      <c r="C88" s="14"/>
      <c r="D88" s="1">
        <f>SUM(OSRRefD22_13x_0)</f>
        <v>23450.06</v>
      </c>
      <c r="E88" s="1"/>
      <c r="F88" s="5">
        <f t="shared" ref="F88:F91" si="44">IF(D$12=0,0,D88/D$12)</f>
        <v>0.15704095155456418</v>
      </c>
      <c r="G88" s="1"/>
      <c r="H88" s="1">
        <f>SUM(OSRRefH22_13x_0)</f>
        <v>9106</v>
      </c>
      <c r="I88" s="1"/>
      <c r="J88" s="5">
        <f t="shared" ref="J88:J91" si="45">IF(H$12=0,0,H88/H$12)</f>
        <v>3.7625300597476222E-2</v>
      </c>
      <c r="K88" s="1"/>
      <c r="L88" s="1">
        <f t="shared" ref="L88:L91" si="46">+D88-H88</f>
        <v>14344.060000000001</v>
      </c>
      <c r="M88" s="1"/>
      <c r="N88" s="5">
        <f t="shared" ref="N88:N91" si="47">IF(H88=0,0,L88/H88)</f>
        <v>1.575231715352515</v>
      </c>
      <c r="O88" s="14"/>
      <c r="P88" s="1">
        <f>SUM(OSRRefP22_13x_0)</f>
        <v>39582.850000000006</v>
      </c>
      <c r="Q88" s="1"/>
      <c r="R88" s="5">
        <f t="shared" ref="R88:R91" si="48">IF(P$12=0,0,P88/P$12)</f>
        <v>1.9661234205461699E-2</v>
      </c>
      <c r="S88" s="1"/>
      <c r="T88" s="1">
        <f>SUM(OSRRefT22_13x_0)</f>
        <v>35498</v>
      </c>
      <c r="U88" s="1"/>
      <c r="V88" s="5">
        <f t="shared" ref="V88:V91" si="49">IF(T$12=0,0,T88/T$12)</f>
        <v>2.022191814845661E-2</v>
      </c>
      <c r="W88" s="1"/>
      <c r="X88" s="1">
        <f t="shared" ref="X88:X91" si="50">+P88-T88</f>
        <v>4084.8500000000058</v>
      </c>
      <c r="Y88" s="1"/>
      <c r="Z88" s="5">
        <f t="shared" ref="Z88:Z91" si="51">IF(T88=0,0,X88/T88)</f>
        <v>0.11507268015099459</v>
      </c>
    </row>
    <row r="89" spans="1:26" s="24" customFormat="1" hidden="1" outlineLevel="2" x14ac:dyDescent="0.3">
      <c r="A89" s="27"/>
      <c r="B89" s="11" t="str">
        <f>CONCATENATE("          ", "6252", " - ", "ROYALTY DUE CSTV")</f>
        <v xml:space="preserve">          6252 - ROYALTY DUE CSTV</v>
      </c>
      <c r="C89" s="11"/>
      <c r="D89" s="7"/>
      <c r="E89" s="2"/>
      <c r="F89" s="6">
        <f t="shared" si="44"/>
        <v>0</v>
      </c>
      <c r="G89" s="2"/>
      <c r="H89" s="7">
        <v>821</v>
      </c>
      <c r="I89" s="2"/>
      <c r="J89" s="6">
        <f t="shared" si="45"/>
        <v>3.392309662917634E-3</v>
      </c>
      <c r="K89" s="2"/>
      <c r="L89" s="7">
        <f t="shared" si="46"/>
        <v>-821</v>
      </c>
      <c r="M89" s="2"/>
      <c r="N89" s="6">
        <f t="shared" si="47"/>
        <v>-1</v>
      </c>
      <c r="O89" s="11"/>
      <c r="P89" s="7"/>
      <c r="Q89" s="2"/>
      <c r="R89" s="6">
        <f t="shared" si="48"/>
        <v>0</v>
      </c>
      <c r="S89" s="2"/>
      <c r="T89" s="7">
        <v>11051</v>
      </c>
      <c r="U89" s="2"/>
      <c r="V89" s="6">
        <f t="shared" si="49"/>
        <v>6.2953523426275849E-3</v>
      </c>
      <c r="W89" s="2"/>
      <c r="X89" s="7">
        <f t="shared" si="50"/>
        <v>-11051</v>
      </c>
      <c r="Y89" s="2"/>
      <c r="Z89" s="6">
        <f t="shared" si="51"/>
        <v>-1</v>
      </c>
    </row>
    <row r="90" spans="1:26" s="24" customFormat="1" hidden="1" outlineLevel="2" x14ac:dyDescent="0.3">
      <c r="A90" s="27"/>
      <c r="B90" s="11" t="str">
        <f>CONCATENATE("          ", "6253", " - ", "ROYALTY DUE ATHLETICS-LRG")</f>
        <v xml:space="preserve">          6253 - ROYALTY DUE ATHLETICS-LRG</v>
      </c>
      <c r="C90" s="11"/>
      <c r="D90" s="7">
        <v>16060.87</v>
      </c>
      <c r="E90" s="2"/>
      <c r="F90" s="6">
        <f t="shared" si="44"/>
        <v>0.10755683813150811</v>
      </c>
      <c r="G90" s="2"/>
      <c r="H90" s="7">
        <v>7785</v>
      </c>
      <c r="I90" s="2"/>
      <c r="J90" s="6">
        <f t="shared" si="45"/>
        <v>3.216702889867696E-2</v>
      </c>
      <c r="K90" s="2"/>
      <c r="L90" s="7">
        <f t="shared" si="46"/>
        <v>8275.8700000000008</v>
      </c>
      <c r="M90" s="2"/>
      <c r="N90" s="6">
        <f t="shared" si="47"/>
        <v>1.0630533076429032</v>
      </c>
      <c r="O90" s="11"/>
      <c r="P90" s="7">
        <v>39221.160000000003</v>
      </c>
      <c r="Q90" s="2"/>
      <c r="R90" s="6">
        <f t="shared" si="48"/>
        <v>1.9481578829464937E-2</v>
      </c>
      <c r="S90" s="2"/>
      <c r="T90" s="7">
        <v>23947</v>
      </c>
      <c r="U90" s="2"/>
      <c r="V90" s="6">
        <f t="shared" si="49"/>
        <v>1.36417340103975E-2</v>
      </c>
      <c r="W90" s="2"/>
      <c r="X90" s="7">
        <f t="shared" si="50"/>
        <v>15274.160000000003</v>
      </c>
      <c r="Y90" s="2"/>
      <c r="Z90" s="6">
        <f t="shared" si="51"/>
        <v>0.63783187873220037</v>
      </c>
    </row>
    <row r="91" spans="1:26" s="24" customFormat="1" hidden="1" outlineLevel="2" x14ac:dyDescent="0.3">
      <c r="A91" s="27"/>
      <c r="B91" s="11" t="str">
        <f>CONCATENATE("          ", "6254", " - ", "ROYALTY &amp; COMMISSIONS")</f>
        <v xml:space="preserve">          6254 - ROYALTY &amp; COMMISSIONS</v>
      </c>
      <c r="C91" s="11"/>
      <c r="D91" s="7">
        <v>7389.19</v>
      </c>
      <c r="E91" s="2"/>
      <c r="F91" s="6">
        <f t="shared" si="44"/>
        <v>4.9484113423056059E-2</v>
      </c>
      <c r="G91" s="2"/>
      <c r="H91" s="7">
        <v>500</v>
      </c>
      <c r="I91" s="2"/>
      <c r="J91" s="6">
        <f t="shared" si="45"/>
        <v>2.0659620358816286E-3</v>
      </c>
      <c r="K91" s="2"/>
      <c r="L91" s="7">
        <f t="shared" si="46"/>
        <v>6889.19</v>
      </c>
      <c r="M91" s="2"/>
      <c r="N91" s="6">
        <f t="shared" si="47"/>
        <v>13.778379999999999</v>
      </c>
      <c r="O91" s="11"/>
      <c r="P91" s="7">
        <v>361.69</v>
      </c>
      <c r="Q91" s="2"/>
      <c r="R91" s="6">
        <f t="shared" si="48"/>
        <v>1.7965537599676226E-4</v>
      </c>
      <c r="S91" s="2"/>
      <c r="T91" s="7">
        <v>500</v>
      </c>
      <c r="U91" s="2"/>
      <c r="V91" s="6">
        <f t="shared" si="49"/>
        <v>2.8483179543152586E-4</v>
      </c>
      <c r="W91" s="2"/>
      <c r="X91" s="7">
        <f t="shared" si="50"/>
        <v>-138.31</v>
      </c>
      <c r="Y91" s="2"/>
      <c r="Z91" s="6">
        <f t="shared" si="51"/>
        <v>-0.27661999999999998</v>
      </c>
    </row>
    <row r="92" spans="1:26" s="28" customFormat="1" outlineLevel="1" collapsed="1" x14ac:dyDescent="0.3">
      <c r="A92" s="29"/>
      <c r="B92" s="14" t="str">
        <f>CONCATENATE("     ","Subscriptions &amp; Dues                              ")</f>
        <v xml:space="preserve">     Subscriptions &amp; Dues                              </v>
      </c>
      <c r="C92" s="14"/>
      <c r="D92" s="1">
        <f>SUM(OSRRefD22_14x_0)</f>
        <v>0</v>
      </c>
      <c r="E92" s="1"/>
      <c r="F92" s="5">
        <f t="shared" ref="F92:F94" si="52">IF(D$12=0,0,D92/D$12)</f>
        <v>0</v>
      </c>
      <c r="G92" s="1"/>
      <c r="H92" s="1">
        <f>SUM(OSRRefH22_14x_0)</f>
        <v>100</v>
      </c>
      <c r="I92" s="1"/>
      <c r="J92" s="5">
        <f t="shared" ref="J92:J94" si="53">IF(H$12=0,0,H92/H$12)</f>
        <v>4.1319240717632575E-4</v>
      </c>
      <c r="K92" s="1"/>
      <c r="L92" s="1">
        <f t="shared" ref="L92:L94" si="54">+D92-H92</f>
        <v>-100</v>
      </c>
      <c r="M92" s="1"/>
      <c r="N92" s="5">
        <f t="shared" ref="N92:N94" si="55">IF(H92=0,0,L92/H92)</f>
        <v>-1</v>
      </c>
      <c r="O92" s="14"/>
      <c r="P92" s="1">
        <f>SUM(OSRRefP22_14x_0)</f>
        <v>0</v>
      </c>
      <c r="Q92" s="1"/>
      <c r="R92" s="5">
        <f t="shared" ref="R92:R94" si="56">IF(P$12=0,0,P92/P$12)</f>
        <v>0</v>
      </c>
      <c r="S92" s="1"/>
      <c r="T92" s="1">
        <f>SUM(OSRRefT22_14x_0)</f>
        <v>1100</v>
      </c>
      <c r="U92" s="1"/>
      <c r="V92" s="5">
        <f t="shared" ref="V92:V94" si="57">IF(T$12=0,0,T92/T$12)</f>
        <v>6.2662994994935688E-4</v>
      </c>
      <c r="W92" s="1"/>
      <c r="X92" s="1">
        <f t="shared" ref="X92:X94" si="58">+P92-T92</f>
        <v>-1100</v>
      </c>
      <c r="Y92" s="1"/>
      <c r="Z92" s="5">
        <f t="shared" ref="Z92:Z94" si="59">IF(T92=0,0,X92/T92)</f>
        <v>-1</v>
      </c>
    </row>
    <row r="93" spans="1:26" s="24" customFormat="1" hidden="1" outlineLevel="2" x14ac:dyDescent="0.3">
      <c r="A93" s="27"/>
      <c r="B93" s="11" t="str">
        <f>CONCATENATE("          ", "6258", " - ", "MEMBERSHIP DUES")</f>
        <v xml:space="preserve">          6258 - MEMBERSHIP DUES</v>
      </c>
      <c r="C93" s="11"/>
      <c r="D93" s="7"/>
      <c r="E93" s="2"/>
      <c r="F93" s="6">
        <f t="shared" si="52"/>
        <v>0</v>
      </c>
      <c r="G93" s="2"/>
      <c r="H93" s="7">
        <v>0</v>
      </c>
      <c r="I93" s="2"/>
      <c r="J93" s="6">
        <f t="shared" si="53"/>
        <v>0</v>
      </c>
      <c r="K93" s="2"/>
      <c r="L93" s="7">
        <f t="shared" si="54"/>
        <v>0</v>
      </c>
      <c r="M93" s="2"/>
      <c r="N93" s="6">
        <f t="shared" si="55"/>
        <v>0</v>
      </c>
      <c r="O93" s="11"/>
      <c r="P93" s="7"/>
      <c r="Q93" s="2"/>
      <c r="R93" s="6">
        <f t="shared" si="56"/>
        <v>0</v>
      </c>
      <c r="S93" s="2"/>
      <c r="T93" s="7">
        <v>1000</v>
      </c>
      <c r="U93" s="2"/>
      <c r="V93" s="6">
        <f t="shared" si="57"/>
        <v>5.6966359086305172E-4</v>
      </c>
      <c r="W93" s="2"/>
      <c r="X93" s="7">
        <f t="shared" si="58"/>
        <v>-1000</v>
      </c>
      <c r="Y93" s="2"/>
      <c r="Z93" s="6">
        <f t="shared" si="59"/>
        <v>-1</v>
      </c>
    </row>
    <row r="94" spans="1:26" s="24" customFormat="1" hidden="1" outlineLevel="2" x14ac:dyDescent="0.3">
      <c r="A94" s="27"/>
      <c r="B94" s="11" t="str">
        <f>CONCATENATE("          ", "6275", " - ", "SUBSCRIPTIONS")</f>
        <v xml:space="preserve">          6275 - SUBSCRIPTIONS</v>
      </c>
      <c r="C94" s="11"/>
      <c r="D94" s="7"/>
      <c r="E94" s="2"/>
      <c r="F94" s="6">
        <f t="shared" si="52"/>
        <v>0</v>
      </c>
      <c r="G94" s="2"/>
      <c r="H94" s="7">
        <v>100</v>
      </c>
      <c r="I94" s="2"/>
      <c r="J94" s="6">
        <f t="shared" si="53"/>
        <v>4.1319240717632575E-4</v>
      </c>
      <c r="K94" s="2"/>
      <c r="L94" s="7">
        <f t="shared" si="54"/>
        <v>-100</v>
      </c>
      <c r="M94" s="2"/>
      <c r="N94" s="6">
        <f t="shared" si="55"/>
        <v>-1</v>
      </c>
      <c r="O94" s="11"/>
      <c r="P94" s="7"/>
      <c r="Q94" s="2"/>
      <c r="R94" s="6">
        <f t="shared" si="56"/>
        <v>0</v>
      </c>
      <c r="S94" s="2"/>
      <c r="T94" s="7">
        <v>100</v>
      </c>
      <c r="U94" s="2"/>
      <c r="V94" s="6">
        <f t="shared" si="57"/>
        <v>5.6966359086305175E-5</v>
      </c>
      <c r="W94" s="2"/>
      <c r="X94" s="7">
        <f t="shared" si="58"/>
        <v>-100</v>
      </c>
      <c r="Y94" s="2"/>
      <c r="Z94" s="6">
        <f t="shared" si="59"/>
        <v>-1</v>
      </c>
    </row>
    <row r="95" spans="1:26" s="28" customFormat="1" outlineLevel="1" collapsed="1" x14ac:dyDescent="0.3">
      <c r="A95" s="29"/>
      <c r="B95" s="14" t="str">
        <f>CONCATENATE("     ","Supplies                                          ")</f>
        <v xml:space="preserve">     Supplies                                          </v>
      </c>
      <c r="C95" s="14"/>
      <c r="D95" s="1">
        <f>SUM(OSRRefD22_15x_0)</f>
        <v>107.14</v>
      </c>
      <c r="E95" s="1"/>
      <c r="F95" s="5">
        <f t="shared" ref="F95:F99" si="60">IF(D$12=0,0,D95/D$12)</f>
        <v>7.1749784646845272E-4</v>
      </c>
      <c r="G95" s="1"/>
      <c r="H95" s="1">
        <f>SUM(OSRRefH22_15x_0)</f>
        <v>75</v>
      </c>
      <c r="I95" s="1"/>
      <c r="J95" s="5">
        <f t="shared" ref="J95:J99" si="61">IF(H$12=0,0,H95/H$12)</f>
        <v>3.098943053822443E-4</v>
      </c>
      <c r="K95" s="1"/>
      <c r="L95" s="1">
        <f t="shared" ref="L95:L99" si="62">+D95-H95</f>
        <v>32.14</v>
      </c>
      <c r="M95" s="1"/>
      <c r="N95" s="5">
        <f t="shared" ref="N95:N99" si="63">IF(H95=0,0,L95/H95)</f>
        <v>0.42853333333333332</v>
      </c>
      <c r="O95" s="14"/>
      <c r="P95" s="1">
        <f>SUM(OSRRefP22_15x_0)</f>
        <v>7686.9699999999993</v>
      </c>
      <c r="Q95" s="1"/>
      <c r="R95" s="5">
        <f t="shared" ref="R95:R99" si="64">IF(P$12=0,0,P95/P$12)</f>
        <v>3.8182020117388691E-3</v>
      </c>
      <c r="S95" s="1"/>
      <c r="T95" s="1">
        <f>SUM(OSRRefT22_15x_0)</f>
        <v>525</v>
      </c>
      <c r="U95" s="1"/>
      <c r="V95" s="5">
        <f t="shared" ref="V95:V99" si="65">IF(T$12=0,0,T95/T$12)</f>
        <v>2.9907338520310218E-4</v>
      </c>
      <c r="W95" s="1"/>
      <c r="X95" s="1">
        <f t="shared" ref="X95:X99" si="66">+P95-T95</f>
        <v>7161.9699999999993</v>
      </c>
      <c r="Y95" s="1"/>
      <c r="Z95" s="5">
        <f t="shared" ref="Z95:Z99" si="67">IF(T95=0,0,X95/T95)</f>
        <v>13.641847619047617</v>
      </c>
    </row>
    <row r="96" spans="1:26" s="24" customFormat="1" hidden="1" outlineLevel="2" x14ac:dyDescent="0.3">
      <c r="A96" s="27"/>
      <c r="B96" s="11" t="str">
        <f>CONCATENATE("          ", "6235", " - ", "COVID-19 EXPENSES")</f>
        <v xml:space="preserve">          6235 - COVID-19 EXPENSES</v>
      </c>
      <c r="C96" s="11"/>
      <c r="D96" s="7"/>
      <c r="E96" s="2"/>
      <c r="F96" s="6">
        <f t="shared" si="60"/>
        <v>0</v>
      </c>
      <c r="G96" s="2"/>
      <c r="H96" s="7">
        <v>0</v>
      </c>
      <c r="I96" s="2"/>
      <c r="J96" s="6">
        <f t="shared" si="61"/>
        <v>0</v>
      </c>
      <c r="K96" s="2"/>
      <c r="L96" s="7">
        <f t="shared" si="62"/>
        <v>0</v>
      </c>
      <c r="M96" s="2"/>
      <c r="N96" s="6">
        <f t="shared" si="63"/>
        <v>0</v>
      </c>
      <c r="O96" s="11"/>
      <c r="P96" s="7"/>
      <c r="Q96" s="2"/>
      <c r="R96" s="6">
        <f t="shared" si="64"/>
        <v>0</v>
      </c>
      <c r="S96" s="2"/>
      <c r="T96" s="7">
        <v>0</v>
      </c>
      <c r="U96" s="2"/>
      <c r="V96" s="6">
        <f t="shared" si="65"/>
        <v>0</v>
      </c>
      <c r="W96" s="2"/>
      <c r="X96" s="7">
        <f t="shared" si="66"/>
        <v>0</v>
      </c>
      <c r="Y96" s="2"/>
      <c r="Z96" s="6">
        <f t="shared" si="67"/>
        <v>0</v>
      </c>
    </row>
    <row r="97" spans="1:26" s="24" customFormat="1" hidden="1" outlineLevel="2" x14ac:dyDescent="0.3">
      <c r="A97" s="27"/>
      <c r="B97" s="11" t="str">
        <f>CONCATENATE("          ", "6241", " - ", "OFFICE EXPENSE")</f>
        <v xml:space="preserve">          6241 - OFFICE EXPENSE</v>
      </c>
      <c r="C97" s="11"/>
      <c r="D97" s="7">
        <v>107.14</v>
      </c>
      <c r="E97" s="2"/>
      <c r="F97" s="6">
        <f t="shared" si="60"/>
        <v>7.1749784646845272E-4</v>
      </c>
      <c r="G97" s="2"/>
      <c r="H97" s="7">
        <v>25</v>
      </c>
      <c r="I97" s="2"/>
      <c r="J97" s="6">
        <f t="shared" si="61"/>
        <v>1.0329810179408144E-4</v>
      </c>
      <c r="K97" s="2"/>
      <c r="L97" s="7">
        <f t="shared" si="62"/>
        <v>82.14</v>
      </c>
      <c r="M97" s="2"/>
      <c r="N97" s="6">
        <f t="shared" si="63"/>
        <v>3.2856000000000001</v>
      </c>
      <c r="O97" s="11"/>
      <c r="P97" s="7">
        <v>1190.06</v>
      </c>
      <c r="Q97" s="2"/>
      <c r="R97" s="6">
        <f t="shared" si="64"/>
        <v>5.9111580845117885E-4</v>
      </c>
      <c r="S97" s="2"/>
      <c r="T97" s="7">
        <v>175</v>
      </c>
      <c r="U97" s="2"/>
      <c r="V97" s="6">
        <f t="shared" si="65"/>
        <v>9.9691128401034059E-5</v>
      </c>
      <c r="W97" s="2"/>
      <c r="X97" s="7">
        <f t="shared" si="66"/>
        <v>1015.06</v>
      </c>
      <c r="Y97" s="2"/>
      <c r="Z97" s="6">
        <f t="shared" si="67"/>
        <v>5.8003428571428568</v>
      </c>
    </row>
    <row r="98" spans="1:26" s="24" customFormat="1" hidden="1" outlineLevel="2" x14ac:dyDescent="0.3">
      <c r="A98" s="27"/>
      <c r="B98" s="11" t="str">
        <f>CONCATENATE("          ", "6245", " - ", "PRINTING")</f>
        <v xml:space="preserve">          6245 - PRINTING</v>
      </c>
      <c r="C98" s="11"/>
      <c r="D98" s="7"/>
      <c r="E98" s="2"/>
      <c r="F98" s="6">
        <f t="shared" si="60"/>
        <v>0</v>
      </c>
      <c r="G98" s="2"/>
      <c r="H98" s="7"/>
      <c r="I98" s="2"/>
      <c r="J98" s="6">
        <f t="shared" si="61"/>
        <v>0</v>
      </c>
      <c r="K98" s="2"/>
      <c r="L98" s="7">
        <f t="shared" si="62"/>
        <v>0</v>
      </c>
      <c r="M98" s="2"/>
      <c r="N98" s="6">
        <f t="shared" si="63"/>
        <v>0</v>
      </c>
      <c r="O98" s="11"/>
      <c r="P98" s="7">
        <v>24.75</v>
      </c>
      <c r="Q98" s="2"/>
      <c r="R98" s="6">
        <f t="shared" si="64"/>
        <v>1.229359549868635E-5</v>
      </c>
      <c r="S98" s="2"/>
      <c r="T98" s="7"/>
      <c r="U98" s="2"/>
      <c r="V98" s="6">
        <f t="shared" si="65"/>
        <v>0</v>
      </c>
      <c r="W98" s="2"/>
      <c r="X98" s="7">
        <f t="shared" si="66"/>
        <v>24.75</v>
      </c>
      <c r="Y98" s="2"/>
      <c r="Z98" s="6">
        <f t="shared" si="67"/>
        <v>0</v>
      </c>
    </row>
    <row r="99" spans="1:26" s="24" customFormat="1" hidden="1" outlineLevel="2" x14ac:dyDescent="0.3">
      <c r="A99" s="27"/>
      <c r="B99" s="11" t="str">
        <f>CONCATENATE("          ", "6247", " - ", "STORE SUPPLIES")</f>
        <v xml:space="preserve">          6247 - STORE SUPPLIES</v>
      </c>
      <c r="C99" s="11"/>
      <c r="D99" s="7"/>
      <c r="E99" s="2"/>
      <c r="F99" s="6">
        <f t="shared" si="60"/>
        <v>0</v>
      </c>
      <c r="G99" s="2"/>
      <c r="H99" s="7">
        <v>50</v>
      </c>
      <c r="I99" s="2"/>
      <c r="J99" s="6">
        <f t="shared" si="61"/>
        <v>2.0659620358816287E-4</v>
      </c>
      <c r="K99" s="2"/>
      <c r="L99" s="7">
        <f t="shared" si="62"/>
        <v>-50</v>
      </c>
      <c r="M99" s="2"/>
      <c r="N99" s="6">
        <f t="shared" si="63"/>
        <v>-1</v>
      </c>
      <c r="O99" s="11"/>
      <c r="P99" s="7">
        <v>6472.16</v>
      </c>
      <c r="Q99" s="2"/>
      <c r="R99" s="6">
        <f t="shared" si="64"/>
        <v>3.2147926077890042E-3</v>
      </c>
      <c r="S99" s="2"/>
      <c r="T99" s="7">
        <v>350</v>
      </c>
      <c r="U99" s="2"/>
      <c r="V99" s="6">
        <f t="shared" si="65"/>
        <v>1.9938225680206812E-4</v>
      </c>
      <c r="W99" s="2"/>
      <c r="X99" s="7">
        <f t="shared" si="66"/>
        <v>6122.16</v>
      </c>
      <c r="Y99" s="2"/>
      <c r="Z99" s="6">
        <f t="shared" si="67"/>
        <v>17.491885714285715</v>
      </c>
    </row>
    <row r="100" spans="1:26" s="28" customFormat="1" outlineLevel="1" collapsed="1" x14ac:dyDescent="0.3">
      <c r="A100" s="29"/>
      <c r="B100" s="14" t="str">
        <f>CONCATENATE("     ","Telephone/Data Lines                              ")</f>
        <v xml:space="preserve">     Telephone/Data Lines                              </v>
      </c>
      <c r="C100" s="14"/>
      <c r="D100" s="1">
        <f>SUM(OSRRefD22_16x_0)</f>
        <v>264.60000000000002</v>
      </c>
      <c r="E100" s="1"/>
      <c r="F100" s="5">
        <f t="shared" ref="F100:F103" si="68">IF(D$12=0,0,D100/D$12)</f>
        <v>1.7719799344367427E-3</v>
      </c>
      <c r="G100" s="1"/>
      <c r="H100" s="1">
        <f>SUM(OSRRefH22_16x_0)</f>
        <v>300</v>
      </c>
      <c r="I100" s="1"/>
      <c r="J100" s="5">
        <f t="shared" ref="J100:J103" si="69">IF(H$12=0,0,H100/H$12)</f>
        <v>1.2395772215289772E-3</v>
      </c>
      <c r="K100" s="1"/>
      <c r="L100" s="1">
        <f t="shared" ref="L100:L103" si="70">+D100-H100</f>
        <v>-35.399999999999977</v>
      </c>
      <c r="M100" s="1"/>
      <c r="N100" s="5">
        <f t="shared" ref="N100:N103" si="71">IF(H100=0,0,L100/H100)</f>
        <v>-0.11799999999999992</v>
      </c>
      <c r="O100" s="14"/>
      <c r="P100" s="1">
        <f>SUM(OSRRefP22_16x_0)</f>
        <v>1415.9</v>
      </c>
      <c r="Q100" s="1"/>
      <c r="R100" s="5">
        <f t="shared" ref="R100:R103" si="72">IF(P$12=0,0,P100/P$12)</f>
        <v>7.0329300471070732E-4</v>
      </c>
      <c r="S100" s="1"/>
      <c r="T100" s="1">
        <f>SUM(OSRRefT22_16x_0)</f>
        <v>2100</v>
      </c>
      <c r="U100" s="1"/>
      <c r="V100" s="5">
        <f t="shared" ref="V100:V103" si="73">IF(T$12=0,0,T100/T$12)</f>
        <v>1.1962935408124087E-3</v>
      </c>
      <c r="W100" s="1"/>
      <c r="X100" s="1">
        <f t="shared" ref="X100:X103" si="74">+P100-T100</f>
        <v>-684.09999999999991</v>
      </c>
      <c r="Y100" s="1"/>
      <c r="Z100" s="5">
        <f t="shared" ref="Z100:Z103" si="75">IF(T100=0,0,X100/T100)</f>
        <v>-0.3257619047619047</v>
      </c>
    </row>
    <row r="101" spans="1:26" s="24" customFormat="1" hidden="1" outlineLevel="2" x14ac:dyDescent="0.3">
      <c r="A101" s="27"/>
      <c r="B101" s="11" t="str">
        <f>CONCATENATE("          ", "6309", " - ", "TELEPHONE")</f>
        <v xml:space="preserve">          6309 - TELEPHONE</v>
      </c>
      <c r="C101" s="11"/>
      <c r="D101" s="7">
        <v>264.60000000000002</v>
      </c>
      <c r="E101" s="2"/>
      <c r="F101" s="6">
        <f t="shared" si="68"/>
        <v>1.7719799344367427E-3</v>
      </c>
      <c r="G101" s="2"/>
      <c r="H101" s="7">
        <v>300</v>
      </c>
      <c r="I101" s="2"/>
      <c r="J101" s="6">
        <f t="shared" si="69"/>
        <v>1.2395772215289772E-3</v>
      </c>
      <c r="K101" s="2"/>
      <c r="L101" s="7">
        <f t="shared" si="70"/>
        <v>-35.399999999999977</v>
      </c>
      <c r="M101" s="2"/>
      <c r="N101" s="6">
        <f t="shared" si="71"/>
        <v>-0.11799999999999992</v>
      </c>
      <c r="O101" s="11"/>
      <c r="P101" s="7">
        <v>1415.9</v>
      </c>
      <c r="Q101" s="2"/>
      <c r="R101" s="6">
        <f t="shared" si="72"/>
        <v>7.0329300471070732E-4</v>
      </c>
      <c r="S101" s="2"/>
      <c r="T101" s="7">
        <v>2100</v>
      </c>
      <c r="U101" s="2"/>
      <c r="V101" s="6">
        <f t="shared" si="73"/>
        <v>1.1962935408124087E-3</v>
      </c>
      <c r="W101" s="2"/>
      <c r="X101" s="7">
        <f t="shared" si="74"/>
        <v>-684.09999999999991</v>
      </c>
      <c r="Y101" s="2"/>
      <c r="Z101" s="6">
        <f t="shared" si="75"/>
        <v>-0.3257619047619047</v>
      </c>
    </row>
    <row r="102" spans="1:26" s="28" customFormat="1" outlineLevel="1" collapsed="1" x14ac:dyDescent="0.3">
      <c r="A102" s="29"/>
      <c r="B102" s="14" t="str">
        <f>CONCATENATE("     ","Travel                                            ")</f>
        <v xml:space="preserve">     Travel                                            </v>
      </c>
      <c r="C102" s="14"/>
      <c r="D102" s="1">
        <f>SUM(OSRRefD22_17x_0)</f>
        <v>0</v>
      </c>
      <c r="E102" s="1"/>
      <c r="F102" s="5">
        <f t="shared" si="68"/>
        <v>0</v>
      </c>
      <c r="G102" s="1"/>
      <c r="H102" s="1">
        <f>SUM(OSRRefH22_17x_0)</f>
        <v>25</v>
      </c>
      <c r="I102" s="1"/>
      <c r="J102" s="5">
        <f t="shared" si="69"/>
        <v>1.0329810179408144E-4</v>
      </c>
      <c r="K102" s="1"/>
      <c r="L102" s="1">
        <f t="shared" si="70"/>
        <v>-25</v>
      </c>
      <c r="M102" s="1"/>
      <c r="N102" s="5">
        <f t="shared" si="71"/>
        <v>-1</v>
      </c>
      <c r="O102" s="14"/>
      <c r="P102" s="1">
        <f>SUM(OSRRefP22_17x_0)</f>
        <v>40.32</v>
      </c>
      <c r="Q102" s="1"/>
      <c r="R102" s="5">
        <f t="shared" si="72"/>
        <v>2.0027384666950856E-5</v>
      </c>
      <c r="S102" s="1"/>
      <c r="T102" s="1">
        <f>SUM(OSRRefT22_17x_0)</f>
        <v>175</v>
      </c>
      <c r="U102" s="1"/>
      <c r="V102" s="5">
        <f t="shared" si="73"/>
        <v>9.9691128401034059E-5</v>
      </c>
      <c r="W102" s="1"/>
      <c r="X102" s="1">
        <f t="shared" si="74"/>
        <v>-134.68</v>
      </c>
      <c r="Y102" s="1"/>
      <c r="Z102" s="5">
        <f t="shared" si="75"/>
        <v>-0.76960000000000006</v>
      </c>
    </row>
    <row r="103" spans="1:26" s="24" customFormat="1" hidden="1" outlineLevel="2" x14ac:dyDescent="0.3">
      <c r="A103" s="27"/>
      <c r="B103" s="11" t="str">
        <f>CONCATENATE("          ", "6294", " - ", "TRAVEL OPERATIONAL")</f>
        <v xml:space="preserve">          6294 - TRAVEL OPERATIONAL</v>
      </c>
      <c r="C103" s="11"/>
      <c r="D103" s="7"/>
      <c r="E103" s="2"/>
      <c r="F103" s="6">
        <f t="shared" si="68"/>
        <v>0</v>
      </c>
      <c r="G103" s="2"/>
      <c r="H103" s="7">
        <v>25</v>
      </c>
      <c r="I103" s="2"/>
      <c r="J103" s="6">
        <f t="shared" si="69"/>
        <v>1.0329810179408144E-4</v>
      </c>
      <c r="K103" s="2"/>
      <c r="L103" s="7">
        <f t="shared" si="70"/>
        <v>-25</v>
      </c>
      <c r="M103" s="2"/>
      <c r="N103" s="6">
        <f t="shared" si="71"/>
        <v>-1</v>
      </c>
      <c r="O103" s="11"/>
      <c r="P103" s="7">
        <v>40.32</v>
      </c>
      <c r="Q103" s="2"/>
      <c r="R103" s="6">
        <f t="shared" si="72"/>
        <v>2.0027384666950856E-5</v>
      </c>
      <c r="S103" s="2"/>
      <c r="T103" s="7">
        <v>175</v>
      </c>
      <c r="U103" s="2"/>
      <c r="V103" s="6">
        <f t="shared" si="73"/>
        <v>9.9691128401034059E-5</v>
      </c>
      <c r="W103" s="2"/>
      <c r="X103" s="7">
        <f t="shared" si="74"/>
        <v>-134.68</v>
      </c>
      <c r="Y103" s="2"/>
      <c r="Z103" s="6">
        <f t="shared" si="75"/>
        <v>-0.76960000000000006</v>
      </c>
    </row>
    <row r="104" spans="1:26" s="55" customFormat="1" x14ac:dyDescent="0.3">
      <c r="A104" s="36"/>
      <c r="B104" s="36"/>
      <c r="C104" s="36"/>
      <c r="D104" s="1"/>
      <c r="E104" s="1"/>
      <c r="F104" s="5"/>
      <c r="G104" s="1"/>
      <c r="H104" s="1"/>
      <c r="I104" s="1"/>
      <c r="J104" s="5"/>
      <c r="K104" s="1"/>
      <c r="L104" s="1"/>
      <c r="M104" s="1"/>
      <c r="N104" s="5"/>
      <c r="O104" s="36"/>
      <c r="P104" s="1"/>
      <c r="Q104" s="1"/>
      <c r="R104" s="5"/>
      <c r="S104" s="1"/>
      <c r="T104" s="1"/>
      <c r="U104" s="1"/>
      <c r="V104" s="5"/>
      <c r="W104" s="1"/>
      <c r="X104" s="1"/>
      <c r="Y104" s="1"/>
      <c r="Z104" s="5"/>
    </row>
    <row r="105" spans="1:26" s="23" customFormat="1" collapsed="1" x14ac:dyDescent="0.3">
      <c r="A105" s="10"/>
      <c r="B105" s="25" t="s">
        <v>293</v>
      </c>
      <c r="C105" s="10"/>
      <c r="D105" s="4">
        <f>SUM(OSRRefD25x_0)</f>
        <v>39149.25</v>
      </c>
      <c r="E105" s="4"/>
      <c r="F105" s="12">
        <f t="shared" ref="F105:F108" si="76">IF(D$12=0,0,D105/D$12)</f>
        <v>0.26217568196616647</v>
      </c>
      <c r="G105" s="4"/>
      <c r="H105" s="4">
        <f>SUM(OSRRefH25x_0)</f>
        <v>15571</v>
      </c>
      <c r="I105" s="4"/>
      <c r="J105" s="12">
        <f t="shared" ref="J105:J108" si="77">IF(H$12=0,0,H105/H$12)</f>
        <v>6.4338189721425673E-2</v>
      </c>
      <c r="K105" s="4"/>
      <c r="L105" s="4">
        <f t="shared" ref="L105:L108" si="78">+D105-H105</f>
        <v>23578.25</v>
      </c>
      <c r="M105" s="4"/>
      <c r="N105" s="12">
        <f t="shared" ref="N105:N108" si="79">IF(H105=0,0,L105/H105)</f>
        <v>1.5142412176481921</v>
      </c>
      <c r="O105" s="10"/>
      <c r="P105" s="4">
        <f>SUM(OSRRefP25x_0)</f>
        <v>158502.37</v>
      </c>
      <c r="Q105" s="4"/>
      <c r="R105" s="12">
        <f t="shared" ref="R105:R108" si="80">IF(P$12=0,0,P105/P$12)</f>
        <v>7.8729859489418921E-2</v>
      </c>
      <c r="S105" s="4"/>
      <c r="T105" s="4">
        <f>SUM(OSRRefT25x_0)</f>
        <v>106228</v>
      </c>
      <c r="U105" s="4"/>
      <c r="V105" s="12">
        <f t="shared" ref="V105:V108" si="81">IF(T$12=0,0,T105/T$12)</f>
        <v>6.0514223930200263E-2</v>
      </c>
      <c r="W105" s="4"/>
      <c r="X105" s="4">
        <f t="shared" ref="X105:X108" si="82">+P105-T105</f>
        <v>52274.369999999995</v>
      </c>
      <c r="Y105" s="4"/>
      <c r="Z105" s="12">
        <f t="shared" ref="Z105:Z108" si="83">IF(T105=0,0,X105/T105)</f>
        <v>0.49209596339948031</v>
      </c>
    </row>
    <row r="106" spans="1:26" s="24" customFormat="1" hidden="1" outlineLevel="1" x14ac:dyDescent="0.3">
      <c r="A106" s="44"/>
      <c r="B106" s="11" t="str">
        <f>CONCATENATE("          ", "9150", " - ", "MISC. INCOME")</f>
        <v xml:space="preserve">          9150 - MISC. INCOME</v>
      </c>
      <c r="C106" s="11"/>
      <c r="D106" s="2">
        <f>--32121.75</f>
        <v>32121.75</v>
      </c>
      <c r="E106" s="2"/>
      <c r="F106" s="19">
        <f t="shared" si="76"/>
        <v>0.2151137432312677</v>
      </c>
      <c r="G106" s="2"/>
      <c r="H106" s="2">
        <v>15571</v>
      </c>
      <c r="I106" s="2"/>
      <c r="J106" s="19">
        <f t="shared" si="77"/>
        <v>6.4338189721425673E-2</v>
      </c>
      <c r="K106" s="2"/>
      <c r="L106" s="2">
        <f t="shared" si="78"/>
        <v>16550.75</v>
      </c>
      <c r="M106" s="2"/>
      <c r="N106" s="19">
        <f t="shared" si="79"/>
        <v>1.0629214565538501</v>
      </c>
      <c r="O106" s="11"/>
      <c r="P106" s="2">
        <f>--78726.67</f>
        <v>78726.67</v>
      </c>
      <c r="Q106" s="2"/>
      <c r="R106" s="19">
        <f t="shared" si="80"/>
        <v>3.910439741165922E-2</v>
      </c>
      <c r="S106" s="2"/>
      <c r="T106" s="2">
        <v>47895</v>
      </c>
      <c r="U106" s="2"/>
      <c r="V106" s="19">
        <f t="shared" si="81"/>
        <v>2.7284037684385861E-2</v>
      </c>
      <c r="W106" s="2"/>
      <c r="X106" s="2">
        <f t="shared" si="82"/>
        <v>30831.67</v>
      </c>
      <c r="Y106" s="2"/>
      <c r="Z106" s="19">
        <f t="shared" si="83"/>
        <v>0.6437346278317152</v>
      </c>
    </row>
    <row r="107" spans="1:26" s="24" customFormat="1" hidden="1" outlineLevel="1" x14ac:dyDescent="0.3">
      <c r="A107" s="44"/>
      <c r="B107" s="11" t="str">
        <f>CONCATENATE("          ", "9160", " - ", "MISC. INCOME")</f>
        <v xml:space="preserve">          9160 - MISC. INCOME</v>
      </c>
      <c r="C107" s="11"/>
      <c r="D107" s="2">
        <f>0</f>
        <v>0</v>
      </c>
      <c r="E107" s="2"/>
      <c r="F107" s="19">
        <f t="shared" si="76"/>
        <v>0</v>
      </c>
      <c r="G107" s="2"/>
      <c r="H107" s="2">
        <v>0</v>
      </c>
      <c r="I107" s="2"/>
      <c r="J107" s="19">
        <f t="shared" si="77"/>
        <v>0</v>
      </c>
      <c r="K107" s="2"/>
      <c r="L107" s="2">
        <f t="shared" si="78"/>
        <v>0</v>
      </c>
      <c r="M107" s="2"/>
      <c r="N107" s="19">
        <f t="shared" si="79"/>
        <v>0</v>
      </c>
      <c r="O107" s="11"/>
      <c r="P107" s="2">
        <f>0</f>
        <v>0</v>
      </c>
      <c r="Q107" s="2"/>
      <c r="R107" s="19">
        <f t="shared" si="80"/>
        <v>0</v>
      </c>
      <c r="S107" s="2"/>
      <c r="T107" s="2">
        <v>58333</v>
      </c>
      <c r="U107" s="2"/>
      <c r="V107" s="19">
        <f t="shared" si="81"/>
        <v>3.3230186245814398E-2</v>
      </c>
      <c r="W107" s="2"/>
      <c r="X107" s="2">
        <f t="shared" si="82"/>
        <v>-58333</v>
      </c>
      <c r="Y107" s="2"/>
      <c r="Z107" s="19">
        <f t="shared" si="83"/>
        <v>-1</v>
      </c>
    </row>
    <row r="108" spans="1:26" s="24" customFormat="1" hidden="1" outlineLevel="1" x14ac:dyDescent="0.3">
      <c r="A108" s="44"/>
      <c r="B108" s="11" t="str">
        <f>CONCATENATE("          ", "9163", " - ", "MISC. INCOME")</f>
        <v xml:space="preserve">          9163 - MISC. INCOME</v>
      </c>
      <c r="C108" s="11"/>
      <c r="D108" s="2">
        <f>--7027.5</f>
        <v>7027.5</v>
      </c>
      <c r="E108" s="2"/>
      <c r="F108" s="19">
        <f t="shared" si="76"/>
        <v>4.7061938734898744E-2</v>
      </c>
      <c r="G108" s="2"/>
      <c r="H108" s="2"/>
      <c r="I108" s="2"/>
      <c r="J108" s="19">
        <f t="shared" si="77"/>
        <v>0</v>
      </c>
      <c r="K108" s="2"/>
      <c r="L108" s="2">
        <f t="shared" si="78"/>
        <v>7027.5</v>
      </c>
      <c r="M108" s="2"/>
      <c r="N108" s="19">
        <f t="shared" si="79"/>
        <v>0</v>
      </c>
      <c r="O108" s="11"/>
      <c r="P108" s="2">
        <f>--79775.7</f>
        <v>79775.7</v>
      </c>
      <c r="Q108" s="2"/>
      <c r="R108" s="19">
        <f t="shared" si="80"/>
        <v>3.9625462077759702E-2</v>
      </c>
      <c r="S108" s="2"/>
      <c r="T108" s="2"/>
      <c r="U108" s="2"/>
      <c r="V108" s="19">
        <f t="shared" si="81"/>
        <v>0</v>
      </c>
      <c r="W108" s="2"/>
      <c r="X108" s="2">
        <f t="shared" si="82"/>
        <v>79775.7</v>
      </c>
      <c r="Y108" s="2"/>
      <c r="Z108" s="19">
        <f t="shared" si="83"/>
        <v>0</v>
      </c>
    </row>
    <row r="109" spans="1:26" x14ac:dyDescent="0.3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3">
      <c r="A110" s="10"/>
      <c r="B110" s="26" t="s">
        <v>277</v>
      </c>
      <c r="C110" s="26"/>
      <c r="D110" s="21">
        <f>+D40-D42+D105</f>
        <v>7166.129999999961</v>
      </c>
      <c r="E110" s="13"/>
      <c r="F110" s="22">
        <f>IF(D$12=0,0,D110/D$12)</f>
        <v>4.7990319605310298E-2</v>
      </c>
      <c r="G110" s="13"/>
      <c r="H110" s="21">
        <f>+H40-H42+H105</f>
        <v>32809.530502596142</v>
      </c>
      <c r="I110" s="13"/>
      <c r="J110" s="22">
        <f>IF(H$12=0,0,H110/H$12)</f>
        <v>0.13556648886692785</v>
      </c>
      <c r="K110" s="15"/>
      <c r="L110" s="21">
        <f>+D110-H110</f>
        <v>-25643.400502596181</v>
      </c>
      <c r="M110" s="15"/>
      <c r="N110" s="22">
        <f>IF(H110=0,0,L110/H110)</f>
        <v>-0.78158389071026413</v>
      </c>
      <c r="O110" s="25"/>
      <c r="P110" s="21">
        <f>+P40-P42+P105</f>
        <v>617774.35999999964</v>
      </c>
      <c r="Q110" s="13"/>
      <c r="R110" s="22">
        <f>IF(P$12=0,0,P110/P$12)</f>
        <v>0.30685527641615501</v>
      </c>
      <c r="S110" s="13"/>
      <c r="T110" s="21">
        <f>+T40-T42+T105</f>
        <v>340594.64044009615</v>
      </c>
      <c r="U110" s="13"/>
      <c r="V110" s="22">
        <f>IF(T$12=0,0,T110/T$12)</f>
        <v>0.19402436590181515</v>
      </c>
      <c r="W110" s="15"/>
      <c r="X110" s="21">
        <f>+P110-T110</f>
        <v>277179.71955990349</v>
      </c>
      <c r="Y110" s="15"/>
      <c r="Z110" s="22">
        <f>IF(T110=0,0,X110/T110)</f>
        <v>0.81381116039215518</v>
      </c>
    </row>
    <row r="111" spans="1:26" x14ac:dyDescent="0.3">
      <c r="A111" s="9"/>
      <c r="B111" s="10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3">
      <c r="A112" s="52"/>
      <c r="B112" s="10" t="s">
        <v>128</v>
      </c>
      <c r="C112" s="10"/>
      <c r="D112" s="4">
        <v>42126.36</v>
      </c>
      <c r="E112" s="4"/>
      <c r="F112" s="12">
        <f>IF(D$12=0,0,D112/D$12)</f>
        <v>0.28211286708563349</v>
      </c>
      <c r="G112" s="4"/>
      <c r="H112" s="4">
        <v>24006</v>
      </c>
      <c r="I112" s="4"/>
      <c r="J112" s="12">
        <f>IF(H$12=0,0,H112/H$12)</f>
        <v>9.9190969266748752E-2</v>
      </c>
      <c r="K112" s="4"/>
      <c r="L112" s="4">
        <f>+D112-H112</f>
        <v>18120.36</v>
      </c>
      <c r="M112" s="4"/>
      <c r="N112" s="12">
        <f>IF(H112=0,0,L112/H112)</f>
        <v>0.75482629342664331</v>
      </c>
      <c r="O112" s="10"/>
      <c r="P112" s="4">
        <v>266487.77</v>
      </c>
      <c r="Q112" s="4"/>
      <c r="R112" s="12">
        <f>IF(P$12=0,0,P112/P$12)</f>
        <v>0.13236738786775612</v>
      </c>
      <c r="S112" s="4"/>
      <c r="T112" s="4">
        <v>219948</v>
      </c>
      <c r="U112" s="4"/>
      <c r="V112" s="12">
        <f>IF(T$12=0,0,T112/T$12)</f>
        <v>0.12529636748314651</v>
      </c>
      <c r="W112" s="4"/>
      <c r="X112" s="4">
        <f>+P112-T112</f>
        <v>46539.770000000019</v>
      </c>
      <c r="Y112" s="4"/>
      <c r="Z112" s="12">
        <f>IF(T112=0,0,X112/T112)</f>
        <v>0.21159442231800252</v>
      </c>
    </row>
    <row r="113" spans="1:26" x14ac:dyDescent="0.3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" thickBot="1" x14ac:dyDescent="0.35">
      <c r="A114" s="10"/>
      <c r="B114" s="26" t="s">
        <v>126</v>
      </c>
      <c r="C114" s="26"/>
      <c r="D114" s="32">
        <f>+D110-D112</f>
        <v>-34960.23000000004</v>
      </c>
      <c r="E114" s="13"/>
      <c r="F114" s="31">
        <f>IF(D$12=0,0,D114/D$12)</f>
        <v>-0.23412254748032316</v>
      </c>
      <c r="G114" s="13"/>
      <c r="H114" s="32">
        <f>+H110-H112</f>
        <v>8803.5305025961425</v>
      </c>
      <c r="I114" s="13"/>
      <c r="J114" s="31">
        <f>IF(H$12=0,0,H114/H$12)</f>
        <v>3.6375519600179089E-2</v>
      </c>
      <c r="K114" s="15"/>
      <c r="L114" s="32">
        <f>D114-H114</f>
        <v>-43763.760502596182</v>
      </c>
      <c r="M114" s="15"/>
      <c r="N114" s="31">
        <f>IF(H114=0,0,L114/H114)</f>
        <v>-4.9711602055209942</v>
      </c>
      <c r="O114" s="25"/>
      <c r="P114" s="32">
        <f>+P110-P112</f>
        <v>351286.58999999962</v>
      </c>
      <c r="Q114" s="13"/>
      <c r="R114" s="31">
        <f>IF(P$12=0,0,P114/P$12)</f>
        <v>0.17448788854839892</v>
      </c>
      <c r="S114" s="13"/>
      <c r="T114" s="32">
        <f>+T110-T112</f>
        <v>120646.64044009615</v>
      </c>
      <c r="U114" s="13"/>
      <c r="V114" s="31">
        <f>IF(T$12=0,0,T114/T$12)</f>
        <v>6.872799841866864E-2</v>
      </c>
      <c r="W114" s="15"/>
      <c r="X114" s="32">
        <f>P114-T114</f>
        <v>230639.94955990347</v>
      </c>
      <c r="Y114" s="15"/>
      <c r="Z114" s="31">
        <f>IF(T114=0,0,X114/T114)</f>
        <v>1.9116980689936538</v>
      </c>
    </row>
    <row r="115" spans="1:26" ht="15" thickTop="1" x14ac:dyDescent="0.3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x14ac:dyDescent="0.3">
      <c r="A116" s="9"/>
      <c r="B116" s="9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ht="15" thickBot="1" x14ac:dyDescent="0.35">
      <c r="A117" s="10"/>
      <c r="B117" s="26" t="s">
        <v>294</v>
      </c>
      <c r="C117" s="26"/>
      <c r="D117" s="34">
        <f>SUM(D114:D116)</f>
        <v>-34960.23000000004</v>
      </c>
      <c r="E117" s="13"/>
      <c r="F117" s="35">
        <f>IF(D$12=0,0,D117/D$12)</f>
        <v>-0.23412254748032316</v>
      </c>
      <c r="G117" s="13"/>
      <c r="H117" s="34">
        <f>SUM(H114:H116)</f>
        <v>8803.5305025961425</v>
      </c>
      <c r="I117" s="13"/>
      <c r="J117" s="35">
        <f>IF(H$12=0,0,H117/H$12)</f>
        <v>3.6375519600179089E-2</v>
      </c>
      <c r="K117" s="15"/>
      <c r="L117" s="34">
        <f>+D117-H117</f>
        <v>-43763.760502596182</v>
      </c>
      <c r="M117" s="15"/>
      <c r="N117" s="35">
        <f>IF(H117=0,0,L117/H117)</f>
        <v>-4.9711602055209942</v>
      </c>
      <c r="O117" s="25"/>
      <c r="P117" s="34">
        <f>SUM(P114:P116)</f>
        <v>351286.58999999962</v>
      </c>
      <c r="Q117" s="13"/>
      <c r="R117" s="35">
        <f>IF(P$12=0,0,P117/P$12)</f>
        <v>0.17448788854839892</v>
      </c>
      <c r="S117" s="13"/>
      <c r="T117" s="34">
        <f>SUM(T114:T116)</f>
        <v>120646.64044009615</v>
      </c>
      <c r="U117" s="13"/>
      <c r="V117" s="35">
        <f>IF(T$12=0,0,T117/T$12)</f>
        <v>6.872799841866864E-2</v>
      </c>
      <c r="W117" s="15"/>
      <c r="X117" s="34">
        <f>+P117-T117</f>
        <v>230639.94955990347</v>
      </c>
      <c r="Y117" s="15"/>
      <c r="Z117" s="35">
        <f>IF(T117=0,0,X117/T117)</f>
        <v>1.9116980689936538</v>
      </c>
    </row>
    <row r="118" spans="1:26" ht="15" thickTop="1" x14ac:dyDescent="0.3">
      <c r="A118" s="9"/>
      <c r="C118" s="9"/>
      <c r="D118" s="17"/>
      <c r="E118" s="17"/>
      <c r="G118" s="17"/>
      <c r="H118" s="17"/>
      <c r="I118" s="17"/>
      <c r="J118" s="43"/>
      <c r="K118" s="17"/>
      <c r="L118" s="17"/>
      <c r="M118" s="17"/>
      <c r="P118" s="17"/>
      <c r="Q118" s="17"/>
      <c r="R118" s="43"/>
      <c r="S118" s="17"/>
      <c r="T118" s="17"/>
      <c r="U118" s="17"/>
      <c r="V118" s="43"/>
      <c r="W118" s="17"/>
      <c r="X118" s="17"/>
    </row>
    <row r="119" spans="1:26" x14ac:dyDescent="0.3">
      <c r="A119" s="9"/>
      <c r="B119" s="53">
        <v>44604.019995405091</v>
      </c>
      <c r="D119" s="17"/>
      <c r="E119" s="17"/>
      <c r="G119" s="17"/>
      <c r="H119" s="17"/>
      <c r="I119" s="17"/>
      <c r="J119" s="43"/>
      <c r="K119" s="17"/>
      <c r="L119" s="17"/>
      <c r="M119" s="17"/>
      <c r="P119" s="17"/>
      <c r="Q119" s="17"/>
      <c r="R119" s="43"/>
      <c r="S119" s="17"/>
      <c r="T119" s="17"/>
      <c r="U119" s="17"/>
      <c r="V119" s="43"/>
      <c r="W119" s="17"/>
      <c r="X119" s="17"/>
    </row>
    <row r="120" spans="1:26" x14ac:dyDescent="0.3">
      <c r="A120" s="9"/>
      <c r="B120" s="63" t="s">
        <v>56</v>
      </c>
      <c r="D120" s="17"/>
      <c r="E120" s="17"/>
      <c r="G120" s="17"/>
      <c r="H120" s="17"/>
      <c r="I120" s="17"/>
      <c r="J120" s="43"/>
      <c r="K120" s="17"/>
      <c r="L120" s="17"/>
      <c r="M120" s="17"/>
      <c r="P120" s="17"/>
      <c r="Q120" s="17"/>
      <c r="R120" s="43"/>
      <c r="S120" s="17"/>
      <c r="T120" s="17"/>
      <c r="U120" s="17"/>
      <c r="V120" s="43"/>
      <c r="W120" s="17"/>
      <c r="X120" s="17"/>
    </row>
    <row r="121" spans="1:26" x14ac:dyDescent="0.3">
      <c r="A121" s="9"/>
      <c r="B121" s="58"/>
      <c r="D121" s="17"/>
      <c r="E121" s="17"/>
      <c r="G121" s="17"/>
      <c r="H121" s="17"/>
      <c r="I121" s="17"/>
      <c r="J121" s="43"/>
      <c r="K121" s="17"/>
      <c r="L121" s="17"/>
      <c r="M121" s="17"/>
      <c r="P121" s="17"/>
      <c r="Q121" s="17"/>
      <c r="R121" s="43"/>
      <c r="S121" s="17"/>
      <c r="T121" s="17"/>
      <c r="U121" s="17"/>
      <c r="V121" s="43"/>
      <c r="W121" s="17"/>
      <c r="X121" s="17"/>
    </row>
    <row r="122" spans="1:26" x14ac:dyDescent="0.3">
      <c r="D122" s="17"/>
      <c r="E122" s="17"/>
      <c r="G122" s="17"/>
      <c r="H122" s="17"/>
      <c r="I122" s="17"/>
      <c r="J122" s="43"/>
      <c r="K122" s="17"/>
      <c r="L122" s="17"/>
      <c r="M122" s="17"/>
      <c r="P122" s="17"/>
      <c r="Q122" s="17"/>
      <c r="R122" s="43"/>
      <c r="S122" s="17"/>
      <c r="T122" s="17"/>
      <c r="U122" s="17"/>
      <c r="V122" s="43"/>
      <c r="W122" s="17"/>
      <c r="X122" s="17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","326", " - ", "2nd Street Store")</f>
        <v>Department 326 - 2nd Street Store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26591.43</v>
      </c>
      <c r="E12" s="4"/>
      <c r="F12" s="12"/>
      <c r="G12" s="4"/>
      <c r="H12" s="4">
        <f>SUM(OSRRefH13x_0)</f>
        <v>22087</v>
      </c>
      <c r="I12" s="4"/>
      <c r="J12" s="12"/>
      <c r="K12" s="4"/>
      <c r="L12" s="4">
        <f t="shared" ref="L12:L16" si="0">+D12-H12</f>
        <v>4504.43</v>
      </c>
      <c r="M12" s="4"/>
      <c r="N12" s="12">
        <f t="shared" ref="N12:N16" si="1">IF(H12=0,0,L12/H12)</f>
        <v>0.20394032688912031</v>
      </c>
      <c r="O12" s="10"/>
      <c r="P12" s="4">
        <f>SUM(OSRRefP13x_0)</f>
        <v>231306.01</v>
      </c>
      <c r="Q12" s="4"/>
      <c r="R12" s="12"/>
      <c r="S12" s="4"/>
      <c r="T12" s="4">
        <f>SUM(OSRRefT13x_0)</f>
        <v>190606</v>
      </c>
      <c r="U12" s="4"/>
      <c r="V12" s="12"/>
      <c r="W12" s="4"/>
      <c r="X12" s="4">
        <f t="shared" ref="X12:X16" si="2">+P12-T12</f>
        <v>40700.010000000009</v>
      </c>
      <c r="Y12" s="4"/>
      <c r="Z12" s="12">
        <f t="shared" ref="Z12:Z16" si="3">IF(T12=0,0,X12/T12)</f>
        <v>0.21352953212385764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--29822.98</f>
        <v>29822.98</v>
      </c>
      <c r="E13" s="2"/>
      <c r="F13" s="19"/>
      <c r="G13" s="2"/>
      <c r="H13" s="2">
        <v>22087</v>
      </c>
      <c r="I13" s="2"/>
      <c r="J13" s="19"/>
      <c r="K13" s="2"/>
      <c r="L13" s="2">
        <f t="shared" si="0"/>
        <v>7735.98</v>
      </c>
      <c r="M13" s="2"/>
      <c r="N13" s="19">
        <f t="shared" si="1"/>
        <v>0.35025037352288674</v>
      </c>
      <c r="O13" s="11"/>
      <c r="P13" s="2">
        <f>--245847.65</f>
        <v>245847.65</v>
      </c>
      <c r="Q13" s="2"/>
      <c r="R13" s="19"/>
      <c r="S13" s="2"/>
      <c r="T13" s="2">
        <v>190606</v>
      </c>
      <c r="U13" s="2"/>
      <c r="V13" s="19"/>
      <c r="W13" s="2"/>
      <c r="X13" s="2">
        <f t="shared" si="2"/>
        <v>55241.649999999994</v>
      </c>
      <c r="Y13" s="2"/>
      <c r="Z13" s="19">
        <f t="shared" si="3"/>
        <v>0.28982114938669296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--1.64</f>
        <v>1.64</v>
      </c>
      <c r="E14" s="2"/>
      <c r="F14" s="19"/>
      <c r="G14" s="2"/>
      <c r="H14" s="2"/>
      <c r="I14" s="2"/>
      <c r="J14" s="19"/>
      <c r="K14" s="2"/>
      <c r="L14" s="2">
        <f t="shared" si="0"/>
        <v>1.64</v>
      </c>
      <c r="M14" s="2"/>
      <c r="N14" s="19">
        <f t="shared" si="1"/>
        <v>0</v>
      </c>
      <c r="O14" s="11"/>
      <c r="P14" s="2">
        <f>--154.79</f>
        <v>154.79</v>
      </c>
      <c r="Q14" s="2"/>
      <c r="R14" s="19"/>
      <c r="S14" s="2"/>
      <c r="T14" s="2"/>
      <c r="U14" s="2"/>
      <c r="V14" s="19"/>
      <c r="W14" s="2"/>
      <c r="X14" s="2">
        <f t="shared" si="2"/>
        <v>154.79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-2734.35</f>
        <v>-2734.35</v>
      </c>
      <c r="E15" s="2"/>
      <c r="F15" s="19"/>
      <c r="G15" s="2"/>
      <c r="H15" s="2"/>
      <c r="I15" s="2"/>
      <c r="J15" s="19"/>
      <c r="K15" s="2"/>
      <c r="L15" s="2">
        <f t="shared" si="0"/>
        <v>-2734.35</v>
      </c>
      <c r="M15" s="2"/>
      <c r="N15" s="19">
        <f t="shared" si="1"/>
        <v>0</v>
      </c>
      <c r="O15" s="11"/>
      <c r="P15" s="2">
        <f>-9513.83</f>
        <v>-9513.83</v>
      </c>
      <c r="Q15" s="2"/>
      <c r="R15" s="19"/>
      <c r="S15" s="2"/>
      <c r="T15" s="2"/>
      <c r="U15" s="2"/>
      <c r="V15" s="19"/>
      <c r="W15" s="2"/>
      <c r="X15" s="2">
        <f t="shared" si="2"/>
        <v>-9513.83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"4500", " - ", "SALES DISCOUNT")</f>
        <v xml:space="preserve">          4500 - SALES DISCOUNT</v>
      </c>
      <c r="C16" s="11"/>
      <c r="D16" s="2">
        <f>-498.84</f>
        <v>-498.84</v>
      </c>
      <c r="E16" s="2"/>
      <c r="F16" s="19"/>
      <c r="G16" s="2"/>
      <c r="H16" s="2"/>
      <c r="I16" s="2"/>
      <c r="J16" s="19"/>
      <c r="K16" s="2"/>
      <c r="L16" s="2">
        <f t="shared" si="0"/>
        <v>-498.84</v>
      </c>
      <c r="M16" s="2"/>
      <c r="N16" s="19">
        <f t="shared" si="1"/>
        <v>0</v>
      </c>
      <c r="O16" s="11"/>
      <c r="P16" s="2">
        <f>-5182.6</f>
        <v>-5182.6000000000004</v>
      </c>
      <c r="Q16" s="2"/>
      <c r="R16" s="19"/>
      <c r="S16" s="2"/>
      <c r="T16" s="2"/>
      <c r="U16" s="2"/>
      <c r="V16" s="19"/>
      <c r="W16" s="2"/>
      <c r="X16" s="2">
        <f t="shared" si="2"/>
        <v>-5182.6000000000004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11016.64</v>
      </c>
      <c r="E18" s="4"/>
      <c r="F18" s="12">
        <f t="shared" ref="F18:F22" si="4">IF(D$12=0,0,D18/D$12)</f>
        <v>0.41429287556178812</v>
      </c>
      <c r="G18" s="4"/>
      <c r="H18" s="4">
        <f>SUM(OSRRefH16x_0)</f>
        <v>9939</v>
      </c>
      <c r="I18" s="4"/>
      <c r="J18" s="12">
        <f t="shared" ref="J18:J22" si="5">IF(H$12=0,0,H18/H$12)</f>
        <v>0.44999320867478609</v>
      </c>
      <c r="K18" s="4"/>
      <c r="L18" s="4">
        <f t="shared" ref="L18:L22" si="6">+D18-H18</f>
        <v>1077.6399999999994</v>
      </c>
      <c r="M18" s="4"/>
      <c r="N18" s="12">
        <f t="shared" ref="N18:N22" si="7">IF(H18=0,0,L18/H18)</f>
        <v>0.1084253949089445</v>
      </c>
      <c r="O18" s="10"/>
      <c r="P18" s="4">
        <f>SUM(OSRRefP16x_0)</f>
        <v>107780.31</v>
      </c>
      <c r="Q18" s="4"/>
      <c r="R18" s="12">
        <f t="shared" ref="R18:R22" si="8">IF(P$12=0,0,P18/P$12)</f>
        <v>0.46596415717862233</v>
      </c>
      <c r="S18" s="4"/>
      <c r="T18" s="4">
        <f>SUM(OSRRefT16x_0)</f>
        <v>85774</v>
      </c>
      <c r="U18" s="4"/>
      <c r="V18" s="12">
        <f t="shared" ref="V18:V22" si="9">IF(T$12=0,0,T18/T$12)</f>
        <v>0.45000682035193018</v>
      </c>
      <c r="W18" s="4"/>
      <c r="X18" s="4">
        <f t="shared" ref="X18:X22" si="10">+P18-T18</f>
        <v>22006.309999999998</v>
      </c>
      <c r="Y18" s="4"/>
      <c r="Z18" s="12">
        <f t="shared" ref="Z18:Z22" si="11">IF(T18=0,0,X18/T18)</f>
        <v>0.25656154545666515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>
        <v>3707.6</v>
      </c>
      <c r="E19" s="2"/>
      <c r="F19" s="19">
        <f t="shared" si="4"/>
        <v>0.13942837974490277</v>
      </c>
      <c r="G19" s="2"/>
      <c r="H19" s="2">
        <v>9939</v>
      </c>
      <c r="I19" s="2"/>
      <c r="J19" s="19">
        <f t="shared" si="5"/>
        <v>0.44999320867478609</v>
      </c>
      <c r="K19" s="2"/>
      <c r="L19" s="2">
        <f t="shared" si="6"/>
        <v>-6231.4</v>
      </c>
      <c r="M19" s="2"/>
      <c r="N19" s="19">
        <f t="shared" si="7"/>
        <v>-0.62696448334842536</v>
      </c>
      <c r="O19" s="11"/>
      <c r="P19" s="2">
        <v>5388.9</v>
      </c>
      <c r="Q19" s="2"/>
      <c r="R19" s="19">
        <f t="shared" si="8"/>
        <v>2.3297708520414146E-2</v>
      </c>
      <c r="S19" s="2"/>
      <c r="T19" s="2">
        <v>85774</v>
      </c>
      <c r="U19" s="2"/>
      <c r="V19" s="19">
        <f t="shared" si="9"/>
        <v>0.45000682035193018</v>
      </c>
      <c r="W19" s="2"/>
      <c r="X19" s="2">
        <f t="shared" si="10"/>
        <v>-80385.100000000006</v>
      </c>
      <c r="Y19" s="2"/>
      <c r="Z19" s="19">
        <f t="shared" si="11"/>
        <v>-0.93717326928906197</v>
      </c>
    </row>
    <row r="20" spans="1:26" s="24" customFormat="1" hidden="1" outlineLevel="1" x14ac:dyDescent="0.3">
      <c r="A20" s="44"/>
      <c r="B20" s="11" t="str">
        <f>CONCATENATE("          ", "5200", " - ", "PURCHASES OFFSET")</f>
        <v xml:space="preserve">          5200 - PURCHASES OFFSET</v>
      </c>
      <c r="C20" s="11"/>
      <c r="D20" s="2">
        <v>-3707.6</v>
      </c>
      <c r="E20" s="2"/>
      <c r="F20" s="19">
        <f t="shared" si="4"/>
        <v>-0.13942837974490277</v>
      </c>
      <c r="G20" s="2"/>
      <c r="H20" s="2"/>
      <c r="I20" s="2"/>
      <c r="J20" s="19">
        <f t="shared" si="5"/>
        <v>0</v>
      </c>
      <c r="K20" s="2"/>
      <c r="L20" s="2">
        <f t="shared" si="6"/>
        <v>-3707.6</v>
      </c>
      <c r="M20" s="2"/>
      <c r="N20" s="19">
        <f t="shared" si="7"/>
        <v>0</v>
      </c>
      <c r="O20" s="11"/>
      <c r="P20" s="2">
        <v>-5481.89</v>
      </c>
      <c r="Q20" s="2"/>
      <c r="R20" s="19">
        <f t="shared" si="8"/>
        <v>-2.3699730067541263E-2</v>
      </c>
      <c r="S20" s="2"/>
      <c r="T20" s="2"/>
      <c r="U20" s="2"/>
      <c r="V20" s="19">
        <f t="shared" si="9"/>
        <v>0</v>
      </c>
      <c r="W20" s="2"/>
      <c r="X20" s="2">
        <f t="shared" si="10"/>
        <v>-5481.89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"5300", " - ", "COG$ OFFSET")</f>
        <v xml:space="preserve">          5300 - COG$ OFFSET</v>
      </c>
      <c r="C21" s="11"/>
      <c r="D21" s="2">
        <v>11016.64</v>
      </c>
      <c r="E21" s="2"/>
      <c r="F21" s="19">
        <f t="shared" si="4"/>
        <v>0.41429287556178812</v>
      </c>
      <c r="G21" s="2"/>
      <c r="H21" s="2"/>
      <c r="I21" s="2"/>
      <c r="J21" s="19">
        <f t="shared" si="5"/>
        <v>0</v>
      </c>
      <c r="K21" s="2"/>
      <c r="L21" s="2">
        <f t="shared" si="6"/>
        <v>11016.64</v>
      </c>
      <c r="M21" s="2"/>
      <c r="N21" s="19">
        <f t="shared" si="7"/>
        <v>0</v>
      </c>
      <c r="O21" s="11"/>
      <c r="P21" s="2">
        <v>107780.31</v>
      </c>
      <c r="Q21" s="2"/>
      <c r="R21" s="19">
        <f t="shared" si="8"/>
        <v>0.46596415717862233</v>
      </c>
      <c r="S21" s="2"/>
      <c r="T21" s="2"/>
      <c r="U21" s="2"/>
      <c r="V21" s="19">
        <f t="shared" si="9"/>
        <v>0</v>
      </c>
      <c r="W21" s="2"/>
      <c r="X21" s="2">
        <f t="shared" si="10"/>
        <v>107780.31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"5500", " - ", "FREIGHT-IN")</f>
        <v xml:space="preserve">          5500 - FREIGHT-IN</v>
      </c>
      <c r="C22" s="11"/>
      <c r="D22" s="2"/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92.99</v>
      </c>
      <c r="Q22" s="2"/>
      <c r="R22" s="19">
        <f t="shared" si="8"/>
        <v>4.0202154712711523E-4</v>
      </c>
      <c r="S22" s="2"/>
      <c r="T22" s="2"/>
      <c r="U22" s="2"/>
      <c r="V22" s="19">
        <f t="shared" si="9"/>
        <v>0</v>
      </c>
      <c r="W22" s="2"/>
      <c r="X22" s="2">
        <f t="shared" si="10"/>
        <v>92.99</v>
      </c>
      <c r="Y22" s="2"/>
      <c r="Z22" s="19">
        <f t="shared" si="11"/>
        <v>0</v>
      </c>
    </row>
    <row r="23" spans="1:26" x14ac:dyDescent="0.3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">
      <c r="A24" s="10"/>
      <c r="B24" s="26" t="s">
        <v>108</v>
      </c>
      <c r="C24" s="26"/>
      <c r="D24" s="21">
        <f>D12-D18</f>
        <v>15574.79</v>
      </c>
      <c r="E24" s="13"/>
      <c r="F24" s="22">
        <f>IF(D$12=0,0,D24/D$12)</f>
        <v>0.58570712443821193</v>
      </c>
      <c r="G24" s="13"/>
      <c r="H24" s="21">
        <f>H12-H18</f>
        <v>12148</v>
      </c>
      <c r="I24" s="13"/>
      <c r="J24" s="22">
        <f>IF(H$12=0,0,H24/H$12)</f>
        <v>0.55000679132521391</v>
      </c>
      <c r="K24" s="15"/>
      <c r="L24" s="21">
        <f>+D24-H24</f>
        <v>3426.7900000000009</v>
      </c>
      <c r="M24" s="15"/>
      <c r="N24" s="22">
        <f>IF(H24=0,0,L24/H24)</f>
        <v>0.28208676325321047</v>
      </c>
      <c r="O24" s="25"/>
      <c r="P24" s="21">
        <f>P12-P18</f>
        <v>123525.70000000001</v>
      </c>
      <c r="Q24" s="13"/>
      <c r="R24" s="22">
        <f>IF(P$12=0,0,P24/P$12)</f>
        <v>0.53403584282137762</v>
      </c>
      <c r="S24" s="13"/>
      <c r="T24" s="21">
        <f>T12-T18</f>
        <v>104832</v>
      </c>
      <c r="U24" s="13"/>
      <c r="V24" s="22">
        <f>IF(T$12=0,0,T24/T$12)</f>
        <v>0.54999317964806982</v>
      </c>
      <c r="W24" s="15"/>
      <c r="X24" s="21">
        <f>+P24-T24</f>
        <v>18693.700000000012</v>
      </c>
      <c r="Y24" s="15"/>
      <c r="Z24" s="22">
        <f>IF(T24=0,0,X24/T24)</f>
        <v>0.17832055097680108</v>
      </c>
    </row>
    <row r="25" spans="1:26" x14ac:dyDescent="0.3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3">
      <c r="A26" s="10"/>
      <c r="B26" s="25" t="s">
        <v>295</v>
      </c>
      <c r="C26" s="10"/>
      <c r="D26" s="20">
        <f>SUM(OSRRefD22x_0)</f>
        <v>18709.120000000003</v>
      </c>
      <c r="E26" s="20"/>
      <c r="F26" s="33">
        <f t="shared" ref="F26:F36" si="12">IF(D$12=0,0,D26/D$12)</f>
        <v>0.70357705471274024</v>
      </c>
      <c r="G26" s="20"/>
      <c r="H26" s="20">
        <f>SUM(OSRRefH22x_0)</f>
        <v>23803.408929961544</v>
      </c>
      <c r="I26" s="20"/>
      <c r="J26" s="33">
        <f t="shared" ref="J26:J36" si="13">IF(H$12=0,0,H26/H$12)</f>
        <v>1.0777112749563791</v>
      </c>
      <c r="K26" s="4"/>
      <c r="L26" s="20">
        <f t="shared" ref="L26:L36" si="14">+D26-H26</f>
        <v>-5094.2889299615417</v>
      </c>
      <c r="M26" s="4"/>
      <c r="N26" s="33">
        <f t="shared" ref="N26:N36" si="15">IF(H26=0,0,L26/H26)</f>
        <v>-0.21401509947381187</v>
      </c>
      <c r="O26" s="10"/>
      <c r="P26" s="20">
        <f>SUM(OSRRefP22x_0)</f>
        <v>122005.26000000002</v>
      </c>
      <c r="Q26" s="20"/>
      <c r="R26" s="33">
        <f t="shared" ref="R26:R36" si="16">IF(P$12=0,0,P26/P$12)</f>
        <v>0.52746255923051899</v>
      </c>
      <c r="S26" s="20"/>
      <c r="T26" s="20">
        <f>SUM(OSRRefT22x_0)</f>
        <v>155995.50259996153</v>
      </c>
      <c r="U26" s="20"/>
      <c r="V26" s="33">
        <f t="shared" ref="V26:V36" si="17">IF(T$12=0,0,T26/T$12)</f>
        <v>0.81841863634912615</v>
      </c>
      <c r="W26" s="4"/>
      <c r="X26" s="20">
        <f t="shared" ref="X26:X36" si="18">+P26-T26</f>
        <v>-33990.242599961508</v>
      </c>
      <c r="Y26" s="4"/>
      <c r="Z26" s="33">
        <f t="shared" ref="Z26:Z36" si="19">IF(T26=0,0,X26/T26)</f>
        <v>-0.21789245224028586</v>
      </c>
    </row>
    <row r="27" spans="1:26" s="28" customFormat="1" outlineLevel="1" collapsed="1" x14ac:dyDescent="0.3">
      <c r="A27" s="29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SUM(OSRRefD22_0x_0)</f>
        <v>1276.6499999999999</v>
      </c>
      <c r="E27" s="1"/>
      <c r="F27" s="5">
        <f t="shared" si="12"/>
        <v>4.8009828730534609E-2</v>
      </c>
      <c r="G27" s="1"/>
      <c r="H27" s="1">
        <f>SUM(OSRRefH22_0x_0)</f>
        <v>2932.8643145769224</v>
      </c>
      <c r="I27" s="1"/>
      <c r="J27" s="5">
        <f t="shared" si="13"/>
        <v>0.13278690245741487</v>
      </c>
      <c r="K27" s="1"/>
      <c r="L27" s="1">
        <f t="shared" si="14"/>
        <v>-1656.2143145769226</v>
      </c>
      <c r="M27" s="1"/>
      <c r="N27" s="5">
        <f t="shared" si="15"/>
        <v>-0.56470880918193389</v>
      </c>
      <c r="O27" s="14"/>
      <c r="P27" s="1">
        <f>SUM(OSRRefP22_0x_0)</f>
        <v>8868.119999999999</v>
      </c>
      <c r="Q27" s="1"/>
      <c r="R27" s="5">
        <f t="shared" si="16"/>
        <v>3.8339341031389536E-2</v>
      </c>
      <c r="S27" s="1"/>
      <c r="T27" s="1">
        <f>SUM(OSRRefT22_0x_0)</f>
        <v>19320.382984576925</v>
      </c>
      <c r="U27" s="1"/>
      <c r="V27" s="5">
        <f t="shared" si="17"/>
        <v>0.10136293183098603</v>
      </c>
      <c r="W27" s="1"/>
      <c r="X27" s="1">
        <f t="shared" si="18"/>
        <v>-10452.262984576926</v>
      </c>
      <c r="Y27" s="1"/>
      <c r="Z27" s="5">
        <f t="shared" si="19"/>
        <v>-0.54099667656281758</v>
      </c>
    </row>
    <row r="28" spans="1:26" s="24" customFormat="1" hidden="1" outlineLevel="2" x14ac:dyDescent="0.3">
      <c r="A28" s="27"/>
      <c r="B28" s="11" t="str">
        <f>CONCATENATE("          ", "6111", " - ", "F.I.C.A.")</f>
        <v xml:space="preserve">          6111 - F.I.C.A.</v>
      </c>
      <c r="C28" s="11"/>
      <c r="D28" s="7">
        <v>202.76</v>
      </c>
      <c r="E28" s="2"/>
      <c r="F28" s="6">
        <f t="shared" si="12"/>
        <v>7.6250130211124407E-3</v>
      </c>
      <c r="G28" s="2"/>
      <c r="H28" s="7">
        <v>740.25276121153797</v>
      </c>
      <c r="I28" s="2"/>
      <c r="J28" s="6">
        <f t="shared" si="13"/>
        <v>3.3515314945965408E-2</v>
      </c>
      <c r="K28" s="2"/>
      <c r="L28" s="7">
        <f t="shared" si="14"/>
        <v>-537.49276121153798</v>
      </c>
      <c r="M28" s="2"/>
      <c r="N28" s="6">
        <f t="shared" si="15"/>
        <v>-0.7260935580055764</v>
      </c>
      <c r="O28" s="11"/>
      <c r="P28" s="7">
        <v>1847.29</v>
      </c>
      <c r="Q28" s="2"/>
      <c r="R28" s="6">
        <f t="shared" si="16"/>
        <v>7.9863467447300659E-3</v>
      </c>
      <c r="S28" s="2"/>
      <c r="T28" s="7">
        <v>4955.2573062115398</v>
      </c>
      <c r="U28" s="2"/>
      <c r="V28" s="6">
        <f t="shared" si="17"/>
        <v>2.5997383640659476E-2</v>
      </c>
      <c r="W28" s="2"/>
      <c r="X28" s="7">
        <f t="shared" si="18"/>
        <v>-3107.9673062115398</v>
      </c>
      <c r="Y28" s="2"/>
      <c r="Z28" s="6">
        <f t="shared" si="19"/>
        <v>-0.62720603878947412</v>
      </c>
    </row>
    <row r="29" spans="1:26" s="24" customFormat="1" hidden="1" outlineLevel="2" x14ac:dyDescent="0.3">
      <c r="A29" s="27"/>
      <c r="B29" s="11" t="str">
        <f>CONCATENATE("          ", "6112", " - ", "COMPENSATION INSURANCE")</f>
        <v xml:space="preserve">          6112 - COMPENSATION INSURANCE</v>
      </c>
      <c r="C29" s="11"/>
      <c r="D29" s="7">
        <v>49.84</v>
      </c>
      <c r="E29" s="2"/>
      <c r="F29" s="6">
        <f t="shared" si="12"/>
        <v>1.8742880695020916E-3</v>
      </c>
      <c r="G29" s="2"/>
      <c r="H29" s="7">
        <v>197.27722499999999</v>
      </c>
      <c r="I29" s="2"/>
      <c r="J29" s="6">
        <f t="shared" si="13"/>
        <v>8.9318252818399967E-3</v>
      </c>
      <c r="K29" s="2"/>
      <c r="L29" s="7">
        <f t="shared" si="14"/>
        <v>-147.43722499999998</v>
      </c>
      <c r="M29" s="2"/>
      <c r="N29" s="6">
        <f t="shared" si="15"/>
        <v>-0.74736059877160166</v>
      </c>
      <c r="O29" s="11"/>
      <c r="P29" s="7">
        <v>363.83</v>
      </c>
      <c r="Q29" s="2"/>
      <c r="R29" s="6">
        <f t="shared" si="16"/>
        <v>1.5729379448463096E-3</v>
      </c>
      <c r="S29" s="2"/>
      <c r="T29" s="7">
        <v>1218.082725</v>
      </c>
      <c r="U29" s="2"/>
      <c r="V29" s="6">
        <f t="shared" si="17"/>
        <v>6.3905791265752385E-3</v>
      </c>
      <c r="W29" s="2"/>
      <c r="X29" s="7">
        <f t="shared" si="18"/>
        <v>-854.25272500000005</v>
      </c>
      <c r="Y29" s="2"/>
      <c r="Z29" s="6">
        <f t="shared" si="19"/>
        <v>-0.70130928504876389</v>
      </c>
    </row>
    <row r="30" spans="1:26" s="24" customFormat="1" hidden="1" outlineLevel="2" x14ac:dyDescent="0.3">
      <c r="A30" s="27"/>
      <c r="B30" s="11" t="str">
        <f>CONCATENATE("          ", "6113", " - ", "GROUP INSURANCE")</f>
        <v xml:space="preserve">          6113 - GROUP INSURANCE</v>
      </c>
      <c r="C30" s="11"/>
      <c r="D30" s="7">
        <v>487.33</v>
      </c>
      <c r="E30" s="2"/>
      <c r="F30" s="6">
        <f t="shared" si="12"/>
        <v>1.8326581157914409E-2</v>
      </c>
      <c r="G30" s="2"/>
      <c r="H30" s="7">
        <v>988.5</v>
      </c>
      <c r="I30" s="2"/>
      <c r="J30" s="6">
        <f t="shared" si="13"/>
        <v>4.4754833159777248E-2</v>
      </c>
      <c r="K30" s="2"/>
      <c r="L30" s="7">
        <f t="shared" si="14"/>
        <v>-501.17</v>
      </c>
      <c r="M30" s="2"/>
      <c r="N30" s="6">
        <f t="shared" si="15"/>
        <v>-0.50700050581689426</v>
      </c>
      <c r="O30" s="11"/>
      <c r="P30" s="7">
        <v>3658.78</v>
      </c>
      <c r="Q30" s="2"/>
      <c r="R30" s="6">
        <f t="shared" si="16"/>
        <v>1.5817920165584975E-2</v>
      </c>
      <c r="S30" s="2"/>
      <c r="T30" s="7">
        <v>6919.5</v>
      </c>
      <c r="U30" s="2"/>
      <c r="V30" s="6">
        <f t="shared" si="17"/>
        <v>3.6302634754414864E-2</v>
      </c>
      <c r="W30" s="2"/>
      <c r="X30" s="7">
        <f t="shared" si="18"/>
        <v>-3260.72</v>
      </c>
      <c r="Y30" s="2"/>
      <c r="Z30" s="6">
        <f t="shared" si="19"/>
        <v>-0.47123636100874339</v>
      </c>
    </row>
    <row r="31" spans="1:26" s="24" customFormat="1" hidden="1" outlineLevel="2" x14ac:dyDescent="0.3">
      <c r="A31" s="27"/>
      <c r="B31" s="11" t="str">
        <f>CONCATENATE("          ", "6114", " - ", "STATE UNEMPLOYMENT INSURANCE")</f>
        <v xml:space="preserve">          6114 - STATE UNEMPLOYMENT INSURANCE</v>
      </c>
      <c r="C31" s="11"/>
      <c r="D31" s="7">
        <v>8.76</v>
      </c>
      <c r="E31" s="2"/>
      <c r="F31" s="6">
        <f t="shared" si="12"/>
        <v>3.2942944399755861E-4</v>
      </c>
      <c r="G31" s="2"/>
      <c r="H31" s="7">
        <v>26.556549519230799</v>
      </c>
      <c r="I31" s="2"/>
      <c r="J31" s="6">
        <f t="shared" si="13"/>
        <v>1.2023610956323086E-3</v>
      </c>
      <c r="K31" s="2"/>
      <c r="L31" s="7">
        <f t="shared" si="14"/>
        <v>-17.796549519230801</v>
      </c>
      <c r="M31" s="2"/>
      <c r="N31" s="6">
        <f t="shared" si="15"/>
        <v>-0.670137869618322</v>
      </c>
      <c r="O31" s="11"/>
      <c r="P31" s="7">
        <v>63.92</v>
      </c>
      <c r="Q31" s="2"/>
      <c r="R31" s="6">
        <f t="shared" si="16"/>
        <v>2.7634387882960758E-4</v>
      </c>
      <c r="S31" s="2"/>
      <c r="T31" s="7">
        <v>163.97267451923099</v>
      </c>
      <c r="U31" s="2"/>
      <c r="V31" s="6">
        <f t="shared" si="17"/>
        <v>8.6027026703897568E-4</v>
      </c>
      <c r="W31" s="2"/>
      <c r="X31" s="7">
        <f t="shared" si="18"/>
        <v>-100.05267451923099</v>
      </c>
      <c r="Y31" s="2"/>
      <c r="Z31" s="6">
        <f t="shared" si="19"/>
        <v>-0.61017895092939189</v>
      </c>
    </row>
    <row r="32" spans="1:26" s="24" customFormat="1" hidden="1" outlineLevel="2" x14ac:dyDescent="0.3">
      <c r="A32" s="27"/>
      <c r="B32" s="11" t="str">
        <f>CONCATENATE("          ", "6115", " - ", "P.E.R.S.")</f>
        <v xml:space="preserve">          6115 - P.E.R.S.</v>
      </c>
      <c r="C32" s="11"/>
      <c r="D32" s="7">
        <v>92.45</v>
      </c>
      <c r="E32" s="2"/>
      <c r="F32" s="6">
        <f t="shared" si="12"/>
        <v>3.4766840294034583E-3</v>
      </c>
      <c r="G32" s="2"/>
      <c r="H32" s="7">
        <v>257.64855769230797</v>
      </c>
      <c r="I32" s="2"/>
      <c r="J32" s="6">
        <f t="shared" si="13"/>
        <v>1.1665167641250871E-2</v>
      </c>
      <c r="K32" s="2"/>
      <c r="L32" s="7">
        <f t="shared" si="14"/>
        <v>-165.19855769230799</v>
      </c>
      <c r="M32" s="2"/>
      <c r="N32" s="6">
        <f t="shared" si="15"/>
        <v>-0.64117788654417118</v>
      </c>
      <c r="O32" s="11"/>
      <c r="P32" s="7">
        <v>677.36</v>
      </c>
      <c r="Q32" s="2"/>
      <c r="R32" s="6">
        <f t="shared" si="16"/>
        <v>2.9284150463708227E-3</v>
      </c>
      <c r="S32" s="2"/>
      <c r="T32" s="7">
        <v>1597.4210576923099</v>
      </c>
      <c r="U32" s="2"/>
      <c r="V32" s="6">
        <f t="shared" si="17"/>
        <v>8.3807490723917921E-3</v>
      </c>
      <c r="W32" s="2"/>
      <c r="X32" s="7">
        <f t="shared" si="18"/>
        <v>-920.06105769230987</v>
      </c>
      <c r="Y32" s="2"/>
      <c r="Z32" s="6">
        <f t="shared" si="19"/>
        <v>-0.57596652633430423</v>
      </c>
    </row>
    <row r="33" spans="1:26" s="24" customFormat="1" hidden="1" outlineLevel="2" x14ac:dyDescent="0.3">
      <c r="A33" s="27"/>
      <c r="B33" s="11" t="str">
        <f>CONCATENATE("          ", "6116", " - ", "EDUCATIONAL BENEFITS")</f>
        <v xml:space="preserve">          6116 - EDUCATIONAL BENEFITS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3">
      <c r="A34" s="27"/>
      <c r="B34" s="11" t="str">
        <f>CONCATENATE("          ", "6118", " - ", "VACATION")</f>
        <v xml:space="preserve">          6118 - VACATION</v>
      </c>
      <c r="C34" s="11"/>
      <c r="D34" s="7">
        <v>155.76</v>
      </c>
      <c r="E34" s="2"/>
      <c r="F34" s="6">
        <f t="shared" si="12"/>
        <v>5.8575262782031654E-3</v>
      </c>
      <c r="G34" s="2"/>
      <c r="H34" s="7">
        <v>149.79567307692301</v>
      </c>
      <c r="I34" s="2"/>
      <c r="J34" s="6">
        <f t="shared" si="13"/>
        <v>6.7820742100295657E-3</v>
      </c>
      <c r="K34" s="2"/>
      <c r="L34" s="7">
        <f t="shared" si="14"/>
        <v>5.9643269230769818</v>
      </c>
      <c r="M34" s="2"/>
      <c r="N34" s="6">
        <f t="shared" si="15"/>
        <v>3.9816416593116029E-2</v>
      </c>
      <c r="O34" s="11"/>
      <c r="P34" s="7">
        <v>719.28</v>
      </c>
      <c r="Q34" s="2"/>
      <c r="R34" s="6">
        <f t="shared" si="16"/>
        <v>3.1096468267296641E-3</v>
      </c>
      <c r="S34" s="2"/>
      <c r="T34" s="7">
        <v>928.73317307692105</v>
      </c>
      <c r="U34" s="2"/>
      <c r="V34" s="6">
        <f t="shared" si="17"/>
        <v>4.8725285304603268E-3</v>
      </c>
      <c r="W34" s="2"/>
      <c r="X34" s="7">
        <f t="shared" si="18"/>
        <v>-209.45317307692108</v>
      </c>
      <c r="Y34" s="2"/>
      <c r="Z34" s="6">
        <f t="shared" si="19"/>
        <v>-0.22552567211850136</v>
      </c>
    </row>
    <row r="35" spans="1:26" s="24" customFormat="1" hidden="1" outlineLevel="2" x14ac:dyDescent="0.3">
      <c r="A35" s="27"/>
      <c r="B35" s="11" t="str">
        <f>CONCATENATE("          ", "6119", " - ", "SICK LEAVE")</f>
        <v xml:space="preserve">          6119 - SICK LEAVE</v>
      </c>
      <c r="C35" s="11"/>
      <c r="D35" s="7">
        <v>124.91</v>
      </c>
      <c r="E35" s="2"/>
      <c r="F35" s="6">
        <f t="shared" si="12"/>
        <v>4.6973780650382468E-3</v>
      </c>
      <c r="G35" s="2"/>
      <c r="H35" s="7">
        <v>572.83354807692297</v>
      </c>
      <c r="I35" s="2"/>
      <c r="J35" s="6">
        <f t="shared" si="13"/>
        <v>2.5935326122919499E-2</v>
      </c>
      <c r="K35" s="2"/>
      <c r="L35" s="7">
        <f t="shared" si="14"/>
        <v>-447.923548076923</v>
      </c>
      <c r="M35" s="2"/>
      <c r="N35" s="6">
        <f t="shared" si="15"/>
        <v>-0.78194363717114834</v>
      </c>
      <c r="O35" s="11"/>
      <c r="P35" s="7">
        <v>480.36</v>
      </c>
      <c r="Q35" s="2"/>
      <c r="R35" s="6">
        <f t="shared" si="16"/>
        <v>2.0767294373371446E-3</v>
      </c>
      <c r="S35" s="2"/>
      <c r="T35" s="7">
        <v>3537.4160480769201</v>
      </c>
      <c r="U35" s="2"/>
      <c r="V35" s="6">
        <f t="shared" si="17"/>
        <v>1.8558786439445349E-2</v>
      </c>
      <c r="W35" s="2"/>
      <c r="X35" s="7">
        <f t="shared" si="18"/>
        <v>-3057.05604807692</v>
      </c>
      <c r="Y35" s="2"/>
      <c r="Z35" s="6">
        <f t="shared" si="19"/>
        <v>-0.86420596461613752</v>
      </c>
    </row>
    <row r="36" spans="1:26" s="24" customFormat="1" hidden="1" outlineLevel="2" x14ac:dyDescent="0.3">
      <c r="A36" s="27"/>
      <c r="B36" s="11" t="str">
        <f>CONCATENATE("          ", "6156", " - ", "EMPLOYEE MEALS")</f>
        <v xml:space="preserve">          6156 - EMPLOYEE MEALS</v>
      </c>
      <c r="C36" s="11"/>
      <c r="D36" s="7">
        <v>154.84</v>
      </c>
      <c r="E36" s="2"/>
      <c r="F36" s="6">
        <f t="shared" si="12"/>
        <v>5.8229286653632391E-3</v>
      </c>
      <c r="G36" s="2"/>
      <c r="H36" s="7"/>
      <c r="I36" s="2"/>
      <c r="J36" s="6">
        <f t="shared" si="13"/>
        <v>0</v>
      </c>
      <c r="K36" s="2"/>
      <c r="L36" s="7">
        <f t="shared" si="14"/>
        <v>154.84</v>
      </c>
      <c r="M36" s="2"/>
      <c r="N36" s="6">
        <f t="shared" si="15"/>
        <v>0</v>
      </c>
      <c r="O36" s="11"/>
      <c r="P36" s="7">
        <v>1057.3</v>
      </c>
      <c r="Q36" s="2"/>
      <c r="R36" s="6">
        <f t="shared" si="16"/>
        <v>4.5710009869609526E-3</v>
      </c>
      <c r="S36" s="2"/>
      <c r="T36" s="7"/>
      <c r="U36" s="2"/>
      <c r="V36" s="6">
        <f t="shared" si="17"/>
        <v>0</v>
      </c>
      <c r="W36" s="2"/>
      <c r="X36" s="7">
        <f t="shared" si="18"/>
        <v>1057.3</v>
      </c>
      <c r="Y36" s="2"/>
      <c r="Z36" s="6">
        <f t="shared" si="19"/>
        <v>0</v>
      </c>
    </row>
    <row r="37" spans="1:26" s="28" customFormat="1" outlineLevel="1" collapsed="1" x14ac:dyDescent="0.3">
      <c r="A37" s="29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8859.5999999999985</v>
      </c>
      <c r="E37" s="1"/>
      <c r="F37" s="5">
        <f t="shared" ref="F37:F47" si="20">IF(D$12=0,0,D37/D$12)</f>
        <v>0.33317501164848967</v>
      </c>
      <c r="G37" s="1"/>
      <c r="H37" s="1">
        <f>SUM(OSRRefH22_1x_0)</f>
        <v>12012.544615384621</v>
      </c>
      <c r="I37" s="1"/>
      <c r="J37" s="5">
        <f t="shared" ref="J37:J47" si="21">IF(H$12=0,0,H37/H$12)</f>
        <v>0.54387398086587679</v>
      </c>
      <c r="K37" s="1"/>
      <c r="L37" s="1">
        <f t="shared" ref="L37:L47" si="22">+D37-H37</f>
        <v>-3152.944615384622</v>
      </c>
      <c r="M37" s="1"/>
      <c r="N37" s="5">
        <f t="shared" ref="N37:N47" si="23">IF(H37=0,0,L37/H37)</f>
        <v>-0.2624710014684653</v>
      </c>
      <c r="O37" s="14"/>
      <c r="P37" s="1">
        <f>SUM(OSRRefP22_1x_0)</f>
        <v>49552.890000000007</v>
      </c>
      <c r="Q37" s="1"/>
      <c r="R37" s="5">
        <f t="shared" ref="R37:R47" si="24">IF(P$12=0,0,P37/P$12)</f>
        <v>0.21423087969050178</v>
      </c>
      <c r="S37" s="1"/>
      <c r="T37" s="1">
        <f>SUM(OSRRefT22_1x_0)</f>
        <v>74166.119615384596</v>
      </c>
      <c r="U37" s="1"/>
      <c r="V37" s="5">
        <f t="shared" ref="V37:V47" si="25">IF(T$12=0,0,T37/T$12)</f>
        <v>0.38910695159325831</v>
      </c>
      <c r="W37" s="1"/>
      <c r="X37" s="1">
        <f t="shared" ref="X37:X47" si="26">+P37-T37</f>
        <v>-24613.229615384589</v>
      </c>
      <c r="Y37" s="1"/>
      <c r="Z37" s="5">
        <f t="shared" ref="Z37:Z47" si="27">IF(T37=0,0,X37/T37)</f>
        <v>-0.33186621793111798</v>
      </c>
    </row>
    <row r="38" spans="1:26" s="24" customFormat="1" hidden="1" outlineLevel="2" x14ac:dyDescent="0.3">
      <c r="A38" s="27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3">
      <c r="A39" s="27"/>
      <c r="B39" s="11" t="str">
        <f>CONCATENATE("          ", "6002", " - ", "STAFF SALARIES")</f>
        <v xml:space="preserve">          6002 - STAFF SALARIES</v>
      </c>
      <c r="C39" s="11"/>
      <c r="D39" s="7">
        <v>1217.5</v>
      </c>
      <c r="E39" s="2"/>
      <c r="F39" s="6">
        <f t="shared" si="20"/>
        <v>4.5785427861532835E-2</v>
      </c>
      <c r="G39" s="2"/>
      <c r="H39" s="7">
        <v>2696.3221153846198</v>
      </c>
      <c r="I39" s="2"/>
      <c r="J39" s="6">
        <f t="shared" si="21"/>
        <v>0.12207733578053243</v>
      </c>
      <c r="K39" s="2"/>
      <c r="L39" s="7">
        <f t="shared" si="22"/>
        <v>-1478.8221153846198</v>
      </c>
      <c r="M39" s="2"/>
      <c r="N39" s="6">
        <f t="shared" si="23"/>
        <v>-0.54845899417832411</v>
      </c>
      <c r="O39" s="11"/>
      <c r="P39" s="7">
        <v>8572.3700000000008</v>
      </c>
      <c r="Q39" s="2"/>
      <c r="R39" s="6">
        <f t="shared" si="24"/>
        <v>3.7060731798538221E-2</v>
      </c>
      <c r="S39" s="2"/>
      <c r="T39" s="7">
        <v>16717.197115384599</v>
      </c>
      <c r="U39" s="2"/>
      <c r="V39" s="6">
        <f t="shared" si="25"/>
        <v>8.7705513548285985E-2</v>
      </c>
      <c r="W39" s="2"/>
      <c r="X39" s="7">
        <f t="shared" si="26"/>
        <v>-8144.8271153845981</v>
      </c>
      <c r="Y39" s="2"/>
      <c r="Z39" s="6">
        <f t="shared" si="27"/>
        <v>-0.48721248299985825</v>
      </c>
    </row>
    <row r="40" spans="1:26" s="24" customFormat="1" hidden="1" outlineLevel="2" x14ac:dyDescent="0.3">
      <c r="A40" s="27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3">
      <c r="A41" s="27"/>
      <c r="B41" s="11" t="str">
        <f>CONCATENATE("          ", "6004", " - ", "STAFF HOURLY")</f>
        <v xml:space="preserve">          6004 - STAFF HOURLY</v>
      </c>
      <c r="C41" s="11"/>
      <c r="D41" s="7"/>
      <c r="E41" s="2"/>
      <c r="F41" s="6">
        <f t="shared" si="20"/>
        <v>0</v>
      </c>
      <c r="G41" s="2"/>
      <c r="H41" s="7">
        <v>6342.96</v>
      </c>
      <c r="I41" s="2"/>
      <c r="J41" s="6">
        <f t="shared" si="21"/>
        <v>0.28718069452619188</v>
      </c>
      <c r="K41" s="2"/>
      <c r="L41" s="7">
        <f t="shared" si="22"/>
        <v>-6342.96</v>
      </c>
      <c r="M41" s="2"/>
      <c r="N41" s="6">
        <f t="shared" si="23"/>
        <v>-1</v>
      </c>
      <c r="O41" s="11"/>
      <c r="P41" s="7">
        <v>4272.3900000000003</v>
      </c>
      <c r="Q41" s="2"/>
      <c r="R41" s="6">
        <f t="shared" si="24"/>
        <v>1.847072629025074E-2</v>
      </c>
      <c r="S41" s="2"/>
      <c r="T41" s="7">
        <v>39114.160000000003</v>
      </c>
      <c r="U41" s="2"/>
      <c r="V41" s="6">
        <f t="shared" si="25"/>
        <v>0.20520948973274716</v>
      </c>
      <c r="W41" s="2"/>
      <c r="X41" s="7">
        <f t="shared" si="26"/>
        <v>-34841.770000000004</v>
      </c>
      <c r="Y41" s="2"/>
      <c r="Z41" s="6">
        <f t="shared" si="27"/>
        <v>-0.8907712705577725</v>
      </c>
    </row>
    <row r="42" spans="1:26" s="24" customFormat="1" hidden="1" outlineLevel="2" x14ac:dyDescent="0.3">
      <c r="A42" s="27"/>
      <c r="B42" s="11" t="str">
        <f>CONCATENATE("          ", "6005", " - ", "TEMPORARY WAGES-HOURLY")</f>
        <v xml:space="preserve">          6005 - TEMPORARY WAGES-HOURLY</v>
      </c>
      <c r="C42" s="11"/>
      <c r="D42" s="7">
        <v>1432.43</v>
      </c>
      <c r="E42" s="2"/>
      <c r="F42" s="6">
        <f t="shared" si="20"/>
        <v>5.3868107130756036E-2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1432.43</v>
      </c>
      <c r="M42" s="2"/>
      <c r="N42" s="6">
        <f t="shared" si="23"/>
        <v>0</v>
      </c>
      <c r="O42" s="11"/>
      <c r="P42" s="7">
        <v>4866.08</v>
      </c>
      <c r="Q42" s="2"/>
      <c r="R42" s="6">
        <f t="shared" si="24"/>
        <v>2.1037412733028425E-2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4866.08</v>
      </c>
      <c r="Y42" s="2"/>
      <c r="Z42" s="6">
        <f t="shared" si="27"/>
        <v>0</v>
      </c>
    </row>
    <row r="43" spans="1:26" s="24" customFormat="1" hidden="1" outlineLevel="2" x14ac:dyDescent="0.3">
      <c r="A43" s="27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3">
      <c r="A44" s="27"/>
      <c r="B44" s="11" t="str">
        <f>CONCATENATE("          ", "6007", " - ", "STUDENT HOURLY")</f>
        <v xml:space="preserve">          6007 - STUDENT HOURLY</v>
      </c>
      <c r="C44" s="11"/>
      <c r="D44" s="7">
        <v>6100.62</v>
      </c>
      <c r="E44" s="2"/>
      <c r="F44" s="6">
        <f t="shared" si="20"/>
        <v>0.22942053135164223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6100.62</v>
      </c>
      <c r="M44" s="2"/>
      <c r="N44" s="6">
        <f t="shared" si="23"/>
        <v>0</v>
      </c>
      <c r="O44" s="11"/>
      <c r="P44" s="7">
        <v>30844.18</v>
      </c>
      <c r="Q44" s="2"/>
      <c r="R44" s="6">
        <f t="shared" si="24"/>
        <v>0.1333479402459106</v>
      </c>
      <c r="S44" s="2"/>
      <c r="T44" s="7">
        <v>5001.75</v>
      </c>
      <c r="U44" s="2"/>
      <c r="V44" s="6">
        <f t="shared" si="25"/>
        <v>2.6241304051289046E-2</v>
      </c>
      <c r="W44" s="2"/>
      <c r="X44" s="7">
        <f t="shared" si="26"/>
        <v>25842.43</v>
      </c>
      <c r="Y44" s="2"/>
      <c r="Z44" s="6">
        <f t="shared" si="27"/>
        <v>5.1666776628180138</v>
      </c>
    </row>
    <row r="45" spans="1:26" s="24" customFormat="1" hidden="1" outlineLevel="2" x14ac:dyDescent="0.3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7">
        <v>109.05</v>
      </c>
      <c r="E45" s="2"/>
      <c r="F45" s="6">
        <f t="shared" si="20"/>
        <v>4.1009453045586491E-3</v>
      </c>
      <c r="G45" s="2"/>
      <c r="H45" s="7">
        <v>2973.2624999999998</v>
      </c>
      <c r="I45" s="2"/>
      <c r="J45" s="6">
        <f t="shared" si="21"/>
        <v>0.13461595055915243</v>
      </c>
      <c r="K45" s="2"/>
      <c r="L45" s="7">
        <f t="shared" si="22"/>
        <v>-2864.2124999999996</v>
      </c>
      <c r="M45" s="2"/>
      <c r="N45" s="6">
        <f t="shared" si="23"/>
        <v>-0.96332311728278275</v>
      </c>
      <c r="O45" s="11"/>
      <c r="P45" s="7">
        <v>997.87</v>
      </c>
      <c r="Q45" s="2"/>
      <c r="R45" s="6">
        <f t="shared" si="24"/>
        <v>4.3140686227737873E-3</v>
      </c>
      <c r="S45" s="2"/>
      <c r="T45" s="7">
        <v>13333.012500000001</v>
      </c>
      <c r="U45" s="2"/>
      <c r="V45" s="6">
        <f t="shared" si="25"/>
        <v>6.9950644260936182E-2</v>
      </c>
      <c r="W45" s="2"/>
      <c r="X45" s="7">
        <f t="shared" si="26"/>
        <v>-12335.1425</v>
      </c>
      <c r="Y45" s="2"/>
      <c r="Z45" s="6">
        <f t="shared" si="27"/>
        <v>-0.92515794911315052</v>
      </c>
    </row>
    <row r="46" spans="1:26" s="24" customFormat="1" hidden="1" outlineLevel="2" x14ac:dyDescent="0.3">
      <c r="A46" s="27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3">
      <c r="A47" s="27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8" customFormat="1" outlineLevel="1" collapsed="1" x14ac:dyDescent="0.3">
      <c r="A48" s="29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295</v>
      </c>
      <c r="E48" s="1"/>
      <c r="F48" s="5">
        <f t="shared" ref="F48:F58" si="28">IF(D$12=0,0,D48/D$12)</f>
        <v>1.1093799769324177E-2</v>
      </c>
      <c r="G48" s="1"/>
      <c r="H48" s="1">
        <f>SUM(OSRRefH22_2x_0)</f>
        <v>50</v>
      </c>
      <c r="I48" s="1"/>
      <c r="J48" s="5">
        <f t="shared" ref="J48:J58" si="29">IF(H$12=0,0,H48/H$12)</f>
        <v>2.2637750713089149E-3</v>
      </c>
      <c r="K48" s="1"/>
      <c r="L48" s="1">
        <f t="shared" ref="L48:L58" si="30">+D48-H48</f>
        <v>245</v>
      </c>
      <c r="M48" s="1"/>
      <c r="N48" s="5">
        <f t="shared" ref="N48:N58" si="31">IF(H48=0,0,L48/H48)</f>
        <v>4.9000000000000004</v>
      </c>
      <c r="O48" s="14"/>
      <c r="P48" s="1">
        <f>SUM(OSRRefP22_2x_0)</f>
        <v>1419.35</v>
      </c>
      <c r="Q48" s="1"/>
      <c r="R48" s="5">
        <f t="shared" ref="R48:R58" si="32">IF(P$12=0,0,P48/P$12)</f>
        <v>6.1362434983855364E-3</v>
      </c>
      <c r="S48" s="1"/>
      <c r="T48" s="1">
        <f>SUM(OSRRefT22_2x_0)</f>
        <v>350</v>
      </c>
      <c r="U48" s="1"/>
      <c r="V48" s="5">
        <f t="shared" ref="V48:V58" si="33">IF(T$12=0,0,T48/T$12)</f>
        <v>1.8362485965814298E-3</v>
      </c>
      <c r="W48" s="1"/>
      <c r="X48" s="1">
        <f t="shared" ref="X48:X58" si="34">+P48-T48</f>
        <v>1069.3499999999999</v>
      </c>
      <c r="Y48" s="1"/>
      <c r="Z48" s="5">
        <f t="shared" ref="Z48:Z58" si="35">IF(T48=0,0,X48/T48)</f>
        <v>3.0552857142857142</v>
      </c>
    </row>
    <row r="49" spans="1:26" s="24" customFormat="1" hidden="1" outlineLevel="2" x14ac:dyDescent="0.3">
      <c r="A49" s="27"/>
      <c r="B49" s="11" t="str">
        <f>CONCATENATE("          ", "6362", " - ", "ADVERTISING EXPENSE")</f>
        <v xml:space="preserve">          6362 - ADVERTISING EXPENSE</v>
      </c>
      <c r="C49" s="11"/>
      <c r="D49" s="7">
        <v>295</v>
      </c>
      <c r="E49" s="2"/>
      <c r="F49" s="6">
        <f t="shared" si="28"/>
        <v>1.1093799769324177E-2</v>
      </c>
      <c r="G49" s="2"/>
      <c r="H49" s="7">
        <v>50</v>
      </c>
      <c r="I49" s="2"/>
      <c r="J49" s="6">
        <f t="shared" si="29"/>
        <v>2.2637750713089149E-3</v>
      </c>
      <c r="K49" s="2"/>
      <c r="L49" s="7">
        <f t="shared" si="30"/>
        <v>245</v>
      </c>
      <c r="M49" s="2"/>
      <c r="N49" s="6">
        <f t="shared" si="31"/>
        <v>4.9000000000000004</v>
      </c>
      <c r="O49" s="11"/>
      <c r="P49" s="7">
        <v>1419.35</v>
      </c>
      <c r="Q49" s="2"/>
      <c r="R49" s="6">
        <f t="shared" si="32"/>
        <v>6.1362434983855364E-3</v>
      </c>
      <c r="S49" s="2"/>
      <c r="T49" s="7">
        <v>350</v>
      </c>
      <c r="U49" s="2"/>
      <c r="V49" s="6">
        <f t="shared" si="33"/>
        <v>1.8362485965814298E-3</v>
      </c>
      <c r="W49" s="2"/>
      <c r="X49" s="7">
        <f t="shared" si="34"/>
        <v>1069.3499999999999</v>
      </c>
      <c r="Y49" s="2"/>
      <c r="Z49" s="6">
        <f t="shared" si="35"/>
        <v>3.0552857142857142</v>
      </c>
    </row>
    <row r="50" spans="1:26" s="28" customFormat="1" outlineLevel="1" collapsed="1" x14ac:dyDescent="0.3">
      <c r="A50" s="29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-3.35</v>
      </c>
      <c r="E50" s="1"/>
      <c r="F50" s="5">
        <f t="shared" si="28"/>
        <v>-1.2598043805842711E-4</v>
      </c>
      <c r="G50" s="1"/>
      <c r="H50" s="1">
        <f>SUM(OSRRefH22_3x_0)</f>
        <v>10</v>
      </c>
      <c r="I50" s="1"/>
      <c r="J50" s="5">
        <f t="shared" si="29"/>
        <v>4.5275501426178294E-4</v>
      </c>
      <c r="K50" s="1"/>
      <c r="L50" s="1">
        <f t="shared" si="30"/>
        <v>-13.35</v>
      </c>
      <c r="M50" s="1"/>
      <c r="N50" s="5">
        <f t="shared" si="31"/>
        <v>-1.335</v>
      </c>
      <c r="O50" s="14"/>
      <c r="P50" s="1">
        <f>SUM(OSRRefP22_3x_0)</f>
        <v>-13.38</v>
      </c>
      <c r="Q50" s="1"/>
      <c r="R50" s="5">
        <f t="shared" si="32"/>
        <v>-5.7845448979038632E-5</v>
      </c>
      <c r="S50" s="1"/>
      <c r="T50" s="1">
        <f>SUM(OSRRefT22_3x_0)</f>
        <v>70</v>
      </c>
      <c r="U50" s="1"/>
      <c r="V50" s="5">
        <f t="shared" si="33"/>
        <v>3.6724971931628594E-4</v>
      </c>
      <c r="W50" s="1"/>
      <c r="X50" s="1">
        <f t="shared" si="34"/>
        <v>-83.38</v>
      </c>
      <c r="Y50" s="1"/>
      <c r="Z50" s="5">
        <f t="shared" si="35"/>
        <v>-1.1911428571428571</v>
      </c>
    </row>
    <row r="51" spans="1:26" s="24" customFormat="1" hidden="1" outlineLevel="2" x14ac:dyDescent="0.3">
      <c r="A51" s="27"/>
      <c r="B51" s="11" t="str">
        <f>CONCATENATE("          ", "6272", " - ", "CASH (OVER/SHORT)")</f>
        <v xml:space="preserve">          6272 - CASH (OVER/SHORT)</v>
      </c>
      <c r="C51" s="11"/>
      <c r="D51" s="7">
        <v>-3.35</v>
      </c>
      <c r="E51" s="2"/>
      <c r="F51" s="6">
        <f t="shared" si="28"/>
        <v>-1.2598043805842711E-4</v>
      </c>
      <c r="G51" s="2"/>
      <c r="H51" s="7">
        <v>10</v>
      </c>
      <c r="I51" s="2"/>
      <c r="J51" s="6">
        <f t="shared" si="29"/>
        <v>4.5275501426178294E-4</v>
      </c>
      <c r="K51" s="2"/>
      <c r="L51" s="7">
        <f t="shared" si="30"/>
        <v>-13.35</v>
      </c>
      <c r="M51" s="2"/>
      <c r="N51" s="6">
        <f t="shared" si="31"/>
        <v>-1.335</v>
      </c>
      <c r="O51" s="11"/>
      <c r="P51" s="7">
        <v>-13.38</v>
      </c>
      <c r="Q51" s="2"/>
      <c r="R51" s="6">
        <f t="shared" si="32"/>
        <v>-5.7845448979038632E-5</v>
      </c>
      <c r="S51" s="2"/>
      <c r="T51" s="7">
        <v>70</v>
      </c>
      <c r="U51" s="2"/>
      <c r="V51" s="6">
        <f t="shared" si="33"/>
        <v>3.6724971931628594E-4</v>
      </c>
      <c r="W51" s="2"/>
      <c r="X51" s="7">
        <f t="shared" si="34"/>
        <v>-83.38</v>
      </c>
      <c r="Y51" s="2"/>
      <c r="Z51" s="6">
        <f t="shared" si="35"/>
        <v>-1.1911428571428571</v>
      </c>
    </row>
    <row r="52" spans="1:26" s="28" customFormat="1" outlineLevel="1" collapsed="1" x14ac:dyDescent="0.3">
      <c r="A52" s="29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339.5</v>
      </c>
      <c r="E52" s="1"/>
      <c r="F52" s="5">
        <f t="shared" si="28"/>
        <v>1.2767271259951044E-2</v>
      </c>
      <c r="G52" s="1"/>
      <c r="H52" s="1">
        <f>SUM(OSRRefH22_4x_0)</f>
        <v>417</v>
      </c>
      <c r="I52" s="1"/>
      <c r="J52" s="5">
        <f t="shared" si="29"/>
        <v>1.8879884094716349E-2</v>
      </c>
      <c r="K52" s="1"/>
      <c r="L52" s="1">
        <f t="shared" si="30"/>
        <v>-77.5</v>
      </c>
      <c r="M52" s="1"/>
      <c r="N52" s="5">
        <f t="shared" si="31"/>
        <v>-0.18585131894484413</v>
      </c>
      <c r="O52" s="14"/>
      <c r="P52" s="1">
        <f>SUM(OSRRefP22_4x_0)</f>
        <v>3814.08</v>
      </c>
      <c r="Q52" s="1"/>
      <c r="R52" s="5">
        <f t="shared" si="32"/>
        <v>1.6489325115244518E-2</v>
      </c>
      <c r="S52" s="1"/>
      <c r="T52" s="1">
        <f>SUM(OSRRefT22_4x_0)</f>
        <v>3637</v>
      </c>
      <c r="U52" s="1"/>
      <c r="V52" s="5">
        <f t="shared" si="33"/>
        <v>1.9081246130761887E-2</v>
      </c>
      <c r="W52" s="1"/>
      <c r="X52" s="1">
        <f t="shared" si="34"/>
        <v>177.07999999999993</v>
      </c>
      <c r="Y52" s="1"/>
      <c r="Z52" s="5">
        <f t="shared" si="35"/>
        <v>4.8688479516084668E-2</v>
      </c>
    </row>
    <row r="53" spans="1:26" s="24" customFormat="1" hidden="1" outlineLevel="2" x14ac:dyDescent="0.3">
      <c r="A53" s="27"/>
      <c r="B53" s="11" t="str">
        <f>CONCATENATE("          ", "6381", " - ", "BANK/CREDIT CARD FEES")</f>
        <v xml:space="preserve">          6381 - BANK/CREDIT CARD FEES</v>
      </c>
      <c r="C53" s="11"/>
      <c r="D53" s="7">
        <v>339.5</v>
      </c>
      <c r="E53" s="2"/>
      <c r="F53" s="6">
        <f t="shared" si="28"/>
        <v>1.2767271259951044E-2</v>
      </c>
      <c r="G53" s="2"/>
      <c r="H53" s="7">
        <v>417</v>
      </c>
      <c r="I53" s="2"/>
      <c r="J53" s="6">
        <f t="shared" si="29"/>
        <v>1.8879884094716349E-2</v>
      </c>
      <c r="K53" s="2"/>
      <c r="L53" s="7">
        <f t="shared" si="30"/>
        <v>-77.5</v>
      </c>
      <c r="M53" s="2"/>
      <c r="N53" s="6">
        <f t="shared" si="31"/>
        <v>-0.18585131894484413</v>
      </c>
      <c r="O53" s="11"/>
      <c r="P53" s="7">
        <v>3814.08</v>
      </c>
      <c r="Q53" s="2"/>
      <c r="R53" s="6">
        <f t="shared" si="32"/>
        <v>1.6489325115244518E-2</v>
      </c>
      <c r="S53" s="2"/>
      <c r="T53" s="7">
        <v>3637</v>
      </c>
      <c r="U53" s="2"/>
      <c r="V53" s="6">
        <f t="shared" si="33"/>
        <v>1.9081246130761887E-2</v>
      </c>
      <c r="W53" s="2"/>
      <c r="X53" s="7">
        <f t="shared" si="34"/>
        <v>177.07999999999993</v>
      </c>
      <c r="Y53" s="2"/>
      <c r="Z53" s="6">
        <f t="shared" si="35"/>
        <v>4.8688479516084668E-2</v>
      </c>
    </row>
    <row r="54" spans="1:26" s="28" customFormat="1" outlineLevel="1" collapsed="1" x14ac:dyDescent="0.3">
      <c r="A54" s="29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SUM(OSRRefD22_5x_0)</f>
        <v>0</v>
      </c>
      <c r="E54" s="1"/>
      <c r="F54" s="5">
        <f t="shared" si="28"/>
        <v>0</v>
      </c>
      <c r="G54" s="1"/>
      <c r="H54" s="1">
        <f>SUM(OSRRefH22_5x_0)</f>
        <v>25</v>
      </c>
      <c r="I54" s="1"/>
      <c r="J54" s="5">
        <f t="shared" si="29"/>
        <v>1.1318875356544575E-3</v>
      </c>
      <c r="K54" s="1"/>
      <c r="L54" s="1">
        <f t="shared" si="30"/>
        <v>-25</v>
      </c>
      <c r="M54" s="1"/>
      <c r="N54" s="5">
        <f t="shared" si="31"/>
        <v>-1</v>
      </c>
      <c r="O54" s="14"/>
      <c r="P54" s="1">
        <f>SUM(OSRRefP22_5x_0)</f>
        <v>0</v>
      </c>
      <c r="Q54" s="1"/>
      <c r="R54" s="5">
        <f t="shared" si="32"/>
        <v>0</v>
      </c>
      <c r="S54" s="1"/>
      <c r="T54" s="1">
        <f>SUM(OSRRefT22_5x_0)</f>
        <v>175</v>
      </c>
      <c r="U54" s="1"/>
      <c r="V54" s="5">
        <f t="shared" si="33"/>
        <v>9.1812429829071492E-4</v>
      </c>
      <c r="W54" s="1"/>
      <c r="X54" s="1">
        <f t="shared" si="34"/>
        <v>-175</v>
      </c>
      <c r="Y54" s="1"/>
      <c r="Z54" s="5">
        <f t="shared" si="35"/>
        <v>-1</v>
      </c>
    </row>
    <row r="55" spans="1:26" s="24" customFormat="1" hidden="1" outlineLevel="2" x14ac:dyDescent="0.3">
      <c r="A55" s="27"/>
      <c r="B55" s="11" t="str">
        <f>CONCATENATE("          ", "6277", " - ", "EMPLOYEE APPRECIATION")</f>
        <v xml:space="preserve">          6277 - EMPLOYEE APPRECIATION</v>
      </c>
      <c r="C55" s="11"/>
      <c r="D55" s="7"/>
      <c r="E55" s="2"/>
      <c r="F55" s="6">
        <f t="shared" si="28"/>
        <v>0</v>
      </c>
      <c r="G55" s="2"/>
      <c r="H55" s="7">
        <v>25</v>
      </c>
      <c r="I55" s="2"/>
      <c r="J55" s="6">
        <f t="shared" si="29"/>
        <v>1.1318875356544575E-3</v>
      </c>
      <c r="K55" s="2"/>
      <c r="L55" s="7">
        <f t="shared" si="30"/>
        <v>-25</v>
      </c>
      <c r="M55" s="2"/>
      <c r="N55" s="6">
        <f t="shared" si="31"/>
        <v>-1</v>
      </c>
      <c r="O55" s="11"/>
      <c r="P55" s="7"/>
      <c r="Q55" s="2"/>
      <c r="R55" s="6">
        <f t="shared" si="32"/>
        <v>0</v>
      </c>
      <c r="S55" s="2"/>
      <c r="T55" s="7">
        <v>175</v>
      </c>
      <c r="U55" s="2"/>
      <c r="V55" s="6">
        <f t="shared" si="33"/>
        <v>9.1812429829071492E-4</v>
      </c>
      <c r="W55" s="2"/>
      <c r="X55" s="7">
        <f t="shared" si="34"/>
        <v>-175</v>
      </c>
      <c r="Y55" s="2"/>
      <c r="Z55" s="6">
        <f t="shared" si="35"/>
        <v>-1</v>
      </c>
    </row>
    <row r="56" spans="1:26" s="28" customFormat="1" outlineLevel="1" collapsed="1" x14ac:dyDescent="0.3">
      <c r="A56" s="29"/>
      <c r="B56" s="14" t="str">
        <f>CONCATENATE("     ","General                                           ")</f>
        <v xml:space="preserve">     General                                           </v>
      </c>
      <c r="C56" s="14"/>
      <c r="D56" s="1">
        <f>SUM(OSRRefD22_6x_0)</f>
        <v>0</v>
      </c>
      <c r="E56" s="1"/>
      <c r="F56" s="5">
        <f t="shared" si="28"/>
        <v>0</v>
      </c>
      <c r="G56" s="1"/>
      <c r="H56" s="1">
        <f>SUM(OSRRefH22_6x_0)</f>
        <v>0</v>
      </c>
      <c r="I56" s="1"/>
      <c r="J56" s="5">
        <f t="shared" si="29"/>
        <v>0</v>
      </c>
      <c r="K56" s="1"/>
      <c r="L56" s="1">
        <f t="shared" si="30"/>
        <v>0</v>
      </c>
      <c r="M56" s="1"/>
      <c r="N56" s="5">
        <f t="shared" si="31"/>
        <v>0</v>
      </c>
      <c r="O56" s="14"/>
      <c r="P56" s="1">
        <f>SUM(OSRRefP22_6x_0)</f>
        <v>1295.0899999999999</v>
      </c>
      <c r="Q56" s="1"/>
      <c r="R56" s="5">
        <f t="shared" si="32"/>
        <v>5.5990330731138368E-3</v>
      </c>
      <c r="S56" s="1"/>
      <c r="T56" s="1">
        <f>SUM(OSRRefT22_6x_0)</f>
        <v>1250</v>
      </c>
      <c r="U56" s="1"/>
      <c r="V56" s="5">
        <f t="shared" si="33"/>
        <v>6.5580307020765352E-3</v>
      </c>
      <c r="W56" s="1"/>
      <c r="X56" s="1">
        <f t="shared" si="34"/>
        <v>45.089999999999918</v>
      </c>
      <c r="Y56" s="1"/>
      <c r="Z56" s="5">
        <f t="shared" si="35"/>
        <v>3.6071999999999937E-2</v>
      </c>
    </row>
    <row r="57" spans="1:26" s="24" customFormat="1" hidden="1" outlineLevel="2" x14ac:dyDescent="0.3">
      <c r="A57" s="27"/>
      <c r="B57" s="11" t="str">
        <f>CONCATENATE("          ", "6276", " - ", "PROPERTY TAX")</f>
        <v xml:space="preserve">          6276 - PROPERTY TAX</v>
      </c>
      <c r="C57" s="11"/>
      <c r="D57" s="7"/>
      <c r="E57" s="2"/>
      <c r="F57" s="6">
        <f t="shared" si="28"/>
        <v>0</v>
      </c>
      <c r="G57" s="2"/>
      <c r="H57" s="7"/>
      <c r="I57" s="2"/>
      <c r="J57" s="6">
        <f t="shared" si="29"/>
        <v>0</v>
      </c>
      <c r="K57" s="2"/>
      <c r="L57" s="7">
        <f t="shared" si="30"/>
        <v>0</v>
      </c>
      <c r="M57" s="2"/>
      <c r="N57" s="6">
        <f t="shared" si="31"/>
        <v>0</v>
      </c>
      <c r="O57" s="11"/>
      <c r="P57" s="7"/>
      <c r="Q57" s="2"/>
      <c r="R57" s="6">
        <f t="shared" si="32"/>
        <v>0</v>
      </c>
      <c r="S57" s="2"/>
      <c r="T57" s="7">
        <v>1250</v>
      </c>
      <c r="U57" s="2"/>
      <c r="V57" s="6">
        <f t="shared" si="33"/>
        <v>6.5580307020765352E-3</v>
      </c>
      <c r="W57" s="2"/>
      <c r="X57" s="7">
        <f t="shared" si="34"/>
        <v>-1250</v>
      </c>
      <c r="Y57" s="2"/>
      <c r="Z57" s="6">
        <f t="shared" si="35"/>
        <v>-1</v>
      </c>
    </row>
    <row r="58" spans="1:26" s="24" customFormat="1" hidden="1" outlineLevel="2" x14ac:dyDescent="0.3">
      <c r="A58" s="27"/>
      <c r="B58" s="11" t="str">
        <f>CONCATENATE("          ", "6279", " - ", "GENERAL EXPENSE")</f>
        <v xml:space="preserve">          6279 - GENERAL EXPENSE</v>
      </c>
      <c r="C58" s="11"/>
      <c r="D58" s="7"/>
      <c r="E58" s="2"/>
      <c r="F58" s="6">
        <f t="shared" si="28"/>
        <v>0</v>
      </c>
      <c r="G58" s="2"/>
      <c r="H58" s="7"/>
      <c r="I58" s="2"/>
      <c r="J58" s="6">
        <f t="shared" si="29"/>
        <v>0</v>
      </c>
      <c r="K58" s="2"/>
      <c r="L58" s="7">
        <f t="shared" si="30"/>
        <v>0</v>
      </c>
      <c r="M58" s="2"/>
      <c r="N58" s="6">
        <f t="shared" si="31"/>
        <v>0</v>
      </c>
      <c r="O58" s="11"/>
      <c r="P58" s="7">
        <v>1295.0899999999999</v>
      </c>
      <c r="Q58" s="2"/>
      <c r="R58" s="6">
        <f t="shared" si="32"/>
        <v>5.5990330731138368E-3</v>
      </c>
      <c r="S58" s="2"/>
      <c r="T58" s="7"/>
      <c r="U58" s="2"/>
      <c r="V58" s="6">
        <f t="shared" si="33"/>
        <v>0</v>
      </c>
      <c r="W58" s="2"/>
      <c r="X58" s="7">
        <f t="shared" si="34"/>
        <v>1295.0899999999999</v>
      </c>
      <c r="Y58" s="2"/>
      <c r="Z58" s="6">
        <f t="shared" si="35"/>
        <v>0</v>
      </c>
    </row>
    <row r="59" spans="1:26" s="28" customFormat="1" outlineLevel="1" collapsed="1" x14ac:dyDescent="0.3">
      <c r="A59" s="29"/>
      <c r="B59" s="14" t="str">
        <f>CONCATENATE("     ","Insurance                                         ")</f>
        <v xml:space="preserve">     Insurance                                         </v>
      </c>
      <c r="C59" s="14"/>
      <c r="D59" s="1">
        <f>SUM(OSRRefD22_7x_0)</f>
        <v>219.08</v>
      </c>
      <c r="E59" s="1"/>
      <c r="F59" s="5">
        <f t="shared" ref="F59:F69" si="36">IF(D$12=0,0,D59/D$12)</f>
        <v>8.2387445880120029E-3</v>
      </c>
      <c r="G59" s="1"/>
      <c r="H59" s="1">
        <f>SUM(OSRRefH22_7x_0)</f>
        <v>175</v>
      </c>
      <c r="I59" s="1"/>
      <c r="J59" s="5">
        <f t="shared" ref="J59:J69" si="37">IF(H$12=0,0,H59/H$12)</f>
        <v>7.9232127495812016E-3</v>
      </c>
      <c r="K59" s="1"/>
      <c r="L59" s="1">
        <f t="shared" ref="L59:L69" si="38">+D59-H59</f>
        <v>44.080000000000013</v>
      </c>
      <c r="M59" s="1"/>
      <c r="N59" s="5">
        <f t="shared" ref="N59:N69" si="39">IF(H59=0,0,L59/H59)</f>
        <v>0.25188571428571438</v>
      </c>
      <c r="O59" s="14"/>
      <c r="P59" s="1">
        <f>SUM(OSRRefP22_7x_0)</f>
        <v>1533.56</v>
      </c>
      <c r="Q59" s="1"/>
      <c r="R59" s="5">
        <f t="shared" ref="R59:R69" si="40">IF(P$12=0,0,P59/P$12)</f>
        <v>6.630004987764909E-3</v>
      </c>
      <c r="S59" s="1"/>
      <c r="T59" s="1">
        <f>SUM(OSRRefT22_7x_0)</f>
        <v>1225</v>
      </c>
      <c r="U59" s="1"/>
      <c r="V59" s="5">
        <f t="shared" ref="V59:V69" si="41">IF(T$12=0,0,T59/T$12)</f>
        <v>6.4268700880350041E-3</v>
      </c>
      <c r="W59" s="1"/>
      <c r="X59" s="1">
        <f t="shared" ref="X59:X69" si="42">+P59-T59</f>
        <v>308.55999999999995</v>
      </c>
      <c r="Y59" s="1"/>
      <c r="Z59" s="5">
        <f t="shared" ref="Z59:Z69" si="43">IF(T59=0,0,X59/T59)</f>
        <v>0.25188571428571427</v>
      </c>
    </row>
    <row r="60" spans="1:26" s="24" customFormat="1" hidden="1" outlineLevel="2" x14ac:dyDescent="0.3">
      <c r="A60" s="27"/>
      <c r="B60" s="11" t="str">
        <f>CONCATENATE("          ", "6314", " - ", "LIABILITY INSURANCE")</f>
        <v xml:space="preserve">          6314 - LIABILITY INSURANCE</v>
      </c>
      <c r="C60" s="11"/>
      <c r="D60" s="7">
        <v>219.08</v>
      </c>
      <c r="E60" s="2"/>
      <c r="F60" s="6">
        <f t="shared" si="36"/>
        <v>8.2387445880120029E-3</v>
      </c>
      <c r="G60" s="2"/>
      <c r="H60" s="7">
        <v>175</v>
      </c>
      <c r="I60" s="2"/>
      <c r="J60" s="6">
        <f t="shared" si="37"/>
        <v>7.9232127495812016E-3</v>
      </c>
      <c r="K60" s="2"/>
      <c r="L60" s="7">
        <f t="shared" si="38"/>
        <v>44.080000000000013</v>
      </c>
      <c r="M60" s="2"/>
      <c r="N60" s="6">
        <f t="shared" si="39"/>
        <v>0.25188571428571438</v>
      </c>
      <c r="O60" s="11"/>
      <c r="P60" s="7">
        <v>1533.56</v>
      </c>
      <c r="Q60" s="2"/>
      <c r="R60" s="6">
        <f t="shared" si="40"/>
        <v>6.630004987764909E-3</v>
      </c>
      <c r="S60" s="2"/>
      <c r="T60" s="7">
        <v>1225</v>
      </c>
      <c r="U60" s="2"/>
      <c r="V60" s="6">
        <f t="shared" si="41"/>
        <v>6.4268700880350041E-3</v>
      </c>
      <c r="W60" s="2"/>
      <c r="X60" s="7">
        <f t="shared" si="42"/>
        <v>308.55999999999995</v>
      </c>
      <c r="Y60" s="2"/>
      <c r="Z60" s="6">
        <f t="shared" si="43"/>
        <v>0.25188571428571427</v>
      </c>
    </row>
    <row r="61" spans="1:26" s="28" customFormat="1" outlineLevel="1" collapsed="1" x14ac:dyDescent="0.3">
      <c r="A61" s="29"/>
      <c r="B61" s="14" t="str">
        <f>CONCATENATE("     ","Inventory Adjustment                              ")</f>
        <v xml:space="preserve">     Inventory Adjustment                              </v>
      </c>
      <c r="C61" s="14"/>
      <c r="D61" s="1">
        <f>SUM(OSRRefD22_8x_0)</f>
        <v>100</v>
      </c>
      <c r="E61" s="1"/>
      <c r="F61" s="5">
        <f t="shared" si="36"/>
        <v>3.7606100912963313E-3</v>
      </c>
      <c r="G61" s="1"/>
      <c r="H61" s="1">
        <f>SUM(OSRRefH22_8x_0)</f>
        <v>100</v>
      </c>
      <c r="I61" s="1"/>
      <c r="J61" s="5">
        <f t="shared" si="37"/>
        <v>4.5275501426178298E-3</v>
      </c>
      <c r="K61" s="1"/>
      <c r="L61" s="1">
        <f t="shared" si="38"/>
        <v>0</v>
      </c>
      <c r="M61" s="1"/>
      <c r="N61" s="5">
        <f t="shared" si="39"/>
        <v>0</v>
      </c>
      <c r="O61" s="14"/>
      <c r="P61" s="1">
        <f>SUM(OSRRefP22_8x_0)</f>
        <v>700</v>
      </c>
      <c r="Q61" s="1"/>
      <c r="R61" s="5">
        <f t="shared" si="40"/>
        <v>3.0262940422516472E-3</v>
      </c>
      <c r="S61" s="1"/>
      <c r="T61" s="1">
        <f>SUM(OSRRefT22_8x_0)</f>
        <v>700</v>
      </c>
      <c r="U61" s="1"/>
      <c r="V61" s="5">
        <f t="shared" si="41"/>
        <v>3.6724971931628597E-3</v>
      </c>
      <c r="W61" s="1"/>
      <c r="X61" s="1">
        <f t="shared" si="42"/>
        <v>0</v>
      </c>
      <c r="Y61" s="1"/>
      <c r="Z61" s="5">
        <f t="shared" si="43"/>
        <v>0</v>
      </c>
    </row>
    <row r="62" spans="1:26" s="24" customFormat="1" hidden="1" outlineLevel="2" x14ac:dyDescent="0.3">
      <c r="A62" s="27"/>
      <c r="B62" s="11" t="str">
        <f>CONCATENATE("          ", "6408", " - ", "INVENTORY ADJUSTMENT")</f>
        <v xml:space="preserve">          6408 - INVENTORY ADJUSTMENT</v>
      </c>
      <c r="C62" s="11"/>
      <c r="D62" s="7">
        <v>100</v>
      </c>
      <c r="E62" s="2"/>
      <c r="F62" s="6">
        <f t="shared" si="36"/>
        <v>3.7606100912963313E-3</v>
      </c>
      <c r="G62" s="2"/>
      <c r="H62" s="7">
        <v>100</v>
      </c>
      <c r="I62" s="2"/>
      <c r="J62" s="6">
        <f t="shared" si="37"/>
        <v>4.5275501426178298E-3</v>
      </c>
      <c r="K62" s="2"/>
      <c r="L62" s="7">
        <f t="shared" si="38"/>
        <v>0</v>
      </c>
      <c r="M62" s="2"/>
      <c r="N62" s="6">
        <f t="shared" si="39"/>
        <v>0</v>
      </c>
      <c r="O62" s="11"/>
      <c r="P62" s="7">
        <v>700</v>
      </c>
      <c r="Q62" s="2"/>
      <c r="R62" s="6">
        <f t="shared" si="40"/>
        <v>3.0262940422516472E-3</v>
      </c>
      <c r="S62" s="2"/>
      <c r="T62" s="7">
        <v>700</v>
      </c>
      <c r="U62" s="2"/>
      <c r="V62" s="6">
        <f t="shared" si="41"/>
        <v>3.6724971931628597E-3</v>
      </c>
      <c r="W62" s="2"/>
      <c r="X62" s="7">
        <f t="shared" si="42"/>
        <v>0</v>
      </c>
      <c r="Y62" s="2"/>
      <c r="Z62" s="6">
        <f t="shared" si="43"/>
        <v>0</v>
      </c>
    </row>
    <row r="63" spans="1:26" s="28" customFormat="1" outlineLevel="1" collapsed="1" x14ac:dyDescent="0.3">
      <c r="A63" s="29"/>
      <c r="B63" s="14" t="str">
        <f>CONCATENATE("     ","Professional Services                             ")</f>
        <v xml:space="preserve">     Professional Services                             </v>
      </c>
      <c r="C63" s="14"/>
      <c r="D63" s="1">
        <f>SUM(OSRRefD22_9x_0)</f>
        <v>0</v>
      </c>
      <c r="E63" s="1"/>
      <c r="F63" s="5">
        <f t="shared" si="36"/>
        <v>0</v>
      </c>
      <c r="G63" s="1"/>
      <c r="H63" s="1">
        <f>SUM(OSRRefH22_9x_0)</f>
        <v>0</v>
      </c>
      <c r="I63" s="1"/>
      <c r="J63" s="5">
        <f t="shared" si="37"/>
        <v>0</v>
      </c>
      <c r="K63" s="1"/>
      <c r="L63" s="1">
        <f t="shared" si="38"/>
        <v>0</v>
      </c>
      <c r="M63" s="1"/>
      <c r="N63" s="5">
        <f t="shared" si="39"/>
        <v>0</v>
      </c>
      <c r="O63" s="14"/>
      <c r="P63" s="1">
        <f>SUM(OSRRefP22_9x_0)</f>
        <v>161.46</v>
      </c>
      <c r="Q63" s="1"/>
      <c r="R63" s="5">
        <f t="shared" si="40"/>
        <v>6.9803633723135858E-4</v>
      </c>
      <c r="S63" s="1"/>
      <c r="T63" s="1">
        <f>SUM(OSRRefT22_9x_0)</f>
        <v>750</v>
      </c>
      <c r="U63" s="1"/>
      <c r="V63" s="5">
        <f t="shared" si="41"/>
        <v>3.9348184212459206E-3</v>
      </c>
      <c r="W63" s="1"/>
      <c r="X63" s="1">
        <f t="shared" si="42"/>
        <v>-588.54</v>
      </c>
      <c r="Y63" s="1"/>
      <c r="Z63" s="5">
        <f t="shared" si="43"/>
        <v>-0.78471999999999997</v>
      </c>
    </row>
    <row r="64" spans="1:26" s="24" customFormat="1" hidden="1" outlineLevel="2" x14ac:dyDescent="0.3">
      <c r="A64" s="27"/>
      <c r="B64" s="11" t="str">
        <f>CONCATENATE("          ", "6336", " - ", "PROFESSIONAL SERVICES")</f>
        <v xml:space="preserve">          6336 - PROFESSIONAL SERVICES</v>
      </c>
      <c r="C64" s="11"/>
      <c r="D64" s="7"/>
      <c r="E64" s="2"/>
      <c r="F64" s="6">
        <f t="shared" si="36"/>
        <v>0</v>
      </c>
      <c r="G64" s="2"/>
      <c r="H64" s="7"/>
      <c r="I64" s="2"/>
      <c r="J64" s="6">
        <f t="shared" si="37"/>
        <v>0</v>
      </c>
      <c r="K64" s="2"/>
      <c r="L64" s="7">
        <f t="shared" si="38"/>
        <v>0</v>
      </c>
      <c r="M64" s="2"/>
      <c r="N64" s="6">
        <f t="shared" si="39"/>
        <v>0</v>
      </c>
      <c r="O64" s="11"/>
      <c r="P64" s="7">
        <v>161.46</v>
      </c>
      <c r="Q64" s="2"/>
      <c r="R64" s="6">
        <f t="shared" si="40"/>
        <v>6.9803633723135858E-4</v>
      </c>
      <c r="S64" s="2"/>
      <c r="T64" s="7">
        <v>750</v>
      </c>
      <c r="U64" s="2"/>
      <c r="V64" s="6">
        <f t="shared" si="41"/>
        <v>3.9348184212459206E-3</v>
      </c>
      <c r="W64" s="2"/>
      <c r="X64" s="7">
        <f t="shared" si="42"/>
        <v>-588.54</v>
      </c>
      <c r="Y64" s="2"/>
      <c r="Z64" s="6">
        <f t="shared" si="43"/>
        <v>-0.78471999999999997</v>
      </c>
    </row>
    <row r="65" spans="1:26" s="28" customFormat="1" outlineLevel="1" collapsed="1" x14ac:dyDescent="0.3">
      <c r="A65" s="29"/>
      <c r="B65" s="14" t="str">
        <f>CONCATENATE("     ","Rent                                              ")</f>
        <v xml:space="preserve">     Rent                                              </v>
      </c>
      <c r="C65" s="14"/>
      <c r="D65" s="1">
        <f>SUM(OSRRefD22_10x_0)</f>
        <v>6900</v>
      </c>
      <c r="E65" s="1"/>
      <c r="F65" s="5">
        <f t="shared" si="36"/>
        <v>0.25948209629944685</v>
      </c>
      <c r="G65" s="1"/>
      <c r="H65" s="1">
        <f>SUM(OSRRefH22_10x_0)</f>
        <v>6900</v>
      </c>
      <c r="I65" s="1"/>
      <c r="J65" s="5">
        <f t="shared" si="37"/>
        <v>0.31240095984063021</v>
      </c>
      <c r="K65" s="1"/>
      <c r="L65" s="1">
        <f t="shared" si="38"/>
        <v>0</v>
      </c>
      <c r="M65" s="1"/>
      <c r="N65" s="5">
        <f t="shared" si="39"/>
        <v>0</v>
      </c>
      <c r="O65" s="14"/>
      <c r="P65" s="1">
        <f>SUM(OSRRefP22_10x_0)</f>
        <v>48300</v>
      </c>
      <c r="Q65" s="1"/>
      <c r="R65" s="5">
        <f t="shared" si="40"/>
        <v>0.20881428891536366</v>
      </c>
      <c r="S65" s="1"/>
      <c r="T65" s="1">
        <f>SUM(OSRRefT22_10x_0)</f>
        <v>48300</v>
      </c>
      <c r="U65" s="1"/>
      <c r="V65" s="5">
        <f t="shared" si="41"/>
        <v>0.25340230632823729</v>
      </c>
      <c r="W65" s="1"/>
      <c r="X65" s="1">
        <f t="shared" si="42"/>
        <v>0</v>
      </c>
      <c r="Y65" s="1"/>
      <c r="Z65" s="5">
        <f t="shared" si="43"/>
        <v>0</v>
      </c>
    </row>
    <row r="66" spans="1:26" s="24" customFormat="1" hidden="1" outlineLevel="2" x14ac:dyDescent="0.3">
      <c r="A66" s="27"/>
      <c r="B66" s="11" t="str">
        <f>CONCATENATE("          ", "6273", " - ", "RENT")</f>
        <v xml:space="preserve">          6273 - RENT</v>
      </c>
      <c r="C66" s="11"/>
      <c r="D66" s="7">
        <v>6900</v>
      </c>
      <c r="E66" s="2"/>
      <c r="F66" s="6">
        <f t="shared" si="36"/>
        <v>0.25948209629944685</v>
      </c>
      <c r="G66" s="2"/>
      <c r="H66" s="7">
        <v>6900</v>
      </c>
      <c r="I66" s="2"/>
      <c r="J66" s="6">
        <f t="shared" si="37"/>
        <v>0.31240095984063021</v>
      </c>
      <c r="K66" s="2"/>
      <c r="L66" s="7">
        <f t="shared" si="38"/>
        <v>0</v>
      </c>
      <c r="M66" s="2"/>
      <c r="N66" s="6">
        <f t="shared" si="39"/>
        <v>0</v>
      </c>
      <c r="O66" s="11"/>
      <c r="P66" s="7">
        <v>48300</v>
      </c>
      <c r="Q66" s="2"/>
      <c r="R66" s="6">
        <f t="shared" si="40"/>
        <v>0.20881428891536366</v>
      </c>
      <c r="S66" s="2"/>
      <c r="T66" s="7">
        <v>48300</v>
      </c>
      <c r="U66" s="2"/>
      <c r="V66" s="6">
        <f t="shared" si="41"/>
        <v>0.25340230632823729</v>
      </c>
      <c r="W66" s="2"/>
      <c r="X66" s="7">
        <f t="shared" si="42"/>
        <v>0</v>
      </c>
      <c r="Y66" s="2"/>
      <c r="Z66" s="6">
        <f t="shared" si="43"/>
        <v>0</v>
      </c>
    </row>
    <row r="67" spans="1:26" s="28" customFormat="1" outlineLevel="1" collapsed="1" x14ac:dyDescent="0.3">
      <c r="A67" s="29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SUM(OSRRefD22_11x_0)</f>
        <v>0</v>
      </c>
      <c r="E67" s="1"/>
      <c r="F67" s="5">
        <f t="shared" si="36"/>
        <v>0</v>
      </c>
      <c r="G67" s="1"/>
      <c r="H67" s="1">
        <f>SUM(OSRRefH22_11x_0)</f>
        <v>615</v>
      </c>
      <c r="I67" s="1"/>
      <c r="J67" s="5">
        <f t="shared" si="37"/>
        <v>2.7844433377099652E-2</v>
      </c>
      <c r="K67" s="1"/>
      <c r="L67" s="1">
        <f t="shared" si="38"/>
        <v>-615</v>
      </c>
      <c r="M67" s="1"/>
      <c r="N67" s="5">
        <f t="shared" si="39"/>
        <v>-1</v>
      </c>
      <c r="O67" s="14"/>
      <c r="P67" s="1">
        <f>SUM(OSRRefP22_11x_0)</f>
        <v>1286.6399999999999</v>
      </c>
      <c r="Q67" s="1"/>
      <c r="R67" s="5">
        <f t="shared" si="40"/>
        <v>5.5625013807466556E-3</v>
      </c>
      <c r="S67" s="1"/>
      <c r="T67" s="1">
        <f>SUM(OSRRefT22_11x_0)</f>
        <v>1305</v>
      </c>
      <c r="U67" s="1"/>
      <c r="V67" s="5">
        <f t="shared" si="41"/>
        <v>6.8465840529679019E-3</v>
      </c>
      <c r="W67" s="1"/>
      <c r="X67" s="1">
        <f t="shared" si="42"/>
        <v>-18.360000000000127</v>
      </c>
      <c r="Y67" s="1"/>
      <c r="Z67" s="5">
        <f t="shared" si="43"/>
        <v>-1.4068965517241476E-2</v>
      </c>
    </row>
    <row r="68" spans="1:26" s="24" customFormat="1" hidden="1" outlineLevel="2" x14ac:dyDescent="0.3">
      <c r="A68" s="27"/>
      <c r="B68" s="11" t="str">
        <f>CONCATENATE("          ", "6373", " - ", "MAINTENANCE CONTRACTS")</f>
        <v xml:space="preserve">          6373 - MAINTENANCE CONTRACTS</v>
      </c>
      <c r="C68" s="11"/>
      <c r="D68" s="7"/>
      <c r="E68" s="2"/>
      <c r="F68" s="6">
        <f t="shared" si="36"/>
        <v>0</v>
      </c>
      <c r="G68" s="2"/>
      <c r="H68" s="7">
        <v>115</v>
      </c>
      <c r="I68" s="2"/>
      <c r="J68" s="6">
        <f t="shared" si="37"/>
        <v>5.2066826640105035E-3</v>
      </c>
      <c r="K68" s="2"/>
      <c r="L68" s="7">
        <f t="shared" si="38"/>
        <v>-115</v>
      </c>
      <c r="M68" s="2"/>
      <c r="N68" s="6">
        <f t="shared" si="39"/>
        <v>-1</v>
      </c>
      <c r="O68" s="11"/>
      <c r="P68" s="7">
        <v>463.83</v>
      </c>
      <c r="Q68" s="2"/>
      <c r="R68" s="6">
        <f t="shared" si="40"/>
        <v>2.0052656651679737E-3</v>
      </c>
      <c r="S68" s="2"/>
      <c r="T68" s="7">
        <v>805</v>
      </c>
      <c r="U68" s="2"/>
      <c r="V68" s="6">
        <f t="shared" si="41"/>
        <v>4.2233717721372882E-3</v>
      </c>
      <c r="W68" s="2"/>
      <c r="X68" s="7">
        <f t="shared" si="42"/>
        <v>-341.17</v>
      </c>
      <c r="Y68" s="2"/>
      <c r="Z68" s="6">
        <f t="shared" si="43"/>
        <v>-0.42381366459627329</v>
      </c>
    </row>
    <row r="69" spans="1:26" s="24" customFormat="1" hidden="1" outlineLevel="2" x14ac:dyDescent="0.3">
      <c r="A69" s="27"/>
      <c r="B69" s="11" t="str">
        <f>CONCATENATE("          ", "6375", " - ", "OUTSIDE REPAIRS &amp; MAINTENANCE")</f>
        <v xml:space="preserve">          6375 - OUTSIDE REPAIRS &amp; MAINTENANCE</v>
      </c>
      <c r="C69" s="11"/>
      <c r="D69" s="7"/>
      <c r="E69" s="2"/>
      <c r="F69" s="6">
        <f t="shared" si="36"/>
        <v>0</v>
      </c>
      <c r="G69" s="2"/>
      <c r="H69" s="7">
        <v>500</v>
      </c>
      <c r="I69" s="2"/>
      <c r="J69" s="6">
        <f t="shared" si="37"/>
        <v>2.2637750713089148E-2</v>
      </c>
      <c r="K69" s="2"/>
      <c r="L69" s="7">
        <f t="shared" si="38"/>
        <v>-500</v>
      </c>
      <c r="M69" s="2"/>
      <c r="N69" s="6">
        <f t="shared" si="39"/>
        <v>-1</v>
      </c>
      <c r="O69" s="11"/>
      <c r="P69" s="7">
        <v>822.81</v>
      </c>
      <c r="Q69" s="2"/>
      <c r="R69" s="6">
        <f t="shared" si="40"/>
        <v>3.5572357155786824E-3</v>
      </c>
      <c r="S69" s="2"/>
      <c r="T69" s="7">
        <v>500</v>
      </c>
      <c r="U69" s="2"/>
      <c r="V69" s="6">
        <f t="shared" si="41"/>
        <v>2.6232122808306137E-3</v>
      </c>
      <c r="W69" s="2"/>
      <c r="X69" s="7">
        <f t="shared" si="42"/>
        <v>322.80999999999995</v>
      </c>
      <c r="Y69" s="2"/>
      <c r="Z69" s="6">
        <f t="shared" si="43"/>
        <v>0.64561999999999986</v>
      </c>
    </row>
    <row r="70" spans="1:26" s="28" customFormat="1" outlineLevel="1" collapsed="1" x14ac:dyDescent="0.3">
      <c r="A70" s="29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SUM(OSRRefD22_12x_0)</f>
        <v>101.98999999999998</v>
      </c>
      <c r="E70" s="1"/>
      <c r="F70" s="5">
        <f t="shared" ref="F70:F72" si="44">IF(D$12=0,0,D70/D$12)</f>
        <v>3.8354462321131275E-3</v>
      </c>
      <c r="G70" s="1"/>
      <c r="H70" s="1">
        <f>SUM(OSRRefH22_12x_0)</f>
        <v>60</v>
      </c>
      <c r="I70" s="1"/>
      <c r="J70" s="5">
        <f t="shared" ref="J70:J72" si="45">IF(H$12=0,0,H70/H$12)</f>
        <v>2.7165300855706976E-3</v>
      </c>
      <c r="K70" s="1"/>
      <c r="L70" s="1">
        <f t="shared" ref="L70:L72" si="46">+D70-H70</f>
        <v>41.989999999999981</v>
      </c>
      <c r="M70" s="1"/>
      <c r="N70" s="5">
        <f t="shared" ref="N70:N72" si="47">IF(H70=0,0,L70/H70)</f>
        <v>0.69983333333333297</v>
      </c>
      <c r="O70" s="14"/>
      <c r="P70" s="1">
        <f>SUM(OSRRefP22_12x_0)</f>
        <v>1131.9100000000001</v>
      </c>
      <c r="Q70" s="1"/>
      <c r="R70" s="5">
        <f t="shared" ref="R70:R72" si="48">IF(P$12=0,0,P70/P$12)</f>
        <v>4.8935606990929467E-3</v>
      </c>
      <c r="S70" s="1"/>
      <c r="T70" s="1">
        <f>SUM(OSRRefT22_12x_0)</f>
        <v>540</v>
      </c>
      <c r="U70" s="1"/>
      <c r="V70" s="5">
        <f t="shared" ref="V70:V72" si="49">IF(T$12=0,0,T70/T$12)</f>
        <v>2.8330692632970631E-3</v>
      </c>
      <c r="W70" s="1"/>
      <c r="X70" s="1">
        <f t="shared" ref="X70:X72" si="50">+P70-T70</f>
        <v>591.91000000000008</v>
      </c>
      <c r="Y70" s="1"/>
      <c r="Z70" s="5">
        <f t="shared" ref="Z70:Z72" si="51">IF(T70=0,0,X70/T70)</f>
        <v>1.0961296296296297</v>
      </c>
    </row>
    <row r="71" spans="1:26" s="24" customFormat="1" hidden="1" outlineLevel="2" x14ac:dyDescent="0.3">
      <c r="A71" s="27"/>
      <c r="B71" s="11" t="str">
        <f>CONCATENATE("          ", "6284", " - ", "TRASH REMOVAL EXPENSE")</f>
        <v xml:space="preserve">          6284 - TRASH REMOVAL EXPENSE</v>
      </c>
      <c r="C71" s="11"/>
      <c r="D71" s="7">
        <v>149.69999999999999</v>
      </c>
      <c r="E71" s="2"/>
      <c r="F71" s="6">
        <f t="shared" si="44"/>
        <v>5.6296333066706075E-3</v>
      </c>
      <c r="G71" s="2"/>
      <c r="H71" s="7">
        <v>60</v>
      </c>
      <c r="I71" s="2"/>
      <c r="J71" s="6">
        <f t="shared" si="45"/>
        <v>2.7165300855706976E-3</v>
      </c>
      <c r="K71" s="2"/>
      <c r="L71" s="7">
        <f t="shared" si="46"/>
        <v>89.699999999999989</v>
      </c>
      <c r="M71" s="2"/>
      <c r="N71" s="6">
        <f t="shared" si="47"/>
        <v>1.4949999999999999</v>
      </c>
      <c r="O71" s="11"/>
      <c r="P71" s="7">
        <v>1040.77</v>
      </c>
      <c r="Q71" s="2"/>
      <c r="R71" s="6">
        <f t="shared" si="48"/>
        <v>4.4995372147917812E-3</v>
      </c>
      <c r="S71" s="2"/>
      <c r="T71" s="7">
        <v>540</v>
      </c>
      <c r="U71" s="2"/>
      <c r="V71" s="6">
        <f t="shared" si="49"/>
        <v>2.8330692632970631E-3</v>
      </c>
      <c r="W71" s="2"/>
      <c r="X71" s="7">
        <f t="shared" si="50"/>
        <v>500.77</v>
      </c>
      <c r="Y71" s="2"/>
      <c r="Z71" s="6">
        <f t="shared" si="51"/>
        <v>0.92735185185185187</v>
      </c>
    </row>
    <row r="72" spans="1:26" s="24" customFormat="1" hidden="1" outlineLevel="2" x14ac:dyDescent="0.3">
      <c r="A72" s="27"/>
      <c r="B72" s="11" t="str">
        <f>CONCATENATE("          ", "6285", " - ", "JANITORIAL SERVICES")</f>
        <v xml:space="preserve">          6285 - JANITORIAL SERVICES</v>
      </c>
      <c r="C72" s="11"/>
      <c r="D72" s="7">
        <v>-47.71</v>
      </c>
      <c r="E72" s="2"/>
      <c r="F72" s="6">
        <f t="shared" si="44"/>
        <v>-1.7941870745574796E-3</v>
      </c>
      <c r="G72" s="2"/>
      <c r="H72" s="7"/>
      <c r="I72" s="2"/>
      <c r="J72" s="6">
        <f t="shared" si="45"/>
        <v>0</v>
      </c>
      <c r="K72" s="2"/>
      <c r="L72" s="7">
        <f t="shared" si="46"/>
        <v>-47.71</v>
      </c>
      <c r="M72" s="2"/>
      <c r="N72" s="6">
        <f t="shared" si="47"/>
        <v>0</v>
      </c>
      <c r="O72" s="11"/>
      <c r="P72" s="7">
        <v>91.14</v>
      </c>
      <c r="Q72" s="2"/>
      <c r="R72" s="6">
        <f t="shared" si="48"/>
        <v>3.9402348430116451E-4</v>
      </c>
      <c r="S72" s="2"/>
      <c r="T72" s="7"/>
      <c r="U72" s="2"/>
      <c r="V72" s="6">
        <f t="shared" si="49"/>
        <v>0</v>
      </c>
      <c r="W72" s="2"/>
      <c r="X72" s="7">
        <f t="shared" si="50"/>
        <v>91.14</v>
      </c>
      <c r="Y72" s="2"/>
      <c r="Z72" s="6">
        <f t="shared" si="51"/>
        <v>0</v>
      </c>
    </row>
    <row r="73" spans="1:26" s="28" customFormat="1" outlineLevel="1" collapsed="1" x14ac:dyDescent="0.3">
      <c r="A73" s="29"/>
      <c r="B73" s="14" t="str">
        <f>CONCATENATE("     ","Subscriptions &amp; Dues                              ")</f>
        <v xml:space="preserve">     Subscriptions &amp; Dues                              </v>
      </c>
      <c r="C73" s="14"/>
      <c r="D73" s="1">
        <f>SUM(OSRRefD22_13x_0)</f>
        <v>0</v>
      </c>
      <c r="E73" s="1"/>
      <c r="F73" s="5">
        <f t="shared" ref="F73:F75" si="52">IF(D$12=0,0,D73/D$12)</f>
        <v>0</v>
      </c>
      <c r="G73" s="1"/>
      <c r="H73" s="1">
        <f>SUM(OSRRefH22_13x_0)</f>
        <v>81</v>
      </c>
      <c r="I73" s="1"/>
      <c r="J73" s="5">
        <f t="shared" ref="J73:J75" si="53">IF(H$12=0,0,H73/H$12)</f>
        <v>3.6673156155204419E-3</v>
      </c>
      <c r="K73" s="1"/>
      <c r="L73" s="1">
        <f t="shared" ref="L73:L75" si="54">+D73-H73</f>
        <v>-81</v>
      </c>
      <c r="M73" s="1"/>
      <c r="N73" s="5">
        <f t="shared" ref="N73:N75" si="55">IF(H73=0,0,L73/H73)</f>
        <v>-1</v>
      </c>
      <c r="O73" s="14"/>
      <c r="P73" s="1">
        <f>SUM(OSRRefP22_13x_0)</f>
        <v>0</v>
      </c>
      <c r="Q73" s="1"/>
      <c r="R73" s="5">
        <f t="shared" ref="R73:R75" si="56">IF(P$12=0,0,P73/P$12)</f>
        <v>0</v>
      </c>
      <c r="S73" s="1"/>
      <c r="T73" s="1">
        <f>SUM(OSRRefT22_13x_0)</f>
        <v>902</v>
      </c>
      <c r="U73" s="1"/>
      <c r="V73" s="5">
        <f t="shared" ref="V73:V75" si="57">IF(T$12=0,0,T73/T$12)</f>
        <v>4.7322749546184276E-3</v>
      </c>
      <c r="W73" s="1"/>
      <c r="X73" s="1">
        <f t="shared" ref="X73:X75" si="58">+P73-T73</f>
        <v>-902</v>
      </c>
      <c r="Y73" s="1"/>
      <c r="Z73" s="5">
        <f t="shared" ref="Z73:Z75" si="59">IF(T73=0,0,X73/T73)</f>
        <v>-1</v>
      </c>
    </row>
    <row r="74" spans="1:26" s="24" customFormat="1" hidden="1" outlineLevel="2" x14ac:dyDescent="0.3">
      <c r="A74" s="27"/>
      <c r="B74" s="11" t="str">
        <f>CONCATENATE("          ", "6258", " - ", "MEMBERSHIP DUES")</f>
        <v xml:space="preserve">          6258 - MEMBERSHIP DUES</v>
      </c>
      <c r="C74" s="11"/>
      <c r="D74" s="7"/>
      <c r="E74" s="2"/>
      <c r="F74" s="6">
        <f t="shared" si="52"/>
        <v>0</v>
      </c>
      <c r="G74" s="2"/>
      <c r="H74" s="7"/>
      <c r="I74" s="2"/>
      <c r="J74" s="6">
        <f t="shared" si="53"/>
        <v>0</v>
      </c>
      <c r="K74" s="2"/>
      <c r="L74" s="7">
        <f t="shared" si="54"/>
        <v>0</v>
      </c>
      <c r="M74" s="2"/>
      <c r="N74" s="6">
        <f t="shared" si="55"/>
        <v>0</v>
      </c>
      <c r="O74" s="11"/>
      <c r="P74" s="7"/>
      <c r="Q74" s="2"/>
      <c r="R74" s="6">
        <f t="shared" si="56"/>
        <v>0</v>
      </c>
      <c r="S74" s="2"/>
      <c r="T74" s="7">
        <v>395</v>
      </c>
      <c r="U74" s="2"/>
      <c r="V74" s="6">
        <f t="shared" si="57"/>
        <v>2.0723377018561852E-3</v>
      </c>
      <c r="W74" s="2"/>
      <c r="X74" s="7">
        <f t="shared" si="58"/>
        <v>-395</v>
      </c>
      <c r="Y74" s="2"/>
      <c r="Z74" s="6">
        <f t="shared" si="59"/>
        <v>-1</v>
      </c>
    </row>
    <row r="75" spans="1:26" s="24" customFormat="1" hidden="1" outlineLevel="2" x14ac:dyDescent="0.3">
      <c r="A75" s="27"/>
      <c r="B75" s="11" t="str">
        <f>CONCATENATE("          ", "6275", " - ", "SUBSCRIPTIONS")</f>
        <v xml:space="preserve">          6275 - SUBSCRIPTIONS</v>
      </c>
      <c r="C75" s="11"/>
      <c r="D75" s="7"/>
      <c r="E75" s="2"/>
      <c r="F75" s="6">
        <f t="shared" si="52"/>
        <v>0</v>
      </c>
      <c r="G75" s="2"/>
      <c r="H75" s="7">
        <v>81</v>
      </c>
      <c r="I75" s="2"/>
      <c r="J75" s="6">
        <f t="shared" si="53"/>
        <v>3.6673156155204419E-3</v>
      </c>
      <c r="K75" s="2"/>
      <c r="L75" s="7">
        <f t="shared" si="54"/>
        <v>-81</v>
      </c>
      <c r="M75" s="2"/>
      <c r="N75" s="6">
        <f t="shared" si="55"/>
        <v>-1</v>
      </c>
      <c r="O75" s="11"/>
      <c r="P75" s="7"/>
      <c r="Q75" s="2"/>
      <c r="R75" s="6">
        <f t="shared" si="56"/>
        <v>0</v>
      </c>
      <c r="S75" s="2"/>
      <c r="T75" s="7">
        <v>507</v>
      </c>
      <c r="U75" s="2"/>
      <c r="V75" s="6">
        <f t="shared" si="57"/>
        <v>2.6599372527622424E-3</v>
      </c>
      <c r="W75" s="2"/>
      <c r="X75" s="7">
        <f t="shared" si="58"/>
        <v>-507</v>
      </c>
      <c r="Y75" s="2"/>
      <c r="Z75" s="6">
        <f t="shared" si="59"/>
        <v>-1</v>
      </c>
    </row>
    <row r="76" spans="1:26" s="28" customFormat="1" outlineLevel="1" collapsed="1" x14ac:dyDescent="0.3">
      <c r="A76" s="29"/>
      <c r="B76" s="14" t="str">
        <f>CONCATENATE("     ","Supplies                                          ")</f>
        <v xml:space="preserve">     Supplies                                          </v>
      </c>
      <c r="C76" s="14"/>
      <c r="D76" s="1">
        <f>SUM(OSRRefD22_14x_0)</f>
        <v>29.9</v>
      </c>
      <c r="E76" s="1"/>
      <c r="F76" s="5">
        <f t="shared" ref="F76:F79" si="60">IF(D$12=0,0,D76/D$12)</f>
        <v>1.1244224172976029E-3</v>
      </c>
      <c r="G76" s="1"/>
      <c r="H76" s="1">
        <f>SUM(OSRRefH22_14x_0)</f>
        <v>30</v>
      </c>
      <c r="I76" s="1"/>
      <c r="J76" s="5">
        <f t="shared" ref="J76:J79" si="61">IF(H$12=0,0,H76/H$12)</f>
        <v>1.3582650427853488E-3</v>
      </c>
      <c r="K76" s="1"/>
      <c r="L76" s="1">
        <f t="shared" ref="L76:L79" si="62">+D76-H76</f>
        <v>-0.10000000000000142</v>
      </c>
      <c r="M76" s="1"/>
      <c r="N76" s="5">
        <f t="shared" ref="N76:N79" si="63">IF(H76=0,0,L76/H76)</f>
        <v>-3.3333333333333808E-3</v>
      </c>
      <c r="O76" s="14"/>
      <c r="P76" s="1">
        <f>SUM(OSRRefP22_14x_0)</f>
        <v>1036.6300000000001</v>
      </c>
      <c r="Q76" s="1"/>
      <c r="R76" s="5">
        <f t="shared" ref="R76:R79" si="64">IF(P$12=0,0,P76/P$12)</f>
        <v>4.4816388471704653E-3</v>
      </c>
      <c r="S76" s="1"/>
      <c r="T76" s="1">
        <f>SUM(OSRRefT22_14x_0)</f>
        <v>290</v>
      </c>
      <c r="U76" s="1"/>
      <c r="V76" s="5">
        <f t="shared" ref="V76:V79" si="65">IF(T$12=0,0,T76/T$12)</f>
        <v>1.521463122881756E-3</v>
      </c>
      <c r="W76" s="1"/>
      <c r="X76" s="1">
        <f t="shared" ref="X76:X79" si="66">+P76-T76</f>
        <v>746.63000000000011</v>
      </c>
      <c r="Y76" s="1"/>
      <c r="Z76" s="5">
        <f t="shared" ref="Z76:Z79" si="67">IF(T76=0,0,X76/T76)</f>
        <v>2.5745862068965519</v>
      </c>
    </row>
    <row r="77" spans="1:26" s="24" customFormat="1" hidden="1" outlineLevel="2" x14ac:dyDescent="0.3">
      <c r="A77" s="27"/>
      <c r="B77" s="11" t="str">
        <f>CONCATENATE("          ", "6237", " - ", "JANITORIAL SUPPLIES")</f>
        <v xml:space="preserve">          6237 - JANITORIAL SUPPLIES</v>
      </c>
      <c r="C77" s="11"/>
      <c r="D77" s="7"/>
      <c r="E77" s="2"/>
      <c r="F77" s="6">
        <f t="shared" si="60"/>
        <v>0</v>
      </c>
      <c r="G77" s="2"/>
      <c r="H77" s="7">
        <v>10</v>
      </c>
      <c r="I77" s="2"/>
      <c r="J77" s="6">
        <f t="shared" si="61"/>
        <v>4.5275501426178294E-4</v>
      </c>
      <c r="K77" s="2"/>
      <c r="L77" s="7">
        <f t="shared" si="62"/>
        <v>-10</v>
      </c>
      <c r="M77" s="2"/>
      <c r="N77" s="6">
        <f t="shared" si="63"/>
        <v>-1</v>
      </c>
      <c r="O77" s="11"/>
      <c r="P77" s="7">
        <v>77.17</v>
      </c>
      <c r="Q77" s="2"/>
      <c r="R77" s="6">
        <f t="shared" si="64"/>
        <v>3.3362730177222805E-4</v>
      </c>
      <c r="S77" s="2"/>
      <c r="T77" s="7">
        <v>150</v>
      </c>
      <c r="U77" s="2"/>
      <c r="V77" s="6">
        <f t="shared" si="65"/>
        <v>7.8696368424918423E-4</v>
      </c>
      <c r="W77" s="2"/>
      <c r="X77" s="7">
        <f t="shared" si="66"/>
        <v>-72.83</v>
      </c>
      <c r="Y77" s="2"/>
      <c r="Z77" s="6">
        <f t="shared" si="67"/>
        <v>-0.48553333333333332</v>
      </c>
    </row>
    <row r="78" spans="1:26" s="24" customFormat="1" hidden="1" outlineLevel="2" x14ac:dyDescent="0.3">
      <c r="A78" s="27"/>
      <c r="B78" s="11" t="str">
        <f>CONCATENATE("          ", "6241", " - ", "OFFICE EXPENSE")</f>
        <v xml:space="preserve">          6241 - OFFICE EXPENSE</v>
      </c>
      <c r="C78" s="11"/>
      <c r="D78" s="7">
        <v>29.9</v>
      </c>
      <c r="E78" s="2"/>
      <c r="F78" s="6">
        <f t="shared" si="60"/>
        <v>1.1244224172976029E-3</v>
      </c>
      <c r="G78" s="2"/>
      <c r="H78" s="7">
        <v>20</v>
      </c>
      <c r="I78" s="2"/>
      <c r="J78" s="6">
        <f t="shared" si="61"/>
        <v>9.0551002852356588E-4</v>
      </c>
      <c r="K78" s="2"/>
      <c r="L78" s="7">
        <f t="shared" si="62"/>
        <v>9.8999999999999986</v>
      </c>
      <c r="M78" s="2"/>
      <c r="N78" s="6">
        <f t="shared" si="63"/>
        <v>0.49499999999999994</v>
      </c>
      <c r="O78" s="11"/>
      <c r="P78" s="7">
        <v>359.96</v>
      </c>
      <c r="Q78" s="2"/>
      <c r="R78" s="6">
        <f t="shared" si="64"/>
        <v>1.5562068620698613E-3</v>
      </c>
      <c r="S78" s="2"/>
      <c r="T78" s="7">
        <v>140</v>
      </c>
      <c r="U78" s="2"/>
      <c r="V78" s="6">
        <f t="shared" si="65"/>
        <v>7.3449943863257189E-4</v>
      </c>
      <c r="W78" s="2"/>
      <c r="X78" s="7">
        <f t="shared" si="66"/>
        <v>219.95999999999998</v>
      </c>
      <c r="Y78" s="2"/>
      <c r="Z78" s="6">
        <f t="shared" si="67"/>
        <v>1.571142857142857</v>
      </c>
    </row>
    <row r="79" spans="1:26" s="24" customFormat="1" hidden="1" outlineLevel="2" x14ac:dyDescent="0.3">
      <c r="A79" s="27"/>
      <c r="B79" s="11" t="str">
        <f>CONCATENATE("          ", "6247", " - ", "STORE SUPPLIES")</f>
        <v xml:space="preserve">          6247 - STORE SUPPLIES</v>
      </c>
      <c r="C79" s="11"/>
      <c r="D79" s="7"/>
      <c r="E79" s="2"/>
      <c r="F79" s="6">
        <f t="shared" si="60"/>
        <v>0</v>
      </c>
      <c r="G79" s="2"/>
      <c r="H79" s="7"/>
      <c r="I79" s="2"/>
      <c r="J79" s="6">
        <f t="shared" si="61"/>
        <v>0</v>
      </c>
      <c r="K79" s="2"/>
      <c r="L79" s="7">
        <f t="shared" si="62"/>
        <v>0</v>
      </c>
      <c r="M79" s="2"/>
      <c r="N79" s="6">
        <f t="shared" si="63"/>
        <v>0</v>
      </c>
      <c r="O79" s="11"/>
      <c r="P79" s="7">
        <v>599.5</v>
      </c>
      <c r="Q79" s="2"/>
      <c r="R79" s="6">
        <f t="shared" si="64"/>
        <v>2.5918046833283753E-3</v>
      </c>
      <c r="S79" s="2"/>
      <c r="T79" s="7"/>
      <c r="U79" s="2"/>
      <c r="V79" s="6">
        <f t="shared" si="65"/>
        <v>0</v>
      </c>
      <c r="W79" s="2"/>
      <c r="X79" s="7">
        <f t="shared" si="66"/>
        <v>599.5</v>
      </c>
      <c r="Y79" s="2"/>
      <c r="Z79" s="6">
        <f t="shared" si="67"/>
        <v>0</v>
      </c>
    </row>
    <row r="80" spans="1:26" s="28" customFormat="1" outlineLevel="1" collapsed="1" x14ac:dyDescent="0.3">
      <c r="A80" s="29"/>
      <c r="B80" s="14" t="str">
        <f>CONCATENATE("     ","Telephone/Data Lines                              ")</f>
        <v xml:space="preserve">     Telephone/Data Lines                              </v>
      </c>
      <c r="C80" s="14"/>
      <c r="D80" s="1">
        <f>SUM(OSRRefD22_15x_0)</f>
        <v>297.83999999999997</v>
      </c>
      <c r="E80" s="1"/>
      <c r="F80" s="5">
        <f t="shared" ref="F80:F84" si="68">IF(D$12=0,0,D80/D$12)</f>
        <v>1.1200601095916992E-2</v>
      </c>
      <c r="G80" s="1"/>
      <c r="H80" s="1">
        <f>SUM(OSRRefH22_15x_0)</f>
        <v>250</v>
      </c>
      <c r="I80" s="1"/>
      <c r="J80" s="5">
        <f t="shared" ref="J80:J84" si="69">IF(H$12=0,0,H80/H$12)</f>
        <v>1.1318875356544574E-2</v>
      </c>
      <c r="K80" s="1"/>
      <c r="L80" s="1">
        <f t="shared" ref="L80:L84" si="70">+D80-H80</f>
        <v>47.839999999999975</v>
      </c>
      <c r="M80" s="1"/>
      <c r="N80" s="5">
        <f t="shared" ref="N80:N84" si="71">IF(H80=0,0,L80/H80)</f>
        <v>0.19135999999999989</v>
      </c>
      <c r="O80" s="14"/>
      <c r="P80" s="1">
        <f>SUM(OSRRefP22_15x_0)</f>
        <v>2179.88</v>
      </c>
      <c r="Q80" s="1"/>
      <c r="R80" s="5">
        <f t="shared" ref="R80:R84" si="72">IF(P$12=0,0,P80/P$12)</f>
        <v>9.4242255097478876E-3</v>
      </c>
      <c r="S80" s="1"/>
      <c r="T80" s="1">
        <f>SUM(OSRRefT22_15x_0)</f>
        <v>1750</v>
      </c>
      <c r="U80" s="1"/>
      <c r="V80" s="5">
        <f t="shared" ref="V80:V84" si="73">IF(T$12=0,0,T80/T$12)</f>
        <v>9.181242982907149E-3</v>
      </c>
      <c r="W80" s="1"/>
      <c r="X80" s="1">
        <f t="shared" ref="X80:X84" si="74">+P80-T80</f>
        <v>429.88000000000011</v>
      </c>
      <c r="Y80" s="1"/>
      <c r="Z80" s="5">
        <f t="shared" ref="Z80:Z84" si="75">IF(T80=0,0,X80/T80)</f>
        <v>0.24564571428571436</v>
      </c>
    </row>
    <row r="81" spans="1:26" s="24" customFormat="1" hidden="1" outlineLevel="2" x14ac:dyDescent="0.3">
      <c r="A81" s="27"/>
      <c r="B81" s="11" t="str">
        <f>CONCATENATE("          ", "6309", " - ", "TELEPHONE")</f>
        <v xml:space="preserve">          6309 - TELEPHONE</v>
      </c>
      <c r="C81" s="11"/>
      <c r="D81" s="7">
        <v>297.83999999999997</v>
      </c>
      <c r="E81" s="2"/>
      <c r="F81" s="6">
        <f t="shared" si="68"/>
        <v>1.1200601095916992E-2</v>
      </c>
      <c r="G81" s="2"/>
      <c r="H81" s="7">
        <v>250</v>
      </c>
      <c r="I81" s="2"/>
      <c r="J81" s="6">
        <f t="shared" si="69"/>
        <v>1.1318875356544574E-2</v>
      </c>
      <c r="K81" s="2"/>
      <c r="L81" s="7">
        <f t="shared" si="70"/>
        <v>47.839999999999975</v>
      </c>
      <c r="M81" s="2"/>
      <c r="N81" s="6">
        <f t="shared" si="71"/>
        <v>0.19135999999999989</v>
      </c>
      <c r="O81" s="11"/>
      <c r="P81" s="7">
        <v>2179.88</v>
      </c>
      <c r="Q81" s="2"/>
      <c r="R81" s="6">
        <f t="shared" si="72"/>
        <v>9.4242255097478876E-3</v>
      </c>
      <c r="S81" s="2"/>
      <c r="T81" s="7">
        <v>1750</v>
      </c>
      <c r="U81" s="2"/>
      <c r="V81" s="6">
        <f t="shared" si="73"/>
        <v>9.181242982907149E-3</v>
      </c>
      <c r="W81" s="2"/>
      <c r="X81" s="7">
        <f t="shared" si="74"/>
        <v>429.88000000000011</v>
      </c>
      <c r="Y81" s="2"/>
      <c r="Z81" s="6">
        <f t="shared" si="75"/>
        <v>0.24564571428571436</v>
      </c>
    </row>
    <row r="82" spans="1:26" s="28" customFormat="1" outlineLevel="1" collapsed="1" x14ac:dyDescent="0.3">
      <c r="A82" s="29"/>
      <c r="B82" s="14" t="str">
        <f>CONCATENATE("     ","Travel                                            ")</f>
        <v xml:space="preserve">     Travel                                            </v>
      </c>
      <c r="C82" s="14"/>
      <c r="D82" s="1">
        <f>SUM(OSRRefD22_16x_0)</f>
        <v>0</v>
      </c>
      <c r="E82" s="1"/>
      <c r="F82" s="5">
        <f t="shared" si="68"/>
        <v>0</v>
      </c>
      <c r="G82" s="1"/>
      <c r="H82" s="1">
        <f>SUM(OSRRefH22_16x_0)</f>
        <v>25</v>
      </c>
      <c r="I82" s="1"/>
      <c r="J82" s="5">
        <f t="shared" si="69"/>
        <v>1.1318875356544575E-3</v>
      </c>
      <c r="K82" s="1"/>
      <c r="L82" s="1">
        <f t="shared" si="70"/>
        <v>-25</v>
      </c>
      <c r="M82" s="1"/>
      <c r="N82" s="5">
        <f t="shared" si="71"/>
        <v>-1</v>
      </c>
      <c r="O82" s="14"/>
      <c r="P82" s="1">
        <f>SUM(OSRRefP22_16x_0)</f>
        <v>199.61</v>
      </c>
      <c r="Q82" s="1"/>
      <c r="R82" s="5">
        <f t="shared" si="72"/>
        <v>8.629693625340734E-4</v>
      </c>
      <c r="S82" s="1"/>
      <c r="T82" s="1">
        <f>SUM(OSRRefT22_16x_0)</f>
        <v>425</v>
      </c>
      <c r="U82" s="1"/>
      <c r="V82" s="5">
        <f t="shared" si="73"/>
        <v>2.2297304387060217E-3</v>
      </c>
      <c r="W82" s="1"/>
      <c r="X82" s="1">
        <f t="shared" si="74"/>
        <v>-225.39</v>
      </c>
      <c r="Y82" s="1"/>
      <c r="Z82" s="5">
        <f t="shared" si="75"/>
        <v>-0.53032941176470583</v>
      </c>
    </row>
    <row r="83" spans="1:26" s="24" customFormat="1" hidden="1" outlineLevel="2" x14ac:dyDescent="0.3">
      <c r="A83" s="27"/>
      <c r="B83" s="11" t="str">
        <f>CONCATENATE("          ", "6294", " - ", "TRAVEL OPERATIONAL")</f>
        <v xml:space="preserve">          6294 - TRAVEL OPERATIONAL</v>
      </c>
      <c r="C83" s="11"/>
      <c r="D83" s="7"/>
      <c r="E83" s="2"/>
      <c r="F83" s="6">
        <f t="shared" si="68"/>
        <v>0</v>
      </c>
      <c r="G83" s="2"/>
      <c r="H83" s="7"/>
      <c r="I83" s="2"/>
      <c r="J83" s="6">
        <f t="shared" si="69"/>
        <v>0</v>
      </c>
      <c r="K83" s="2"/>
      <c r="L83" s="7">
        <f t="shared" si="70"/>
        <v>0</v>
      </c>
      <c r="M83" s="2"/>
      <c r="N83" s="6">
        <f t="shared" si="71"/>
        <v>0</v>
      </c>
      <c r="O83" s="11"/>
      <c r="P83" s="7">
        <v>199.61</v>
      </c>
      <c r="Q83" s="2"/>
      <c r="R83" s="6">
        <f t="shared" si="72"/>
        <v>8.629693625340734E-4</v>
      </c>
      <c r="S83" s="2"/>
      <c r="T83" s="7"/>
      <c r="U83" s="2"/>
      <c r="V83" s="6">
        <f t="shared" si="73"/>
        <v>0</v>
      </c>
      <c r="W83" s="2"/>
      <c r="X83" s="7">
        <f t="shared" si="74"/>
        <v>199.61</v>
      </c>
      <c r="Y83" s="2"/>
      <c r="Z83" s="6">
        <f t="shared" si="75"/>
        <v>0</v>
      </c>
    </row>
    <row r="84" spans="1:26" s="24" customFormat="1" hidden="1" outlineLevel="2" x14ac:dyDescent="0.3">
      <c r="A84" s="27"/>
      <c r="B84" s="11" t="str">
        <f>CONCATENATE("          ", "6298", " - ", "VEHICLE MILEAGE")</f>
        <v xml:space="preserve">          6298 - VEHICLE MILEAGE</v>
      </c>
      <c r="C84" s="11"/>
      <c r="D84" s="7"/>
      <c r="E84" s="2"/>
      <c r="F84" s="6">
        <f t="shared" si="68"/>
        <v>0</v>
      </c>
      <c r="G84" s="2"/>
      <c r="H84" s="7">
        <v>25</v>
      </c>
      <c r="I84" s="2"/>
      <c r="J84" s="6">
        <f t="shared" si="69"/>
        <v>1.1318875356544575E-3</v>
      </c>
      <c r="K84" s="2"/>
      <c r="L84" s="7">
        <f t="shared" si="70"/>
        <v>-25</v>
      </c>
      <c r="M84" s="2"/>
      <c r="N84" s="6">
        <f t="shared" si="71"/>
        <v>-1</v>
      </c>
      <c r="O84" s="11"/>
      <c r="P84" s="7"/>
      <c r="Q84" s="2"/>
      <c r="R84" s="6">
        <f t="shared" si="72"/>
        <v>0</v>
      </c>
      <c r="S84" s="2"/>
      <c r="T84" s="7">
        <v>425</v>
      </c>
      <c r="U84" s="2"/>
      <c r="V84" s="6">
        <f t="shared" si="73"/>
        <v>2.2297304387060217E-3</v>
      </c>
      <c r="W84" s="2"/>
      <c r="X84" s="7">
        <f t="shared" si="74"/>
        <v>-425</v>
      </c>
      <c r="Y84" s="2"/>
      <c r="Z84" s="6">
        <f t="shared" si="75"/>
        <v>-1</v>
      </c>
    </row>
    <row r="85" spans="1:26" s="28" customFormat="1" outlineLevel="1" collapsed="1" x14ac:dyDescent="0.3">
      <c r="A85" s="29"/>
      <c r="B85" s="14" t="str">
        <f>CONCATENATE("     ","Utilities                                         ")</f>
        <v xml:space="preserve">     Utilities                                         </v>
      </c>
      <c r="C85" s="14"/>
      <c r="D85" s="1">
        <f>SUM(OSRRefD22_17x_0)</f>
        <v>292.91000000000003</v>
      </c>
      <c r="E85" s="1"/>
      <c r="F85" s="5">
        <f t="shared" ref="F85:F86" si="76">IF(D$12=0,0,D85/D$12)</f>
        <v>1.1015203018416084E-2</v>
      </c>
      <c r="G85" s="1"/>
      <c r="H85" s="1">
        <f>SUM(OSRRefH22_17x_0)</f>
        <v>120</v>
      </c>
      <c r="I85" s="1"/>
      <c r="J85" s="5">
        <f t="shared" ref="J85:J86" si="77">IF(H$12=0,0,H85/H$12)</f>
        <v>5.4330601711413953E-3</v>
      </c>
      <c r="K85" s="1"/>
      <c r="L85" s="1">
        <f t="shared" ref="L85:L86" si="78">+D85-H85</f>
        <v>172.91000000000003</v>
      </c>
      <c r="M85" s="1"/>
      <c r="N85" s="5">
        <f t="shared" ref="N85:N86" si="79">IF(H85=0,0,L85/H85)</f>
        <v>1.4409166666666668</v>
      </c>
      <c r="O85" s="14"/>
      <c r="P85" s="1">
        <f>SUM(OSRRefP22_17x_0)</f>
        <v>539.41999999999996</v>
      </c>
      <c r="Q85" s="1"/>
      <c r="R85" s="5">
        <f t="shared" ref="R85:R86" si="80">IF(P$12=0,0,P85/P$12)</f>
        <v>2.3320621889591194E-3</v>
      </c>
      <c r="S85" s="1"/>
      <c r="T85" s="1">
        <f>SUM(OSRRefT22_17x_0)</f>
        <v>840</v>
      </c>
      <c r="U85" s="1"/>
      <c r="V85" s="5">
        <f t="shared" ref="V85:V86" si="81">IF(T$12=0,0,T85/T$12)</f>
        <v>4.4069966317954318E-3</v>
      </c>
      <c r="W85" s="1"/>
      <c r="X85" s="1">
        <f t="shared" ref="X85:X86" si="82">+P85-T85</f>
        <v>-300.58000000000004</v>
      </c>
      <c r="Y85" s="1"/>
      <c r="Z85" s="5">
        <f t="shared" ref="Z85:Z86" si="83">IF(T85=0,0,X85/T85)</f>
        <v>-0.35783333333333339</v>
      </c>
    </row>
    <row r="86" spans="1:26" s="24" customFormat="1" hidden="1" outlineLevel="2" x14ac:dyDescent="0.3">
      <c r="A86" s="27"/>
      <c r="B86" s="11" t="str">
        <f>CONCATENATE("          ", "6274", " - ", "UTILITIES")</f>
        <v xml:space="preserve">          6274 - UTILITIES</v>
      </c>
      <c r="C86" s="11"/>
      <c r="D86" s="7">
        <v>292.91000000000003</v>
      </c>
      <c r="E86" s="2"/>
      <c r="F86" s="6">
        <f t="shared" si="76"/>
        <v>1.1015203018416084E-2</v>
      </c>
      <c r="G86" s="2"/>
      <c r="H86" s="7">
        <v>120</v>
      </c>
      <c r="I86" s="2"/>
      <c r="J86" s="6">
        <f t="shared" si="77"/>
        <v>5.4330601711413953E-3</v>
      </c>
      <c r="K86" s="2"/>
      <c r="L86" s="7">
        <f t="shared" si="78"/>
        <v>172.91000000000003</v>
      </c>
      <c r="M86" s="2"/>
      <c r="N86" s="6">
        <f t="shared" si="79"/>
        <v>1.4409166666666668</v>
      </c>
      <c r="O86" s="11"/>
      <c r="P86" s="7">
        <v>539.41999999999996</v>
      </c>
      <c r="Q86" s="2"/>
      <c r="R86" s="6">
        <f t="shared" si="80"/>
        <v>2.3320621889591194E-3</v>
      </c>
      <c r="S86" s="2"/>
      <c r="T86" s="7">
        <v>840</v>
      </c>
      <c r="U86" s="2"/>
      <c r="V86" s="6">
        <f t="shared" si="81"/>
        <v>4.4069966317954318E-3</v>
      </c>
      <c r="W86" s="2"/>
      <c r="X86" s="7">
        <f t="shared" si="82"/>
        <v>-300.58000000000004</v>
      </c>
      <c r="Y86" s="2"/>
      <c r="Z86" s="6">
        <f t="shared" si="83"/>
        <v>-0.35783333333333339</v>
      </c>
    </row>
    <row r="87" spans="1:26" s="55" customFormat="1" x14ac:dyDescent="0.3">
      <c r="A87" s="36"/>
      <c r="B87" s="36"/>
      <c r="C87" s="36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x14ac:dyDescent="0.3">
      <c r="A88" s="10"/>
      <c r="B88" s="25" t="s">
        <v>293</v>
      </c>
      <c r="C88" s="10"/>
      <c r="D88" s="4">
        <f>SUM(0)</f>
        <v>0</v>
      </c>
      <c r="E88" s="4"/>
      <c r="F88" s="12">
        <f>IF(D$12=0,0,D88/D$12)</f>
        <v>0</v>
      </c>
      <c r="G88" s="4"/>
      <c r="H88" s="4">
        <f>SUM(0)</f>
        <v>0</v>
      </c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>
        <f>SUM(0)</f>
        <v>0</v>
      </c>
      <c r="Q88" s="4"/>
      <c r="R88" s="12">
        <f>IF(P$12=0,0,P88/P$12)</f>
        <v>0</v>
      </c>
      <c r="S88" s="4"/>
      <c r="T88" s="4">
        <f>SUM(0)</f>
        <v>0</v>
      </c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3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3">
      <c r="A90" s="10"/>
      <c r="B90" s="26" t="s">
        <v>277</v>
      </c>
      <c r="C90" s="26"/>
      <c r="D90" s="21">
        <f>+D24-D26+D88</f>
        <v>-3134.3300000000017</v>
      </c>
      <c r="E90" s="13"/>
      <c r="F90" s="22">
        <f>IF(D$12=0,0,D90/D$12)</f>
        <v>-0.11786993027452836</v>
      </c>
      <c r="G90" s="13"/>
      <c r="H90" s="21">
        <f>+H24-H26+H88</f>
        <v>-11655.408929961544</v>
      </c>
      <c r="I90" s="13"/>
      <c r="J90" s="22">
        <f>IF(H$12=0,0,H90/H$12)</f>
        <v>-0.52770448363116518</v>
      </c>
      <c r="K90" s="15"/>
      <c r="L90" s="21">
        <f>+D90-H90</f>
        <v>8521.0789299615426</v>
      </c>
      <c r="M90" s="15"/>
      <c r="N90" s="22">
        <f>IF(H90=0,0,L90/H90)</f>
        <v>-0.73108365233390893</v>
      </c>
      <c r="O90" s="25"/>
      <c r="P90" s="21">
        <f>+P24-P26+P88</f>
        <v>1520.4399999999878</v>
      </c>
      <c r="Q90" s="13"/>
      <c r="R90" s="22">
        <f>IF(P$12=0,0,P90/P$12)</f>
        <v>6.5732835908586537E-3</v>
      </c>
      <c r="S90" s="13"/>
      <c r="T90" s="21">
        <f>+T24-T26+T88</f>
        <v>-51163.502599961532</v>
      </c>
      <c r="U90" s="13"/>
      <c r="V90" s="22">
        <f>IF(T$12=0,0,T90/T$12)</f>
        <v>-0.26842545670105628</v>
      </c>
      <c r="W90" s="15"/>
      <c r="X90" s="21">
        <f>+P90-T90</f>
        <v>52683.94259996152</v>
      </c>
      <c r="Y90" s="15"/>
      <c r="Z90" s="22">
        <f>IF(T90=0,0,X90/T90)</f>
        <v>-1.0297172774094072</v>
      </c>
    </row>
    <row r="91" spans="1:26" x14ac:dyDescent="0.3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3">
      <c r="A92" s="52"/>
      <c r="B92" s="10" t="s">
        <v>128</v>
      </c>
      <c r="C92" s="10"/>
      <c r="D92" s="4">
        <v>5975.71</v>
      </c>
      <c r="E92" s="4"/>
      <c r="F92" s="12">
        <f>IF(D$12=0,0,D92/D$12)</f>
        <v>0.224723153286604</v>
      </c>
      <c r="G92" s="4"/>
      <c r="H92" s="4">
        <v>2064</v>
      </c>
      <c r="I92" s="4"/>
      <c r="J92" s="12">
        <f>IF(H$12=0,0,H92/H$12)</f>
        <v>9.3448634943631995E-2</v>
      </c>
      <c r="K92" s="4"/>
      <c r="L92" s="4">
        <f>+D92-H92</f>
        <v>3911.71</v>
      </c>
      <c r="M92" s="4"/>
      <c r="N92" s="12">
        <f>IF(H92=0,0,L92/H92)</f>
        <v>1.8952083333333334</v>
      </c>
      <c r="O92" s="10"/>
      <c r="P92" s="4">
        <v>30617.37</v>
      </c>
      <c r="Q92" s="4"/>
      <c r="R92" s="12">
        <f>IF(P$12=0,0,P92/P$12)</f>
        <v>0.13236737774344903</v>
      </c>
      <c r="S92" s="4"/>
      <c r="T92" s="4">
        <v>23883</v>
      </c>
      <c r="U92" s="4"/>
      <c r="V92" s="12">
        <f>IF(T$12=0,0,T92/T$12)</f>
        <v>0.12530035780615512</v>
      </c>
      <c r="W92" s="4"/>
      <c r="X92" s="4">
        <f>+P92-T92</f>
        <v>6734.369999999999</v>
      </c>
      <c r="Y92" s="4"/>
      <c r="Z92" s="12">
        <f>IF(T92=0,0,X92/T92)</f>
        <v>0.28197337017962565</v>
      </c>
    </row>
    <row r="93" spans="1:26" x14ac:dyDescent="0.3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" thickBot="1" x14ac:dyDescent="0.35">
      <c r="A94" s="10"/>
      <c r="B94" s="26" t="s">
        <v>126</v>
      </c>
      <c r="C94" s="26"/>
      <c r="D94" s="32">
        <f>+D90-D92</f>
        <v>-9110.0400000000009</v>
      </c>
      <c r="E94" s="13"/>
      <c r="F94" s="31">
        <f>IF(D$12=0,0,D94/D$12)</f>
        <v>-0.34259308356113233</v>
      </c>
      <c r="G94" s="13"/>
      <c r="H94" s="32">
        <f>+H90-H92</f>
        <v>-13719.408929961544</v>
      </c>
      <c r="I94" s="13"/>
      <c r="J94" s="31">
        <f>IF(H$12=0,0,H94/H$12)</f>
        <v>-0.62115311857479716</v>
      </c>
      <c r="K94" s="15"/>
      <c r="L94" s="32">
        <f>D94-H94</f>
        <v>4609.3689299615435</v>
      </c>
      <c r="M94" s="15"/>
      <c r="N94" s="31">
        <f>IF(H94=0,0,L94/H94)</f>
        <v>-0.33597430862310945</v>
      </c>
      <c r="O94" s="25"/>
      <c r="P94" s="32">
        <f>+P90-P92</f>
        <v>-29096.930000000011</v>
      </c>
      <c r="Q94" s="13"/>
      <c r="R94" s="31">
        <f>IF(P$12=0,0,P94/P$12)</f>
        <v>-0.12579409415259038</v>
      </c>
      <c r="S94" s="13"/>
      <c r="T94" s="32">
        <f>+T90-T92</f>
        <v>-75046.502599961532</v>
      </c>
      <c r="U94" s="13"/>
      <c r="V94" s="31">
        <f>IF(T$12=0,0,T94/T$12)</f>
        <v>-0.39372581450721139</v>
      </c>
      <c r="W94" s="15"/>
      <c r="X94" s="32">
        <f>P94-T94</f>
        <v>45949.572599961524</v>
      </c>
      <c r="Y94" s="15"/>
      <c r="Z94" s="31">
        <f>IF(T94=0,0,X94/T94)</f>
        <v>-0.61228133234799242</v>
      </c>
    </row>
    <row r="95" spans="1:26" ht="15" thickTop="1" x14ac:dyDescent="0.3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3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" thickBot="1" x14ac:dyDescent="0.35">
      <c r="A97" s="10"/>
      <c r="B97" s="26" t="s">
        <v>294</v>
      </c>
      <c r="C97" s="26"/>
      <c r="D97" s="34">
        <f>SUM(D94:D96)</f>
        <v>-9110.0400000000009</v>
      </c>
      <c r="E97" s="13"/>
      <c r="F97" s="35">
        <f>IF(D$12=0,0,D97/D$12)</f>
        <v>-0.34259308356113233</v>
      </c>
      <c r="G97" s="13"/>
      <c r="H97" s="34">
        <f>SUM(H94:H96)</f>
        <v>-13719.408929961544</v>
      </c>
      <c r="I97" s="13"/>
      <c r="J97" s="35">
        <f>IF(H$12=0,0,H97/H$12)</f>
        <v>-0.62115311857479716</v>
      </c>
      <c r="K97" s="15"/>
      <c r="L97" s="34">
        <f>+D97-H97</f>
        <v>4609.3689299615435</v>
      </c>
      <c r="M97" s="15"/>
      <c r="N97" s="35">
        <f>IF(H97=0,0,L97/H97)</f>
        <v>-0.33597430862310945</v>
      </c>
      <c r="O97" s="25"/>
      <c r="P97" s="34">
        <f>SUM(P94:P96)</f>
        <v>-29096.930000000011</v>
      </c>
      <c r="Q97" s="13"/>
      <c r="R97" s="35">
        <f>IF(P$12=0,0,P97/P$12)</f>
        <v>-0.12579409415259038</v>
      </c>
      <c r="S97" s="13"/>
      <c r="T97" s="34">
        <f>SUM(T94:T96)</f>
        <v>-75046.502599961532</v>
      </c>
      <c r="U97" s="13"/>
      <c r="V97" s="35">
        <f>IF(T$12=0,0,T97/T$12)</f>
        <v>-0.39372581450721139</v>
      </c>
      <c r="W97" s="15"/>
      <c r="X97" s="34">
        <f>+P97-T97</f>
        <v>45949.572599961524</v>
      </c>
      <c r="Y97" s="15"/>
      <c r="Z97" s="35">
        <f>IF(T97=0,0,X97/T97)</f>
        <v>-0.61228133234799242</v>
      </c>
    </row>
    <row r="98" spans="1:26" ht="15" thickTop="1" x14ac:dyDescent="0.3">
      <c r="A98" s="9"/>
      <c r="C98" s="9"/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  <row r="99" spans="1:26" x14ac:dyDescent="0.3">
      <c r="A99" s="9"/>
      <c r="B99" s="53">
        <v>44604.019995405091</v>
      </c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6" x14ac:dyDescent="0.3">
      <c r="A100" s="9"/>
      <c r="B100" s="63" t="s">
        <v>56</v>
      </c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6" x14ac:dyDescent="0.3">
      <c r="A101" s="9"/>
      <c r="B101" s="58"/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3"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218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SUM(0)</f>
        <v>0</v>
      </c>
      <c r="E18" s="20"/>
      <c r="F18" s="33">
        <f>IF(D$12=0,0,D18/D$12)</f>
        <v>0</v>
      </c>
      <c r="G18" s="20"/>
      <c r="H18" s="20">
        <f>SUM(0)</f>
        <v>0</v>
      </c>
      <c r="I18" s="20"/>
      <c r="J18" s="33">
        <f>IF(H$12=0,0,H18/H$12)</f>
        <v>0</v>
      </c>
      <c r="K18" s="4"/>
      <c r="L18" s="20">
        <f>+D18-H18</f>
        <v>0</v>
      </c>
      <c r="M18" s="4"/>
      <c r="N18" s="33">
        <f>IF(H18=0,0,L18/H18)</f>
        <v>0</v>
      </c>
      <c r="O18" s="10"/>
      <c r="P18" s="20">
        <f>SUM(0)</f>
        <v>0</v>
      </c>
      <c r="Q18" s="20"/>
      <c r="R18" s="33">
        <f>IF(P$12=0,0,P18/P$12)</f>
        <v>0</v>
      </c>
      <c r="S18" s="20"/>
      <c r="T18" s="20">
        <f>SUM(0)</f>
        <v>0</v>
      </c>
      <c r="U18" s="20"/>
      <c r="V18" s="33">
        <f>IF(T$12=0,0,T18/T$12)</f>
        <v>0</v>
      </c>
      <c r="W18" s="4"/>
      <c r="X18" s="20">
        <f>+P18-T18</f>
        <v>0</v>
      </c>
      <c r="Y18" s="4"/>
      <c r="Z18" s="33">
        <f>IF(T18=0,0,X18/T18)</f>
        <v>0</v>
      </c>
    </row>
    <row r="19" spans="1:26" s="55" customFormat="1" x14ac:dyDescent="0.3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293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3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3">
      <c r="A22" s="10"/>
      <c r="B22" s="26" t="s">
        <v>277</v>
      </c>
      <c r="C22" s="26"/>
      <c r="D22" s="21">
        <f>+D16-D18+D20</f>
        <v>0</v>
      </c>
      <c r="E22" s="13"/>
      <c r="F22" s="22">
        <f>IF(D$12=0,0,D22/D$12)</f>
        <v>0</v>
      </c>
      <c r="G22" s="13"/>
      <c r="H22" s="21">
        <f>+H16-H18+H20</f>
        <v>0</v>
      </c>
      <c r="I22" s="13"/>
      <c r="J22" s="22">
        <f>IF(H$12=0,0,H22/H$12)</f>
        <v>0</v>
      </c>
      <c r="K22" s="15"/>
      <c r="L22" s="21">
        <f>+D22-H22</f>
        <v>0</v>
      </c>
      <c r="M22" s="15"/>
      <c r="N22" s="22">
        <f>IF(H22=0,0,L22/H22)</f>
        <v>0</v>
      </c>
      <c r="O22" s="25"/>
      <c r="P22" s="21">
        <f>+P16-P18+P20</f>
        <v>0</v>
      </c>
      <c r="Q22" s="13"/>
      <c r="R22" s="22">
        <f>IF(P$12=0,0,P22/P$12)</f>
        <v>0</v>
      </c>
      <c r="S22" s="13"/>
      <c r="T22" s="21">
        <f>+T16-T18+T20</f>
        <v>0</v>
      </c>
      <c r="U22" s="13"/>
      <c r="V22" s="22">
        <f>IF(T$12=0,0,T22/T$12)</f>
        <v>0</v>
      </c>
      <c r="W22" s="15"/>
      <c r="X22" s="21">
        <f>+P22-T22</f>
        <v>0</v>
      </c>
      <c r="Y22" s="15"/>
      <c r="Z22" s="22">
        <f>IF(T22=0,0,X22/T22)</f>
        <v>0</v>
      </c>
    </row>
    <row r="23" spans="1:26" x14ac:dyDescent="0.3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">
      <c r="A24" s="52"/>
      <c r="B24" s="10" t="s">
        <v>128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3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" thickBot="1" x14ac:dyDescent="0.35">
      <c r="A26" s="10"/>
      <c r="B26" s="26" t="s">
        <v>126</v>
      </c>
      <c r="C26" s="26"/>
      <c r="D26" s="32">
        <f>+D22-D24</f>
        <v>0</v>
      </c>
      <c r="E26" s="13"/>
      <c r="F26" s="31">
        <f>IF(D$12=0,0,D26/D$12)</f>
        <v>0</v>
      </c>
      <c r="G26" s="13"/>
      <c r="H26" s="32">
        <f>+H22-H24</f>
        <v>0</v>
      </c>
      <c r="I26" s="13"/>
      <c r="J26" s="31">
        <f>IF(H$12=0,0,H26/H$12)</f>
        <v>0</v>
      </c>
      <c r="K26" s="15"/>
      <c r="L26" s="32">
        <f>D26-H26</f>
        <v>0</v>
      </c>
      <c r="M26" s="15"/>
      <c r="N26" s="31">
        <f>IF(H26=0,0,L26/H26)</f>
        <v>0</v>
      </c>
      <c r="O26" s="25"/>
      <c r="P26" s="32">
        <f>+P22-P24</f>
        <v>0</v>
      </c>
      <c r="Q26" s="13"/>
      <c r="R26" s="31">
        <f>IF(P$12=0,0,P26/P$12)</f>
        <v>0</v>
      </c>
      <c r="S26" s="13"/>
      <c r="T26" s="32">
        <f>+T22-T24</f>
        <v>0</v>
      </c>
      <c r="U26" s="13"/>
      <c r="V26" s="31">
        <f>IF(T$12=0,0,T26/T$12)</f>
        <v>0</v>
      </c>
      <c r="W26" s="15"/>
      <c r="X26" s="32">
        <f>P26-T26</f>
        <v>0</v>
      </c>
      <c r="Y26" s="15"/>
      <c r="Z26" s="31">
        <f>IF(T26=0,0,X26/T26)</f>
        <v>0</v>
      </c>
    </row>
    <row r="27" spans="1:26" ht="15" thickTop="1" x14ac:dyDescent="0.3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52"/>
      <c r="B28" s="10" t="s">
        <v>184</v>
      </c>
      <c r="C28" s="10"/>
      <c r="D28" s="4">
        <f>-529057.18</f>
        <v>-529057.18000000005</v>
      </c>
      <c r="E28" s="4"/>
      <c r="F28" s="12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-544057.18000000005</v>
      </c>
      <c r="M28" s="4"/>
      <c r="N28" s="12">
        <f t="shared" ref="N28:N29" si="4">IF(H28=0,0,L28/H28)</f>
        <v>-36.270478666666669</v>
      </c>
      <c r="O28" s="10"/>
      <c r="P28" s="4">
        <f>-614193.88</f>
        <v>-614193.88</v>
      </c>
      <c r="Q28" s="4"/>
      <c r="R28" s="12">
        <f t="shared" ref="R28:R29" si="5">IF(P$12=0,0,P28/P$12)</f>
        <v>0</v>
      </c>
      <c r="S28" s="4"/>
      <c r="T28" s="4">
        <f>--105000</f>
        <v>105000</v>
      </c>
      <c r="U28" s="4"/>
      <c r="V28" s="12">
        <f t="shared" ref="V28:V29" si="6">IF(T$12=0,0,T28/T$12)</f>
        <v>0</v>
      </c>
      <c r="W28" s="4"/>
      <c r="X28" s="4">
        <f t="shared" ref="X28:X29" si="7">+P28-T28</f>
        <v>-719193.88</v>
      </c>
      <c r="Y28" s="4"/>
      <c r="Z28" s="12">
        <f t="shared" ref="Z28:Z29" si="8">IF(T28=0,0,X28/T28)</f>
        <v>-6.8494655238095241</v>
      </c>
    </row>
    <row r="29" spans="1:26" s="23" customFormat="1" x14ac:dyDescent="0.3">
      <c r="A29" s="52"/>
      <c r="B29" s="10" t="s">
        <v>82</v>
      </c>
      <c r="C29" s="10"/>
      <c r="D29" s="4">
        <f>--2124202.74</f>
        <v>2124202.7400000002</v>
      </c>
      <c r="E29" s="4"/>
      <c r="F29" s="12">
        <f t="shared" si="0"/>
        <v>0</v>
      </c>
      <c r="G29" s="4"/>
      <c r="H29" s="4">
        <f t="shared" si="1"/>
        <v>15000</v>
      </c>
      <c r="I29" s="4"/>
      <c r="J29" s="12">
        <f t="shared" si="2"/>
        <v>0</v>
      </c>
      <c r="K29" s="4"/>
      <c r="L29" s="4">
        <f t="shared" si="3"/>
        <v>2109202.7400000002</v>
      </c>
      <c r="M29" s="4"/>
      <c r="N29" s="12">
        <f t="shared" si="4"/>
        <v>140.613516</v>
      </c>
      <c r="O29" s="10"/>
      <c r="P29" s="4">
        <f>--2309610.44</f>
        <v>2309610.44</v>
      </c>
      <c r="Q29" s="4"/>
      <c r="R29" s="12">
        <f t="shared" si="5"/>
        <v>0</v>
      </c>
      <c r="S29" s="4"/>
      <c r="T29" s="4">
        <f>--115000</f>
        <v>115000</v>
      </c>
      <c r="U29" s="4"/>
      <c r="V29" s="12">
        <f t="shared" si="6"/>
        <v>0</v>
      </c>
      <c r="W29" s="4"/>
      <c r="X29" s="4">
        <f t="shared" si="7"/>
        <v>2194610.44</v>
      </c>
      <c r="Y29" s="4"/>
      <c r="Z29" s="12">
        <f t="shared" si="8"/>
        <v>19.08356904347826</v>
      </c>
    </row>
    <row r="30" spans="1:26" x14ac:dyDescent="0.3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294</v>
      </c>
      <c r="C31" s="26"/>
      <c r="D31" s="34">
        <f>SUM(D26:D30)</f>
        <v>1595145.56</v>
      </c>
      <c r="E31" s="13"/>
      <c r="F31" s="35">
        <f>IF(D$12=0,0,D31/D$12)</f>
        <v>0</v>
      </c>
      <c r="G31" s="13"/>
      <c r="H31" s="34">
        <f>SUM(H26:H30)</f>
        <v>30000</v>
      </c>
      <c r="I31" s="13"/>
      <c r="J31" s="35">
        <f>IF(H$12=0,0,H31/H$12)</f>
        <v>0</v>
      </c>
      <c r="K31" s="15"/>
      <c r="L31" s="34">
        <f>+D31-H31</f>
        <v>1565145.56</v>
      </c>
      <c r="M31" s="15"/>
      <c r="N31" s="35">
        <f>IF(H31=0,0,L31/H31)</f>
        <v>52.171518666666671</v>
      </c>
      <c r="O31" s="25"/>
      <c r="P31" s="34">
        <f>SUM(P26:P30)</f>
        <v>1695416.56</v>
      </c>
      <c r="Q31" s="13"/>
      <c r="R31" s="35">
        <f>IF(P$12=0,0,P31/P$12)</f>
        <v>0</v>
      </c>
      <c r="S31" s="13"/>
      <c r="T31" s="34">
        <f>SUM(T26:T30)</f>
        <v>220000</v>
      </c>
      <c r="U31" s="13"/>
      <c r="V31" s="35">
        <f>IF(T$12=0,0,T31/T$12)</f>
        <v>0</v>
      </c>
      <c r="W31" s="15"/>
      <c r="X31" s="34">
        <f>+P31-T31</f>
        <v>1475416.56</v>
      </c>
      <c r="Y31" s="15"/>
      <c r="Z31" s="35">
        <f>IF(T31=0,0,X31/T31)</f>
        <v>6.7064389090909096</v>
      </c>
    </row>
    <row r="32" spans="1:26" ht="15" thickTop="1" x14ac:dyDescent="0.3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3">
      <c r="A33" s="9"/>
      <c r="B33" s="53">
        <v>44604.019979710647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3">
      <c r="A34" s="9"/>
      <c r="B34" s="63" t="s">
        <v>56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3">
      <c r="A35" s="9"/>
      <c r="B35" s="58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3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outlinePr summaryBelow="0" summaryRight="0"/>
  </sheetPr>
  <dimension ref="A2:Z8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125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23282.739999999998</v>
      </c>
      <c r="E12" s="4"/>
      <c r="F12" s="12"/>
      <c r="G12" s="4"/>
      <c r="H12" s="4">
        <f>SUM(OSRRefH13x_0)</f>
        <v>89000</v>
      </c>
      <c r="I12" s="4"/>
      <c r="J12" s="12"/>
      <c r="K12" s="4"/>
      <c r="L12" s="4">
        <f t="shared" ref="L12:L17" si="0">+D12-H12</f>
        <v>-65717.260000000009</v>
      </c>
      <c r="M12" s="4"/>
      <c r="N12" s="12">
        <f t="shared" ref="N12:N17" si="1">IF(H12=0,0,L12/H12)</f>
        <v>-0.73839617977528105</v>
      </c>
      <c r="O12" s="10"/>
      <c r="P12" s="4">
        <f>SUM(OSRRefP13x_0)</f>
        <v>122241.45</v>
      </c>
      <c r="Q12" s="4"/>
      <c r="R12" s="12"/>
      <c r="S12" s="4"/>
      <c r="T12" s="4">
        <f>SUM(OSRRefT13x_0)</f>
        <v>220130</v>
      </c>
      <c r="U12" s="4"/>
      <c r="V12" s="12"/>
      <c r="W12" s="4"/>
      <c r="X12" s="4">
        <f t="shared" ref="X12:X17" si="2">+P12-T12</f>
        <v>-97888.55</v>
      </c>
      <c r="Y12" s="4"/>
      <c r="Z12" s="12">
        <f t="shared" ref="Z12:Z17" si="3">IF(T12=0,0,X12/T12)</f>
        <v>-0.44468518602643892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--21634.61</f>
        <v>21634.61</v>
      </c>
      <c r="E13" s="2"/>
      <c r="F13" s="19"/>
      <c r="G13" s="2"/>
      <c r="H13" s="2">
        <v>71200</v>
      </c>
      <c r="I13" s="2"/>
      <c r="J13" s="19"/>
      <c r="K13" s="2"/>
      <c r="L13" s="2">
        <f t="shared" si="0"/>
        <v>-49565.39</v>
      </c>
      <c r="M13" s="2"/>
      <c r="N13" s="19">
        <f t="shared" si="1"/>
        <v>-0.69614311797752804</v>
      </c>
      <c r="O13" s="11"/>
      <c r="P13" s="2">
        <f>--100311.79</f>
        <v>100311.79</v>
      </c>
      <c r="Q13" s="2"/>
      <c r="R13" s="19"/>
      <c r="S13" s="2"/>
      <c r="T13" s="2">
        <v>134630</v>
      </c>
      <c r="U13" s="2"/>
      <c r="V13" s="19"/>
      <c r="W13" s="2"/>
      <c r="X13" s="2">
        <f t="shared" si="2"/>
        <v>-34318.210000000006</v>
      </c>
      <c r="Y13" s="2"/>
      <c r="Z13" s="19">
        <f t="shared" si="3"/>
        <v>-0.25490759860358025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--1803.53</f>
        <v>1803.53</v>
      </c>
      <c r="E14" s="2"/>
      <c r="F14" s="19"/>
      <c r="G14" s="2"/>
      <c r="H14" s="2">
        <v>17800</v>
      </c>
      <c r="I14" s="2"/>
      <c r="J14" s="19"/>
      <c r="K14" s="2"/>
      <c r="L14" s="2">
        <f t="shared" si="0"/>
        <v>-15996.47</v>
      </c>
      <c r="M14" s="2"/>
      <c r="N14" s="19">
        <f t="shared" si="1"/>
        <v>-0.89867808988764042</v>
      </c>
      <c r="O14" s="11"/>
      <c r="P14" s="2">
        <f>--22488.06</f>
        <v>22488.06</v>
      </c>
      <c r="Q14" s="2"/>
      <c r="R14" s="19"/>
      <c r="S14" s="2"/>
      <c r="T14" s="2">
        <v>85500</v>
      </c>
      <c r="U14" s="2"/>
      <c r="V14" s="19"/>
      <c r="W14" s="2"/>
      <c r="X14" s="2">
        <f t="shared" si="2"/>
        <v>-63011.94</v>
      </c>
      <c r="Y14" s="2"/>
      <c r="Z14" s="19">
        <f t="shared" si="3"/>
        <v>-0.73698175438596492</v>
      </c>
    </row>
    <row r="15" spans="1:26" s="24" customFormat="1" hidden="1" outlineLevel="1" x14ac:dyDescent="0.3">
      <c r="A15" s="44"/>
      <c r="B15" s="11" t="str">
        <f>CONCATENATE("          ", "4141", " - ", "NON-TAXABLE SALES-LOGO GIFTS")</f>
        <v xml:space="preserve">          4141 - NON-TAXABLE SALES-LOGO GIFTS</v>
      </c>
      <c r="C15" s="11"/>
      <c r="D15" s="2">
        <f t="shared" ref="D15:D16" si="4"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ref="P15:P16" si="5">0</f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"4146", " - ", "NON-TAXABLE SALES-COIN OP MACH")</f>
        <v xml:space="preserve">          4146 - NON-TAXABLE SALES-COIN OP MACH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/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"4200", " - ", "TAXABLE RETURNS")</f>
        <v xml:space="preserve">          4200 - TAXABLE RETURNS</v>
      </c>
      <c r="C17" s="11"/>
      <c r="D17" s="2">
        <f>-155.4</f>
        <v>-155.4</v>
      </c>
      <c r="E17" s="2"/>
      <c r="F17" s="19"/>
      <c r="G17" s="2"/>
      <c r="H17" s="2"/>
      <c r="I17" s="2"/>
      <c r="J17" s="19"/>
      <c r="K17" s="2"/>
      <c r="L17" s="2">
        <f t="shared" si="0"/>
        <v>-155.4</v>
      </c>
      <c r="M17" s="2"/>
      <c r="N17" s="19">
        <f t="shared" si="1"/>
        <v>0</v>
      </c>
      <c r="O17" s="11"/>
      <c r="P17" s="2">
        <f>-558.4</f>
        <v>-558.4</v>
      </c>
      <c r="Q17" s="2"/>
      <c r="R17" s="19"/>
      <c r="S17" s="2"/>
      <c r="T17" s="2"/>
      <c r="U17" s="2"/>
      <c r="V17" s="19"/>
      <c r="W17" s="2"/>
      <c r="X17" s="2">
        <f t="shared" si="2"/>
        <v>-558.4</v>
      </c>
      <c r="Y17" s="2"/>
      <c r="Z17" s="19">
        <f t="shared" si="3"/>
        <v>0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0</v>
      </c>
      <c r="E19" s="4"/>
      <c r="F19" s="12">
        <f t="shared" ref="F19:F21" si="6">IF(D$12=0,0,D19/D$12)</f>
        <v>0</v>
      </c>
      <c r="G19" s="4"/>
      <c r="H19" s="4">
        <f>SUM(OSRRefH16x_0)</f>
        <v>0</v>
      </c>
      <c r="I19" s="4"/>
      <c r="J19" s="12">
        <f t="shared" ref="J19:J21" si="7">IF(H$12=0,0,H19/H$12)</f>
        <v>0</v>
      </c>
      <c r="K19" s="4"/>
      <c r="L19" s="4">
        <f t="shared" ref="L19:L21" si="8">+D19-H19</f>
        <v>0</v>
      </c>
      <c r="M19" s="4"/>
      <c r="N19" s="12">
        <f t="shared" ref="N19:N21" si="9">IF(H19=0,0,L19/H19)</f>
        <v>0</v>
      </c>
      <c r="O19" s="10"/>
      <c r="P19" s="4">
        <f>SUM(OSRRefP16x_0)</f>
        <v>8.26</v>
      </c>
      <c r="Q19" s="4"/>
      <c r="R19" s="12">
        <f t="shared" ref="R19:R21" si="10">IF(P$12=0,0,P19/P$12)</f>
        <v>6.7571188005377875E-5</v>
      </c>
      <c r="S19" s="4"/>
      <c r="T19" s="4">
        <f>SUM(OSRRefT16x_0)</f>
        <v>0</v>
      </c>
      <c r="U19" s="4"/>
      <c r="V19" s="12">
        <f t="shared" ref="V19:V21" si="11">IF(T$12=0,0,T19/T$12)</f>
        <v>0</v>
      </c>
      <c r="W19" s="4"/>
      <c r="X19" s="4">
        <f t="shared" ref="X19:X21" si="12">+P19-T19</f>
        <v>8.26</v>
      </c>
      <c r="Y19" s="4"/>
      <c r="Z19" s="12">
        <f t="shared" ref="Z19:Z21" si="13">IF(T19=0,0,X19/T19)</f>
        <v>0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19">
        <f t="shared" si="6"/>
        <v>0</v>
      </c>
      <c r="G20" s="2"/>
      <c r="H20" s="2">
        <v>0</v>
      </c>
      <c r="I20" s="2"/>
      <c r="J20" s="19">
        <f t="shared" si="7"/>
        <v>0</v>
      </c>
      <c r="K20" s="2"/>
      <c r="L20" s="2">
        <f t="shared" si="8"/>
        <v>0</v>
      </c>
      <c r="M20" s="2"/>
      <c r="N20" s="19">
        <f t="shared" si="9"/>
        <v>0</v>
      </c>
      <c r="O20" s="11"/>
      <c r="P20" s="2"/>
      <c r="Q20" s="2"/>
      <c r="R20" s="19">
        <f t="shared" si="10"/>
        <v>0</v>
      </c>
      <c r="S20" s="2"/>
      <c r="T20" s="2">
        <v>0</v>
      </c>
      <c r="U20" s="2"/>
      <c r="V20" s="19">
        <f t="shared" si="11"/>
        <v>0</v>
      </c>
      <c r="W20" s="2"/>
      <c r="X20" s="2">
        <f t="shared" si="12"/>
        <v>0</v>
      </c>
      <c r="Y20" s="2"/>
      <c r="Z20" s="19">
        <f t="shared" si="13"/>
        <v>0</v>
      </c>
    </row>
    <row r="21" spans="1:26" s="24" customFormat="1" hidden="1" outlineLevel="1" x14ac:dyDescent="0.3">
      <c r="A21" s="44"/>
      <c r="B21" s="11" t="str">
        <f>CONCATENATE("          ", "5500", " - ", "FREIGHT-IN")</f>
        <v xml:space="preserve">          5500 - FREIGHT-IN</v>
      </c>
      <c r="C21" s="11"/>
      <c r="D21" s="2"/>
      <c r="E21" s="2"/>
      <c r="F21" s="19">
        <f t="shared" si="6"/>
        <v>0</v>
      </c>
      <c r="G21" s="2"/>
      <c r="H21" s="2"/>
      <c r="I21" s="2"/>
      <c r="J21" s="19">
        <f t="shared" si="7"/>
        <v>0</v>
      </c>
      <c r="K21" s="2"/>
      <c r="L21" s="2">
        <f t="shared" si="8"/>
        <v>0</v>
      </c>
      <c r="M21" s="2"/>
      <c r="N21" s="19">
        <f t="shared" si="9"/>
        <v>0</v>
      </c>
      <c r="O21" s="11"/>
      <c r="P21" s="2">
        <v>8.26</v>
      </c>
      <c r="Q21" s="2"/>
      <c r="R21" s="19">
        <f t="shared" si="10"/>
        <v>6.7571188005377875E-5</v>
      </c>
      <c r="S21" s="2"/>
      <c r="T21" s="2"/>
      <c r="U21" s="2"/>
      <c r="V21" s="19">
        <f t="shared" si="11"/>
        <v>0</v>
      </c>
      <c r="W21" s="2"/>
      <c r="X21" s="2">
        <f t="shared" si="12"/>
        <v>8.26</v>
      </c>
      <c r="Y21" s="2"/>
      <c r="Z21" s="19">
        <f t="shared" si="13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1">
        <f>D12-D19</f>
        <v>23282.739999999998</v>
      </c>
      <c r="E23" s="13"/>
      <c r="F23" s="22">
        <f>IF(D$12=0,0,D23/D$12)</f>
        <v>1</v>
      </c>
      <c r="G23" s="13"/>
      <c r="H23" s="21">
        <f>H12-H19</f>
        <v>89000</v>
      </c>
      <c r="I23" s="13"/>
      <c r="J23" s="22">
        <f>IF(H$12=0,0,H23/H$12)</f>
        <v>1</v>
      </c>
      <c r="K23" s="15"/>
      <c r="L23" s="21">
        <f>+D23-H23</f>
        <v>-65717.260000000009</v>
      </c>
      <c r="M23" s="15"/>
      <c r="N23" s="22">
        <f>IF(H23=0,0,L23/H23)</f>
        <v>-0.73839617977528105</v>
      </c>
      <c r="O23" s="25"/>
      <c r="P23" s="21">
        <f>P12-P19</f>
        <v>122233.19</v>
      </c>
      <c r="Q23" s="13"/>
      <c r="R23" s="22">
        <f>IF(P$12=0,0,P23/P$12)</f>
        <v>0.99993242881199462</v>
      </c>
      <c r="S23" s="13"/>
      <c r="T23" s="21">
        <f>T12-T19</f>
        <v>220130</v>
      </c>
      <c r="U23" s="13"/>
      <c r="V23" s="22">
        <f>IF(T$12=0,0,T23/T$12)</f>
        <v>1</v>
      </c>
      <c r="W23" s="15"/>
      <c r="X23" s="21">
        <f>+P23-T23</f>
        <v>-97896.81</v>
      </c>
      <c r="Y23" s="15"/>
      <c r="Z23" s="22">
        <f>IF(T23=0,0,X23/T23)</f>
        <v>-0.44472270930813607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0">
        <f>SUM(OSRRefD22x_0)</f>
        <v>19051.819999999996</v>
      </c>
      <c r="E25" s="20"/>
      <c r="F25" s="33">
        <f t="shared" ref="F25:F35" si="14">IF(D$12=0,0,D25/D$12)</f>
        <v>0.81828083808005403</v>
      </c>
      <c r="G25" s="20"/>
      <c r="H25" s="20">
        <f>SUM(OSRRefH22x_0)</f>
        <v>21299.301879519247</v>
      </c>
      <c r="I25" s="20"/>
      <c r="J25" s="33">
        <f t="shared" ref="J25:J35" si="15">IF(H$12=0,0,H25/H$12)</f>
        <v>0.23931799864628367</v>
      </c>
      <c r="K25" s="4"/>
      <c r="L25" s="20">
        <f t="shared" ref="L25:L35" si="16">+D25-H25</f>
        <v>-2247.4818795192514</v>
      </c>
      <c r="M25" s="4"/>
      <c r="N25" s="33">
        <f t="shared" ref="N25:N35" si="17">IF(H25=0,0,L25/H25)</f>
        <v>-0.10551903964891736</v>
      </c>
      <c r="O25" s="10"/>
      <c r="P25" s="20">
        <f>SUM(OSRRefP22x_0)</f>
        <v>162049.65999999997</v>
      </c>
      <c r="Q25" s="20"/>
      <c r="R25" s="33">
        <f t="shared" ref="R25:R35" si="18">IF(P$12=0,0,P25/P$12)</f>
        <v>1.325652305335056</v>
      </c>
      <c r="S25" s="20"/>
      <c r="T25" s="20">
        <f>SUM(OSRRefT22x_0)</f>
        <v>214704.68393971171</v>
      </c>
      <c r="U25" s="20"/>
      <c r="V25" s="33">
        <f t="shared" ref="V25:V35" si="19">IF(T$12=0,0,T25/T$12)</f>
        <v>0.9753540359774302</v>
      </c>
      <c r="W25" s="4"/>
      <c r="X25" s="20">
        <f t="shared" ref="X25:X35" si="20">+P25-T25</f>
        <v>-52655.02393971174</v>
      </c>
      <c r="Y25" s="4"/>
      <c r="Z25" s="33">
        <f t="shared" ref="Z25:Z35" si="21">IF(T25=0,0,X25/T25)</f>
        <v>-0.24524394611948511</v>
      </c>
    </row>
    <row r="26" spans="1:26" s="28" customFormat="1" outlineLevel="1" collapsed="1" x14ac:dyDescent="0.3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5896.13</v>
      </c>
      <c r="E26" s="1"/>
      <c r="F26" s="5">
        <f t="shared" si="14"/>
        <v>0.25324038321950082</v>
      </c>
      <c r="G26" s="1"/>
      <c r="H26" s="1">
        <f>SUM(OSRRefH22_0x_0)</f>
        <v>5208.6216872115401</v>
      </c>
      <c r="I26" s="1"/>
      <c r="J26" s="5">
        <f t="shared" si="15"/>
        <v>5.8523839182152135E-2</v>
      </c>
      <c r="K26" s="1"/>
      <c r="L26" s="1">
        <f t="shared" si="16"/>
        <v>687.50831278845999</v>
      </c>
      <c r="M26" s="1"/>
      <c r="N26" s="5">
        <f t="shared" si="17"/>
        <v>0.13199428833091559</v>
      </c>
      <c r="O26" s="14"/>
      <c r="P26" s="1">
        <f>SUM(OSRRefP22_0x_0)</f>
        <v>58243.55000000001</v>
      </c>
      <c r="Q26" s="1"/>
      <c r="R26" s="5">
        <f t="shared" si="18"/>
        <v>0.47646318004244886</v>
      </c>
      <c r="S26" s="1"/>
      <c r="T26" s="1">
        <f>SUM(OSRRefT22_0x_0)</f>
        <v>44852.892208942307</v>
      </c>
      <c r="U26" s="1"/>
      <c r="V26" s="5">
        <f t="shared" si="19"/>
        <v>0.20375638126989645</v>
      </c>
      <c r="W26" s="1"/>
      <c r="X26" s="1">
        <f t="shared" si="20"/>
        <v>13390.657791057703</v>
      </c>
      <c r="Y26" s="1"/>
      <c r="Z26" s="5">
        <f t="shared" si="21"/>
        <v>0.29854613897981841</v>
      </c>
    </row>
    <row r="27" spans="1:26" s="24" customFormat="1" hidden="1" outlineLevel="2" x14ac:dyDescent="0.3">
      <c r="A27" s="27"/>
      <c r="B27" s="11" t="str">
        <f>CONCATENATE("          ", "6111", " - ", "F.I.C.A.")</f>
        <v xml:space="preserve">          6111 - F.I.C.A.</v>
      </c>
      <c r="C27" s="11"/>
      <c r="D27" s="7">
        <v>681.32</v>
      </c>
      <c r="E27" s="2"/>
      <c r="F27" s="6">
        <f t="shared" si="14"/>
        <v>2.9262878853605723E-2</v>
      </c>
      <c r="G27" s="2"/>
      <c r="H27" s="7">
        <v>1110.7071170192301</v>
      </c>
      <c r="I27" s="2"/>
      <c r="J27" s="6">
        <f t="shared" si="15"/>
        <v>1.2479855247407079E-2</v>
      </c>
      <c r="K27" s="2"/>
      <c r="L27" s="7">
        <f t="shared" si="16"/>
        <v>-429.38711701923</v>
      </c>
      <c r="M27" s="2"/>
      <c r="N27" s="6">
        <f t="shared" si="17"/>
        <v>-0.38658896701009965</v>
      </c>
      <c r="O27" s="11"/>
      <c r="P27" s="7">
        <v>9843.61</v>
      </c>
      <c r="Q27" s="2"/>
      <c r="R27" s="6">
        <f t="shared" si="18"/>
        <v>8.0525959075256393E-2</v>
      </c>
      <c r="S27" s="2"/>
      <c r="T27" s="7">
        <v>7519.2572022115401</v>
      </c>
      <c r="U27" s="2"/>
      <c r="V27" s="6">
        <f t="shared" si="19"/>
        <v>3.4158257403404987E-2</v>
      </c>
      <c r="W27" s="2"/>
      <c r="X27" s="7">
        <f t="shared" si="20"/>
        <v>2324.3527977884605</v>
      </c>
      <c r="Y27" s="2"/>
      <c r="Z27" s="6">
        <f t="shared" si="21"/>
        <v>0.30912000152153718</v>
      </c>
    </row>
    <row r="28" spans="1:26" s="24" customFormat="1" hidden="1" outlineLevel="2" x14ac:dyDescent="0.3">
      <c r="A28" s="27"/>
      <c r="B28" s="11" t="str">
        <f>CONCATENATE("          ", "6112", " - ", "COMPENSATION INSURANCE")</f>
        <v xml:space="preserve">          6112 - COMPENSATION INSURANCE</v>
      </c>
      <c r="C28" s="11"/>
      <c r="D28" s="7">
        <v>164.86</v>
      </c>
      <c r="E28" s="2"/>
      <c r="F28" s="6">
        <f t="shared" si="14"/>
        <v>7.0807817292981856E-3</v>
      </c>
      <c r="G28" s="2"/>
      <c r="H28" s="7">
        <v>226.40835000000001</v>
      </c>
      <c r="I28" s="2"/>
      <c r="J28" s="6">
        <f t="shared" si="15"/>
        <v>2.5439140449438204E-3</v>
      </c>
      <c r="K28" s="2"/>
      <c r="L28" s="7">
        <f t="shared" si="16"/>
        <v>-61.548349999999999</v>
      </c>
      <c r="M28" s="2"/>
      <c r="N28" s="6">
        <f t="shared" si="17"/>
        <v>-0.27184664346522552</v>
      </c>
      <c r="O28" s="11"/>
      <c r="P28" s="7">
        <v>2174.92</v>
      </c>
      <c r="Q28" s="2"/>
      <c r="R28" s="6">
        <f t="shared" si="18"/>
        <v>1.7792000994752599E-2</v>
      </c>
      <c r="S28" s="2"/>
      <c r="T28" s="7">
        <v>1539.2896499999999</v>
      </c>
      <c r="U28" s="2"/>
      <c r="V28" s="6">
        <f t="shared" si="19"/>
        <v>6.9926391223368006E-3</v>
      </c>
      <c r="W28" s="2"/>
      <c r="X28" s="7">
        <f t="shared" si="20"/>
        <v>635.63035000000013</v>
      </c>
      <c r="Y28" s="2"/>
      <c r="Z28" s="6">
        <f t="shared" si="21"/>
        <v>0.41293745462395604</v>
      </c>
    </row>
    <row r="29" spans="1:26" s="24" customFormat="1" hidden="1" outlineLevel="2" x14ac:dyDescent="0.3">
      <c r="A29" s="27"/>
      <c r="B29" s="11" t="str">
        <f>CONCATENATE("          ", "6113", " - ", "GROUP INSURANCE")</f>
        <v xml:space="preserve">          6113 - GROUP INSURANCE</v>
      </c>
      <c r="C29" s="11"/>
      <c r="D29" s="7">
        <v>1287</v>
      </c>
      <c r="E29" s="2"/>
      <c r="F29" s="6">
        <f t="shared" si="14"/>
        <v>5.5276999184803853E-2</v>
      </c>
      <c r="G29" s="2"/>
      <c r="H29" s="7">
        <v>1326</v>
      </c>
      <c r="I29" s="2"/>
      <c r="J29" s="6">
        <f t="shared" si="15"/>
        <v>1.4898876404494383E-2</v>
      </c>
      <c r="K29" s="2"/>
      <c r="L29" s="7">
        <f t="shared" si="16"/>
        <v>-39</v>
      </c>
      <c r="M29" s="2"/>
      <c r="N29" s="6">
        <f t="shared" si="17"/>
        <v>-2.9411764705882353E-2</v>
      </c>
      <c r="O29" s="11"/>
      <c r="P29" s="7">
        <v>19173.02</v>
      </c>
      <c r="Q29" s="2"/>
      <c r="R29" s="6">
        <f t="shared" si="18"/>
        <v>0.15684548898920947</v>
      </c>
      <c r="S29" s="2"/>
      <c r="T29" s="7">
        <v>14224.5</v>
      </c>
      <c r="U29" s="2"/>
      <c r="V29" s="6">
        <f t="shared" si="19"/>
        <v>6.4618634443283515E-2</v>
      </c>
      <c r="W29" s="2"/>
      <c r="X29" s="7">
        <f t="shared" si="20"/>
        <v>4948.5200000000004</v>
      </c>
      <c r="Y29" s="2"/>
      <c r="Z29" s="6">
        <f t="shared" si="21"/>
        <v>0.34788709620724811</v>
      </c>
    </row>
    <row r="30" spans="1:26" s="24" customFormat="1" hidden="1" outlineLevel="2" x14ac:dyDescent="0.3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7">
        <v>28.96</v>
      </c>
      <c r="E30" s="2"/>
      <c r="F30" s="6">
        <f t="shared" si="14"/>
        <v>1.243839857336379E-3</v>
      </c>
      <c r="G30" s="2"/>
      <c r="H30" s="7">
        <v>30.478047115384602</v>
      </c>
      <c r="I30" s="2"/>
      <c r="J30" s="6">
        <f t="shared" si="15"/>
        <v>3.4244996758859105E-4</v>
      </c>
      <c r="K30" s="2"/>
      <c r="L30" s="7">
        <f t="shared" si="16"/>
        <v>-1.5180471153846007</v>
      </c>
      <c r="M30" s="2"/>
      <c r="N30" s="6">
        <f t="shared" si="17"/>
        <v>-4.980788662861297E-2</v>
      </c>
      <c r="O30" s="11"/>
      <c r="P30" s="7">
        <v>382.08</v>
      </c>
      <c r="Q30" s="2"/>
      <c r="R30" s="6">
        <f t="shared" si="18"/>
        <v>3.1256173744666806E-3</v>
      </c>
      <c r="S30" s="2"/>
      <c r="T30" s="7">
        <v>207.212068269231</v>
      </c>
      <c r="U30" s="2"/>
      <c r="V30" s="6">
        <f t="shared" si="19"/>
        <v>9.4131680492995503E-4</v>
      </c>
      <c r="W30" s="2"/>
      <c r="X30" s="7">
        <f t="shared" si="20"/>
        <v>174.86793173076899</v>
      </c>
      <c r="Y30" s="2"/>
      <c r="Z30" s="6">
        <f t="shared" si="21"/>
        <v>0.84390804643464479</v>
      </c>
    </row>
    <row r="31" spans="1:26" s="24" customFormat="1" hidden="1" outlineLevel="2" x14ac:dyDescent="0.3">
      <c r="A31" s="27"/>
      <c r="B31" s="11" t="str">
        <f>CONCATENATE("          ", "6115", " - ", "P.E.R.S.")</f>
        <v xml:space="preserve">          6115 - P.E.R.S.</v>
      </c>
      <c r="C31" s="11"/>
      <c r="D31" s="7">
        <v>834.08</v>
      </c>
      <c r="E31" s="2"/>
      <c r="F31" s="6">
        <f t="shared" si="14"/>
        <v>3.5823962299969855E-2</v>
      </c>
      <c r="G31" s="2"/>
      <c r="H31" s="7">
        <v>953.51259615384697</v>
      </c>
      <c r="I31" s="2"/>
      <c r="J31" s="6">
        <f t="shared" si="15"/>
        <v>1.0713624675885922E-2</v>
      </c>
      <c r="K31" s="2"/>
      <c r="L31" s="7">
        <f t="shared" si="16"/>
        <v>-119.43259615384693</v>
      </c>
      <c r="M31" s="2"/>
      <c r="N31" s="6">
        <f t="shared" si="17"/>
        <v>-0.12525539425026827</v>
      </c>
      <c r="O31" s="11"/>
      <c r="P31" s="7">
        <v>12480.12</v>
      </c>
      <c r="Q31" s="2"/>
      <c r="R31" s="6">
        <f t="shared" si="18"/>
        <v>0.1020940114830117</v>
      </c>
      <c r="S31" s="2"/>
      <c r="T31" s="7">
        <v>7729.3715576923096</v>
      </c>
      <c r="U31" s="2"/>
      <c r="V31" s="6">
        <f t="shared" si="19"/>
        <v>3.5112758632136962E-2</v>
      </c>
      <c r="W31" s="2"/>
      <c r="X31" s="7">
        <f t="shared" si="20"/>
        <v>4750.7484423076912</v>
      </c>
      <c r="Y31" s="2"/>
      <c r="Z31" s="6">
        <f t="shared" si="21"/>
        <v>0.61463579630606868</v>
      </c>
    </row>
    <row r="32" spans="1:26" s="24" customFormat="1" hidden="1" outlineLevel="2" x14ac:dyDescent="0.3">
      <c r="A32" s="27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4"/>
        <v>0</v>
      </c>
      <c r="G32" s="2"/>
      <c r="H32" s="7">
        <v>0</v>
      </c>
      <c r="I32" s="2"/>
      <c r="J32" s="6">
        <f t="shared" si="15"/>
        <v>0</v>
      </c>
      <c r="K32" s="2"/>
      <c r="L32" s="7">
        <f t="shared" si="16"/>
        <v>0</v>
      </c>
      <c r="M32" s="2"/>
      <c r="N32" s="6">
        <f t="shared" si="17"/>
        <v>0</v>
      </c>
      <c r="O32" s="11"/>
      <c r="P32" s="7"/>
      <c r="Q32" s="2"/>
      <c r="R32" s="6">
        <f t="shared" si="18"/>
        <v>0</v>
      </c>
      <c r="S32" s="2"/>
      <c r="T32" s="7">
        <v>0</v>
      </c>
      <c r="U32" s="2"/>
      <c r="V32" s="6">
        <f t="shared" si="19"/>
        <v>0</v>
      </c>
      <c r="W32" s="2"/>
      <c r="X32" s="7">
        <f t="shared" si="20"/>
        <v>0</v>
      </c>
      <c r="Y32" s="2"/>
      <c r="Z32" s="6">
        <f t="shared" si="21"/>
        <v>0</v>
      </c>
    </row>
    <row r="33" spans="1:26" s="24" customFormat="1" hidden="1" outlineLevel="2" x14ac:dyDescent="0.3">
      <c r="A33" s="27"/>
      <c r="B33" s="11" t="str">
        <f>CONCATENATE("          ", "6118", " - ", "VACATION")</f>
        <v xml:space="preserve">          6118 - VACATION</v>
      </c>
      <c r="C33" s="11"/>
      <c r="D33" s="7">
        <v>1001.59</v>
      </c>
      <c r="E33" s="2"/>
      <c r="F33" s="6">
        <f t="shared" si="14"/>
        <v>4.301856224825773E-2</v>
      </c>
      <c r="G33" s="2"/>
      <c r="H33" s="7">
        <v>776.11490384615502</v>
      </c>
      <c r="I33" s="2"/>
      <c r="J33" s="6">
        <f t="shared" si="15"/>
        <v>8.7203921780466855E-3</v>
      </c>
      <c r="K33" s="2"/>
      <c r="L33" s="7">
        <f t="shared" si="16"/>
        <v>225.47509615384502</v>
      </c>
      <c r="M33" s="2"/>
      <c r="N33" s="6">
        <f t="shared" si="17"/>
        <v>0.29051767339664397</v>
      </c>
      <c r="O33" s="11"/>
      <c r="P33" s="7">
        <v>6244.15</v>
      </c>
      <c r="Q33" s="2"/>
      <c r="R33" s="6">
        <f t="shared" si="18"/>
        <v>5.1080464114259115E-2</v>
      </c>
      <c r="S33" s="2"/>
      <c r="T33" s="7">
        <v>6925.39317307692</v>
      </c>
      <c r="U33" s="2"/>
      <c r="V33" s="6">
        <f t="shared" si="19"/>
        <v>3.146046960013138E-2</v>
      </c>
      <c r="W33" s="2"/>
      <c r="X33" s="7">
        <f t="shared" si="20"/>
        <v>-681.24317307692036</v>
      </c>
      <c r="Y33" s="2"/>
      <c r="Z33" s="6">
        <f t="shared" si="21"/>
        <v>-9.8368880444985221E-2</v>
      </c>
    </row>
    <row r="34" spans="1:26" s="24" customFormat="1" hidden="1" outlineLevel="2" x14ac:dyDescent="0.3">
      <c r="A34" s="27"/>
      <c r="B34" s="11" t="str">
        <f>CONCATENATE("          ", "6119", " - ", "SICK LEAVE")</f>
        <v xml:space="preserve">          6119 - SICK LEAVE</v>
      </c>
      <c r="C34" s="11"/>
      <c r="D34" s="7">
        <v>1509.53</v>
      </c>
      <c r="E34" s="2"/>
      <c r="F34" s="6">
        <f t="shared" si="14"/>
        <v>6.4834723060945579E-2</v>
      </c>
      <c r="G34" s="2"/>
      <c r="H34" s="7">
        <v>435.400673076923</v>
      </c>
      <c r="I34" s="2"/>
      <c r="J34" s="6">
        <f t="shared" si="15"/>
        <v>4.8921423941227305E-3</v>
      </c>
      <c r="K34" s="2"/>
      <c r="L34" s="7">
        <f t="shared" si="16"/>
        <v>1074.1293269230769</v>
      </c>
      <c r="M34" s="2"/>
      <c r="N34" s="6">
        <f t="shared" si="17"/>
        <v>2.4669905063130404</v>
      </c>
      <c r="O34" s="11"/>
      <c r="P34" s="7">
        <v>4964.66</v>
      </c>
      <c r="Q34" s="2"/>
      <c r="R34" s="6">
        <f t="shared" si="18"/>
        <v>4.0613556203726316E-2</v>
      </c>
      <c r="S34" s="2"/>
      <c r="T34" s="7">
        <v>3382.8685576923099</v>
      </c>
      <c r="U34" s="2"/>
      <c r="V34" s="6">
        <f t="shared" si="19"/>
        <v>1.5367594410994912E-2</v>
      </c>
      <c r="W34" s="2"/>
      <c r="X34" s="7">
        <f t="shared" si="20"/>
        <v>1581.79144230769</v>
      </c>
      <c r="Y34" s="2"/>
      <c r="Z34" s="6">
        <f t="shared" si="21"/>
        <v>0.46758879788895491</v>
      </c>
    </row>
    <row r="35" spans="1:26" s="24" customFormat="1" hidden="1" outlineLevel="2" x14ac:dyDescent="0.3">
      <c r="A35" s="27"/>
      <c r="B35" s="11" t="str">
        <f>CONCATENATE("          ", "6156", " - ", "EMPLOYEE MEALS")</f>
        <v xml:space="preserve">          6156 - EMPLOYEE MEALS</v>
      </c>
      <c r="C35" s="11"/>
      <c r="D35" s="7">
        <v>388.79</v>
      </c>
      <c r="E35" s="2"/>
      <c r="F35" s="6">
        <f t="shared" si="14"/>
        <v>1.6698635985283521E-2</v>
      </c>
      <c r="G35" s="2"/>
      <c r="H35" s="7">
        <v>350</v>
      </c>
      <c r="I35" s="2"/>
      <c r="J35" s="6">
        <f t="shared" si="15"/>
        <v>3.9325842696629216E-3</v>
      </c>
      <c r="K35" s="2"/>
      <c r="L35" s="7">
        <f t="shared" si="16"/>
        <v>38.79000000000002</v>
      </c>
      <c r="M35" s="2"/>
      <c r="N35" s="6">
        <f t="shared" si="17"/>
        <v>0.11082857142857148</v>
      </c>
      <c r="O35" s="11"/>
      <c r="P35" s="7">
        <v>2980.99</v>
      </c>
      <c r="Q35" s="2"/>
      <c r="R35" s="6">
        <f t="shared" si="18"/>
        <v>2.4386081807766514E-2</v>
      </c>
      <c r="S35" s="2"/>
      <c r="T35" s="7">
        <v>3325</v>
      </c>
      <c r="U35" s="2"/>
      <c r="V35" s="6">
        <f t="shared" si="19"/>
        <v>1.5104710852677963E-2</v>
      </c>
      <c r="W35" s="2"/>
      <c r="X35" s="7">
        <f t="shared" si="20"/>
        <v>-344.01000000000022</v>
      </c>
      <c r="Y35" s="2"/>
      <c r="Z35" s="6">
        <f t="shared" si="21"/>
        <v>-0.10346165413533841</v>
      </c>
    </row>
    <row r="36" spans="1:26" s="28" customFormat="1" outlineLevel="1" collapsed="1" x14ac:dyDescent="0.3">
      <c r="A36" s="29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13111.52</v>
      </c>
      <c r="E36" s="1"/>
      <c r="F36" s="5">
        <f t="shared" ref="F36:F46" si="22">IF(D$12=0,0,D36/D$12)</f>
        <v>0.56314334137648758</v>
      </c>
      <c r="G36" s="1"/>
      <c r="H36" s="1">
        <f>SUM(OSRRefH22_1x_0)</f>
        <v>13545.680192307711</v>
      </c>
      <c r="I36" s="1"/>
      <c r="J36" s="5">
        <f t="shared" ref="J36:J46" si="23">IF(H$12=0,0,H36/H$12)</f>
        <v>0.15219865384615405</v>
      </c>
      <c r="K36" s="1"/>
      <c r="L36" s="1">
        <f t="shared" ref="L36:L46" si="24">+D36-H36</f>
        <v>-434.16019230771053</v>
      </c>
      <c r="M36" s="1"/>
      <c r="N36" s="5">
        <f t="shared" ref="N36:N46" si="25">IF(H36=0,0,L36/H36)</f>
        <v>-3.2051560803440522E-2</v>
      </c>
      <c r="O36" s="14"/>
      <c r="P36" s="1">
        <f>SUM(OSRRefP22_1x_0)</f>
        <v>101173.1</v>
      </c>
      <c r="Q36" s="1"/>
      <c r="R36" s="5">
        <f t="shared" ref="R36:R46" si="26">IF(P$12=0,0,P36/P$12)</f>
        <v>0.82764970474417643</v>
      </c>
      <c r="S36" s="1"/>
      <c r="T36" s="1">
        <f>SUM(OSRRefT22_1x_0)</f>
        <v>88936.791730769415</v>
      </c>
      <c r="U36" s="1"/>
      <c r="V36" s="5">
        <f t="shared" ref="V36:V46" si="27">IF(T$12=0,0,T36/T$12)</f>
        <v>0.40401940549116167</v>
      </c>
      <c r="W36" s="1"/>
      <c r="X36" s="1">
        <f t="shared" ref="X36:X46" si="28">+P36-T36</f>
        <v>12236.308269230591</v>
      </c>
      <c r="Y36" s="1"/>
      <c r="Z36" s="5">
        <f t="shared" ref="Z36:Z46" si="29">IF(T36=0,0,X36/T36)</f>
        <v>0.13758432287812336</v>
      </c>
    </row>
    <row r="37" spans="1:26" s="24" customFormat="1" hidden="1" outlineLevel="2" x14ac:dyDescent="0.3">
      <c r="A37" s="27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0</v>
      </c>
      <c r="Y37" s="2"/>
      <c r="Z37" s="6">
        <f t="shared" si="29"/>
        <v>0</v>
      </c>
    </row>
    <row r="38" spans="1:26" s="24" customFormat="1" hidden="1" outlineLevel="2" x14ac:dyDescent="0.3">
      <c r="A38" s="27"/>
      <c r="B38" s="11" t="str">
        <f>CONCATENATE("          ", "6002", " - ", "STAFF SALARIES")</f>
        <v xml:space="preserve">          6002 - STAFF SALARIES</v>
      </c>
      <c r="C38" s="11"/>
      <c r="D38" s="7">
        <v>10145.64</v>
      </c>
      <c r="E38" s="2"/>
      <c r="F38" s="6">
        <f t="shared" si="22"/>
        <v>0.43575799068322718</v>
      </c>
      <c r="G38" s="2"/>
      <c r="H38" s="7">
        <v>9978.6201923077097</v>
      </c>
      <c r="I38" s="2"/>
      <c r="J38" s="6">
        <f t="shared" si="23"/>
        <v>0.11211932800345741</v>
      </c>
      <c r="K38" s="2"/>
      <c r="L38" s="7">
        <f t="shared" si="24"/>
        <v>167.01980769228976</v>
      </c>
      <c r="M38" s="2"/>
      <c r="N38" s="6">
        <f t="shared" si="25"/>
        <v>1.673776579060916E-2</v>
      </c>
      <c r="O38" s="11"/>
      <c r="P38" s="7">
        <v>84169.81</v>
      </c>
      <c r="Q38" s="2"/>
      <c r="R38" s="6">
        <f t="shared" si="26"/>
        <v>0.68855375979260713</v>
      </c>
      <c r="S38" s="2"/>
      <c r="T38" s="7">
        <v>79832.031730769406</v>
      </c>
      <c r="U38" s="2"/>
      <c r="V38" s="6">
        <f t="shared" si="27"/>
        <v>0.36265857325566442</v>
      </c>
      <c r="W38" s="2"/>
      <c r="X38" s="7">
        <f t="shared" si="28"/>
        <v>4337.7782692305918</v>
      </c>
      <c r="Y38" s="2"/>
      <c r="Z38" s="6">
        <f t="shared" si="29"/>
        <v>5.4336313071169096E-2</v>
      </c>
    </row>
    <row r="39" spans="1:26" s="24" customFormat="1" hidden="1" outlineLevel="2" x14ac:dyDescent="0.3">
      <c r="A39" s="27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3">
      <c r="A40" s="27"/>
      <c r="B40" s="11" t="str">
        <f>CONCATENATE("          ", "6004", " - ", "STAFF HOURLY")</f>
        <v xml:space="preserve">          6004 - STAFF HOURLY</v>
      </c>
      <c r="C40" s="11"/>
      <c r="D40" s="7"/>
      <c r="E40" s="2"/>
      <c r="F40" s="6">
        <f t="shared" si="22"/>
        <v>0</v>
      </c>
      <c r="G40" s="2"/>
      <c r="H40" s="7">
        <v>2009.7</v>
      </c>
      <c r="I40" s="2"/>
      <c r="J40" s="6">
        <f t="shared" si="23"/>
        <v>2.2580898876404496E-2</v>
      </c>
      <c r="K40" s="2"/>
      <c r="L40" s="7">
        <f t="shared" si="24"/>
        <v>-2009.7</v>
      </c>
      <c r="M40" s="2"/>
      <c r="N40" s="6">
        <f t="shared" si="25"/>
        <v>-1</v>
      </c>
      <c r="O40" s="11"/>
      <c r="P40" s="7"/>
      <c r="Q40" s="2"/>
      <c r="R40" s="6">
        <f t="shared" si="26"/>
        <v>0</v>
      </c>
      <c r="S40" s="2"/>
      <c r="T40" s="7">
        <v>2356.1999999999998</v>
      </c>
      <c r="U40" s="2"/>
      <c r="V40" s="6">
        <f t="shared" si="27"/>
        <v>1.0703675101076636E-2</v>
      </c>
      <c r="W40" s="2"/>
      <c r="X40" s="7">
        <f t="shared" si="28"/>
        <v>-2356.1999999999998</v>
      </c>
      <c r="Y40" s="2"/>
      <c r="Z40" s="6">
        <f t="shared" si="29"/>
        <v>-1</v>
      </c>
    </row>
    <row r="41" spans="1:26" s="24" customFormat="1" hidden="1" outlineLevel="2" x14ac:dyDescent="0.3">
      <c r="A41" s="27"/>
      <c r="B41" s="11" t="str">
        <f>CONCATENATE("          ", "6005", " - ", "TEMPORARY WAGES-HOURLY")</f>
        <v xml:space="preserve">          6005 - TEMPORARY WAGES-HOURLY</v>
      </c>
      <c r="C41" s="11"/>
      <c r="D41" s="7"/>
      <c r="E41" s="2"/>
      <c r="F41" s="6">
        <f t="shared" si="22"/>
        <v>0</v>
      </c>
      <c r="G41" s="2"/>
      <c r="H41" s="7">
        <v>0</v>
      </c>
      <c r="I41" s="2"/>
      <c r="J41" s="6">
        <f t="shared" si="23"/>
        <v>0</v>
      </c>
      <c r="K41" s="2"/>
      <c r="L41" s="7">
        <f t="shared" si="24"/>
        <v>0</v>
      </c>
      <c r="M41" s="2"/>
      <c r="N41" s="6">
        <f t="shared" si="25"/>
        <v>0</v>
      </c>
      <c r="O41" s="11"/>
      <c r="P41" s="7"/>
      <c r="Q41" s="2"/>
      <c r="R41" s="6">
        <f t="shared" si="26"/>
        <v>0</v>
      </c>
      <c r="S41" s="2"/>
      <c r="T41" s="7">
        <v>0</v>
      </c>
      <c r="U41" s="2"/>
      <c r="V41" s="6">
        <f t="shared" si="27"/>
        <v>0</v>
      </c>
      <c r="W41" s="2"/>
      <c r="X41" s="7">
        <f t="shared" si="28"/>
        <v>0</v>
      </c>
      <c r="Y41" s="2"/>
      <c r="Z41" s="6">
        <f t="shared" si="29"/>
        <v>0</v>
      </c>
    </row>
    <row r="42" spans="1:26" s="24" customFormat="1" hidden="1" outlineLevel="2" x14ac:dyDescent="0.3">
      <c r="A42" s="27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4" customFormat="1" hidden="1" outlineLevel="2" x14ac:dyDescent="0.3">
      <c r="A43" s="27"/>
      <c r="B43" s="11" t="str">
        <f>CONCATENATE("          ", "6007", " - ", "STUDENT HOURLY")</f>
        <v xml:space="preserve">          6007 - STUDENT HOURLY</v>
      </c>
      <c r="C43" s="11"/>
      <c r="D43" s="7">
        <v>2965.88</v>
      </c>
      <c r="E43" s="2"/>
      <c r="F43" s="6">
        <f t="shared" si="22"/>
        <v>0.12738535069326035</v>
      </c>
      <c r="G43" s="2"/>
      <c r="H43" s="7">
        <v>1557.36</v>
      </c>
      <c r="I43" s="2"/>
      <c r="J43" s="6">
        <f t="shared" si="23"/>
        <v>1.7498426966292134E-2</v>
      </c>
      <c r="K43" s="2"/>
      <c r="L43" s="7">
        <f t="shared" si="24"/>
        <v>1408.5200000000002</v>
      </c>
      <c r="M43" s="2"/>
      <c r="N43" s="6">
        <f t="shared" si="25"/>
        <v>0.90442800636975418</v>
      </c>
      <c r="O43" s="11"/>
      <c r="P43" s="7">
        <v>17003.29</v>
      </c>
      <c r="Q43" s="2"/>
      <c r="R43" s="6">
        <f t="shared" si="26"/>
        <v>0.13909594495156921</v>
      </c>
      <c r="S43" s="2"/>
      <c r="T43" s="7">
        <v>6315.96</v>
      </c>
      <c r="U43" s="2"/>
      <c r="V43" s="6">
        <f t="shared" si="27"/>
        <v>2.8691954754008996E-2</v>
      </c>
      <c r="W43" s="2"/>
      <c r="X43" s="7">
        <f t="shared" si="28"/>
        <v>10687.330000000002</v>
      </c>
      <c r="Y43" s="2"/>
      <c r="Z43" s="6">
        <f t="shared" si="29"/>
        <v>1.6921148962311354</v>
      </c>
    </row>
    <row r="44" spans="1:26" s="24" customFormat="1" hidden="1" outlineLevel="2" x14ac:dyDescent="0.3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2"/>
        <v>0</v>
      </c>
      <c r="G44" s="2"/>
      <c r="H44" s="7">
        <v>0</v>
      </c>
      <c r="I44" s="2"/>
      <c r="J44" s="6">
        <f t="shared" si="23"/>
        <v>0</v>
      </c>
      <c r="K44" s="2"/>
      <c r="L44" s="7">
        <f t="shared" si="24"/>
        <v>0</v>
      </c>
      <c r="M44" s="2"/>
      <c r="N44" s="6">
        <f t="shared" si="25"/>
        <v>0</v>
      </c>
      <c r="O44" s="11"/>
      <c r="P44" s="7"/>
      <c r="Q44" s="2"/>
      <c r="R44" s="6">
        <f t="shared" si="26"/>
        <v>0</v>
      </c>
      <c r="S44" s="2"/>
      <c r="T44" s="7">
        <v>432.6</v>
      </c>
      <c r="U44" s="2"/>
      <c r="V44" s="6">
        <f t="shared" si="27"/>
        <v>1.9652023804115752E-3</v>
      </c>
      <c r="W44" s="2"/>
      <c r="X44" s="7">
        <f t="shared" si="28"/>
        <v>-432.6</v>
      </c>
      <c r="Y44" s="2"/>
      <c r="Z44" s="6">
        <f t="shared" si="29"/>
        <v>-1</v>
      </c>
    </row>
    <row r="45" spans="1:26" s="24" customFormat="1" hidden="1" outlineLevel="2" x14ac:dyDescent="0.3">
      <c r="A45" s="27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2"/>
        <v>0</v>
      </c>
      <c r="G45" s="2"/>
      <c r="H45" s="7">
        <v>0</v>
      </c>
      <c r="I45" s="2"/>
      <c r="J45" s="6">
        <f t="shared" si="23"/>
        <v>0</v>
      </c>
      <c r="K45" s="2"/>
      <c r="L45" s="7">
        <f t="shared" si="24"/>
        <v>0</v>
      </c>
      <c r="M45" s="2"/>
      <c r="N45" s="6">
        <f t="shared" si="25"/>
        <v>0</v>
      </c>
      <c r="O45" s="11"/>
      <c r="P45" s="7"/>
      <c r="Q45" s="2"/>
      <c r="R45" s="6">
        <f t="shared" si="26"/>
        <v>0</v>
      </c>
      <c r="S45" s="2"/>
      <c r="T45" s="7">
        <v>0</v>
      </c>
      <c r="U45" s="2"/>
      <c r="V45" s="6">
        <f t="shared" si="27"/>
        <v>0</v>
      </c>
      <c r="W45" s="2"/>
      <c r="X45" s="7">
        <f t="shared" si="28"/>
        <v>0</v>
      </c>
      <c r="Y45" s="2"/>
      <c r="Z45" s="6">
        <f t="shared" si="29"/>
        <v>0</v>
      </c>
    </row>
    <row r="46" spans="1:26" s="24" customFormat="1" hidden="1" outlineLevel="2" x14ac:dyDescent="0.3">
      <c r="A46" s="27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2"/>
        <v>0</v>
      </c>
      <c r="G46" s="2"/>
      <c r="H46" s="7">
        <v>0</v>
      </c>
      <c r="I46" s="2"/>
      <c r="J46" s="6">
        <f t="shared" si="23"/>
        <v>0</v>
      </c>
      <c r="K46" s="2"/>
      <c r="L46" s="7">
        <f t="shared" si="24"/>
        <v>0</v>
      </c>
      <c r="M46" s="2"/>
      <c r="N46" s="6">
        <f t="shared" si="25"/>
        <v>0</v>
      </c>
      <c r="O46" s="11"/>
      <c r="P46" s="7"/>
      <c r="Q46" s="2"/>
      <c r="R46" s="6">
        <f t="shared" si="26"/>
        <v>0</v>
      </c>
      <c r="S46" s="2"/>
      <c r="T46" s="7">
        <v>0</v>
      </c>
      <c r="U46" s="2"/>
      <c r="V46" s="6">
        <f t="shared" si="27"/>
        <v>0</v>
      </c>
      <c r="W46" s="2"/>
      <c r="X46" s="7">
        <f t="shared" si="28"/>
        <v>0</v>
      </c>
      <c r="Y46" s="2"/>
      <c r="Z46" s="6">
        <f t="shared" si="29"/>
        <v>0</v>
      </c>
    </row>
    <row r="47" spans="1:26" s="28" customFormat="1" outlineLevel="1" collapsed="1" x14ac:dyDescent="0.3">
      <c r="A47" s="29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44.1</v>
      </c>
      <c r="E47" s="1"/>
      <c r="F47" s="5">
        <f t="shared" ref="F47:F55" si="30">IF(D$12=0,0,D47/D$12)</f>
        <v>1.8941069650736987E-3</v>
      </c>
      <c r="G47" s="1"/>
      <c r="H47" s="1">
        <f>SUM(OSRRefH22_2x_0)</f>
        <v>50</v>
      </c>
      <c r="I47" s="1"/>
      <c r="J47" s="5">
        <f t="shared" ref="J47:J55" si="31">IF(H$12=0,0,H47/H$12)</f>
        <v>5.6179775280898881E-4</v>
      </c>
      <c r="K47" s="1"/>
      <c r="L47" s="1">
        <f t="shared" ref="L47:L55" si="32">+D47-H47</f>
        <v>-5.8999999999999986</v>
      </c>
      <c r="M47" s="1"/>
      <c r="N47" s="5">
        <f t="shared" ref="N47:N55" si="33">IF(H47=0,0,L47/H47)</f>
        <v>-0.11799999999999997</v>
      </c>
      <c r="O47" s="14"/>
      <c r="P47" s="1">
        <f>SUM(OSRRefP22_2x_0)</f>
        <v>141.85</v>
      </c>
      <c r="Q47" s="1"/>
      <c r="R47" s="5">
        <f t="shared" ref="R47:R55" si="34">IF(P$12=0,0,P47/P$12)</f>
        <v>1.1604083557582145E-3</v>
      </c>
      <c r="S47" s="1"/>
      <c r="T47" s="1">
        <f>SUM(OSRRefT22_2x_0)</f>
        <v>350</v>
      </c>
      <c r="U47" s="1"/>
      <c r="V47" s="5">
        <f t="shared" ref="V47:V55" si="35">IF(T$12=0,0,T47/T$12)</f>
        <v>1.5899695634397856E-3</v>
      </c>
      <c r="W47" s="1"/>
      <c r="X47" s="1">
        <f t="shared" ref="X47:X55" si="36">+P47-T47</f>
        <v>-208.15</v>
      </c>
      <c r="Y47" s="1"/>
      <c r="Z47" s="5">
        <f t="shared" ref="Z47:Z55" si="37">IF(T47=0,0,X47/T47)</f>
        <v>-0.59471428571428575</v>
      </c>
    </row>
    <row r="48" spans="1:26" s="24" customFormat="1" hidden="1" outlineLevel="2" x14ac:dyDescent="0.3">
      <c r="A48" s="27"/>
      <c r="B48" s="11" t="str">
        <f>CONCATENATE("          ", "6362", " - ", "ADVERTISING EXPENSE")</f>
        <v xml:space="preserve">          6362 - ADVERTISING EXPENSE</v>
      </c>
      <c r="C48" s="11"/>
      <c r="D48" s="7">
        <v>44.1</v>
      </c>
      <c r="E48" s="2"/>
      <c r="F48" s="6">
        <f t="shared" si="30"/>
        <v>1.8941069650736987E-3</v>
      </c>
      <c r="G48" s="2"/>
      <c r="H48" s="7">
        <v>50</v>
      </c>
      <c r="I48" s="2"/>
      <c r="J48" s="6">
        <f t="shared" si="31"/>
        <v>5.6179775280898881E-4</v>
      </c>
      <c r="K48" s="2"/>
      <c r="L48" s="7">
        <f t="shared" si="32"/>
        <v>-5.8999999999999986</v>
      </c>
      <c r="M48" s="2"/>
      <c r="N48" s="6">
        <f t="shared" si="33"/>
        <v>-0.11799999999999997</v>
      </c>
      <c r="O48" s="11"/>
      <c r="P48" s="7">
        <v>141.85</v>
      </c>
      <c r="Q48" s="2"/>
      <c r="R48" s="6">
        <f t="shared" si="34"/>
        <v>1.1604083557582145E-3</v>
      </c>
      <c r="S48" s="2"/>
      <c r="T48" s="7">
        <v>350</v>
      </c>
      <c r="U48" s="2"/>
      <c r="V48" s="6">
        <f t="shared" si="35"/>
        <v>1.5899695634397856E-3</v>
      </c>
      <c r="W48" s="2"/>
      <c r="X48" s="7">
        <f t="shared" si="36"/>
        <v>-208.15</v>
      </c>
      <c r="Y48" s="2"/>
      <c r="Z48" s="6">
        <f t="shared" si="37"/>
        <v>-0.59471428571428575</v>
      </c>
    </row>
    <row r="49" spans="1:26" s="28" customFormat="1" outlineLevel="1" collapsed="1" x14ac:dyDescent="0.3">
      <c r="A49" s="29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SUM(OSRRefD22_3x_0)</f>
        <v>169.88</v>
      </c>
      <c r="E49" s="1"/>
      <c r="F49" s="5">
        <f t="shared" si="30"/>
        <v>7.2963920913088412E-3</v>
      </c>
      <c r="G49" s="1"/>
      <c r="H49" s="1">
        <f>SUM(OSRRefH22_3x_0)</f>
        <v>170</v>
      </c>
      <c r="I49" s="1"/>
      <c r="J49" s="5">
        <f t="shared" si="31"/>
        <v>1.9101123595505619E-3</v>
      </c>
      <c r="K49" s="1"/>
      <c r="L49" s="1">
        <f t="shared" si="32"/>
        <v>-0.12000000000000455</v>
      </c>
      <c r="M49" s="1"/>
      <c r="N49" s="5">
        <f t="shared" si="33"/>
        <v>-7.0588235294120319E-4</v>
      </c>
      <c r="O49" s="14"/>
      <c r="P49" s="1">
        <f>SUM(OSRRefP22_3x_0)</f>
        <v>1189.1600000000001</v>
      </c>
      <c r="Q49" s="1"/>
      <c r="R49" s="5">
        <f t="shared" si="34"/>
        <v>9.7279605240284707E-3</v>
      </c>
      <c r="S49" s="1"/>
      <c r="T49" s="1">
        <f>SUM(OSRRefT22_3x_0)</f>
        <v>1190</v>
      </c>
      <c r="U49" s="1"/>
      <c r="V49" s="5">
        <f t="shared" si="35"/>
        <v>5.4058965156952707E-3</v>
      </c>
      <c r="W49" s="1"/>
      <c r="X49" s="1">
        <f t="shared" si="36"/>
        <v>-0.83999999999991815</v>
      </c>
      <c r="Y49" s="1"/>
      <c r="Z49" s="5">
        <f t="shared" si="37"/>
        <v>-7.0588235294110767E-4</v>
      </c>
    </row>
    <row r="50" spans="1:26" s="24" customFormat="1" hidden="1" outlineLevel="2" x14ac:dyDescent="0.3">
      <c r="A50" s="27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169.88</v>
      </c>
      <c r="E50" s="2"/>
      <c r="F50" s="6">
        <f t="shared" si="30"/>
        <v>7.2963920913088412E-3</v>
      </c>
      <c r="G50" s="2"/>
      <c r="H50" s="7">
        <v>170</v>
      </c>
      <c r="I50" s="2"/>
      <c r="J50" s="6">
        <f t="shared" si="31"/>
        <v>1.9101123595505619E-3</v>
      </c>
      <c r="K50" s="2"/>
      <c r="L50" s="7">
        <f t="shared" si="32"/>
        <v>-0.12000000000000455</v>
      </c>
      <c r="M50" s="2"/>
      <c r="N50" s="6">
        <f t="shared" si="33"/>
        <v>-7.0588235294120319E-4</v>
      </c>
      <c r="O50" s="11"/>
      <c r="P50" s="7">
        <v>1189.1600000000001</v>
      </c>
      <c r="Q50" s="2"/>
      <c r="R50" s="6">
        <f t="shared" si="34"/>
        <v>9.7279605240284707E-3</v>
      </c>
      <c r="S50" s="2"/>
      <c r="T50" s="7">
        <v>1190</v>
      </c>
      <c r="U50" s="2"/>
      <c r="V50" s="6">
        <f t="shared" si="35"/>
        <v>5.4058965156952707E-3</v>
      </c>
      <c r="W50" s="2"/>
      <c r="X50" s="7">
        <f t="shared" si="36"/>
        <v>-0.83999999999991815</v>
      </c>
      <c r="Y50" s="2"/>
      <c r="Z50" s="6">
        <f t="shared" si="37"/>
        <v>-7.0588235294110767E-4</v>
      </c>
    </row>
    <row r="51" spans="1:26" s="28" customFormat="1" outlineLevel="1" collapsed="1" x14ac:dyDescent="0.3">
      <c r="A51" s="29"/>
      <c r="B51" s="14" t="str">
        <f>CONCATENATE("     ","Equipment Rental                                  ")</f>
        <v xml:space="preserve">     Equipment Rental                                  </v>
      </c>
      <c r="C51" s="14"/>
      <c r="D51" s="1">
        <f>SUM(OSRRefD22_4x_0)</f>
        <v>1296.9000000000001</v>
      </c>
      <c r="E51" s="1"/>
      <c r="F51" s="5">
        <f t="shared" si="30"/>
        <v>5.5702206870840813E-2</v>
      </c>
      <c r="G51" s="1"/>
      <c r="H51" s="1">
        <f>SUM(OSRRefH22_4x_0)</f>
        <v>1300</v>
      </c>
      <c r="I51" s="1"/>
      <c r="J51" s="5">
        <f t="shared" si="31"/>
        <v>1.4606741573033709E-2</v>
      </c>
      <c r="K51" s="1"/>
      <c r="L51" s="1">
        <f t="shared" si="32"/>
        <v>-3.0999999999999091</v>
      </c>
      <c r="M51" s="1"/>
      <c r="N51" s="5">
        <f t="shared" si="33"/>
        <v>-2.3846153846153145E-3</v>
      </c>
      <c r="O51" s="14"/>
      <c r="P51" s="1">
        <f>SUM(OSRRefP22_4x_0)</f>
        <v>8530.74</v>
      </c>
      <c r="Q51" s="1"/>
      <c r="R51" s="5">
        <f t="shared" si="34"/>
        <v>6.9785985032081999E-2</v>
      </c>
      <c r="S51" s="1"/>
      <c r="T51" s="1">
        <f>SUM(OSRRefT22_4x_0)</f>
        <v>8900</v>
      </c>
      <c r="U51" s="1"/>
      <c r="V51" s="5">
        <f t="shared" si="35"/>
        <v>4.0430654613183119E-2</v>
      </c>
      <c r="W51" s="1"/>
      <c r="X51" s="1">
        <f t="shared" si="36"/>
        <v>-369.26000000000022</v>
      </c>
      <c r="Y51" s="1"/>
      <c r="Z51" s="5">
        <f t="shared" si="37"/>
        <v>-4.148988764044946E-2</v>
      </c>
    </row>
    <row r="52" spans="1:26" s="24" customFormat="1" hidden="1" outlineLevel="2" x14ac:dyDescent="0.3">
      <c r="A52" s="27"/>
      <c r="B52" s="11" t="str">
        <f>CONCATENATE("          ", "6351", " - ", "EQUIPMENT RENTAL")</f>
        <v xml:space="preserve">          6351 - EQUIPMENT RENTAL</v>
      </c>
      <c r="C52" s="11"/>
      <c r="D52" s="7">
        <v>1296.9000000000001</v>
      </c>
      <c r="E52" s="2"/>
      <c r="F52" s="6">
        <f t="shared" si="30"/>
        <v>5.5702206870840813E-2</v>
      </c>
      <c r="G52" s="2"/>
      <c r="H52" s="7">
        <v>1300</v>
      </c>
      <c r="I52" s="2"/>
      <c r="J52" s="6">
        <f t="shared" si="31"/>
        <v>1.4606741573033709E-2</v>
      </c>
      <c r="K52" s="2"/>
      <c r="L52" s="7">
        <f t="shared" si="32"/>
        <v>-3.0999999999999091</v>
      </c>
      <c r="M52" s="2"/>
      <c r="N52" s="6">
        <f t="shared" si="33"/>
        <v>-2.3846153846153145E-3</v>
      </c>
      <c r="O52" s="11"/>
      <c r="P52" s="7">
        <v>8530.74</v>
      </c>
      <c r="Q52" s="2"/>
      <c r="R52" s="6">
        <f t="shared" si="34"/>
        <v>6.9785985032081999E-2</v>
      </c>
      <c r="S52" s="2"/>
      <c r="T52" s="7">
        <v>8900</v>
      </c>
      <c r="U52" s="2"/>
      <c r="V52" s="6">
        <f t="shared" si="35"/>
        <v>4.0430654613183119E-2</v>
      </c>
      <c r="W52" s="2"/>
      <c r="X52" s="7">
        <f t="shared" si="36"/>
        <v>-369.26000000000022</v>
      </c>
      <c r="Y52" s="2"/>
      <c r="Z52" s="6">
        <f t="shared" si="37"/>
        <v>-4.148988764044946E-2</v>
      </c>
    </row>
    <row r="53" spans="1:26" s="28" customFormat="1" outlineLevel="1" collapsed="1" x14ac:dyDescent="0.3">
      <c r="A53" s="29"/>
      <c r="B53" s="14" t="str">
        <f>CONCATENATE("     ","Freight out/Postage                               ")</f>
        <v xml:space="preserve">     Freight out/Postage                               </v>
      </c>
      <c r="C53" s="14"/>
      <c r="D53" s="1">
        <f>SUM(OSRRefD22_5x_0)</f>
        <v>-10138.209999999999</v>
      </c>
      <c r="E53" s="1"/>
      <c r="F53" s="5">
        <f t="shared" si="30"/>
        <v>-0.43543887016734284</v>
      </c>
      <c r="G53" s="1"/>
      <c r="H53" s="1">
        <f>SUM(OSRRefH22_5x_0)</f>
        <v>-26500</v>
      </c>
      <c r="I53" s="1"/>
      <c r="J53" s="5">
        <f t="shared" si="31"/>
        <v>-0.29775280898876405</v>
      </c>
      <c r="K53" s="1"/>
      <c r="L53" s="1">
        <f t="shared" si="32"/>
        <v>16361.79</v>
      </c>
      <c r="M53" s="1"/>
      <c r="N53" s="5">
        <f t="shared" si="33"/>
        <v>-0.61742603773584914</v>
      </c>
      <c r="O53" s="14"/>
      <c r="P53" s="1">
        <f>SUM(OSRRefP22_5x_0)</f>
        <v>-57286.23000000001</v>
      </c>
      <c r="Q53" s="1"/>
      <c r="R53" s="5">
        <f t="shared" si="34"/>
        <v>-0.46863179388006287</v>
      </c>
      <c r="S53" s="1"/>
      <c r="T53" s="1">
        <f>SUM(OSRRefT22_5x_0)</f>
        <v>-26700</v>
      </c>
      <c r="U53" s="1"/>
      <c r="V53" s="5">
        <f t="shared" si="35"/>
        <v>-0.12129196383954936</v>
      </c>
      <c r="W53" s="1"/>
      <c r="X53" s="1">
        <f t="shared" si="36"/>
        <v>-30586.23000000001</v>
      </c>
      <c r="Y53" s="1"/>
      <c r="Z53" s="5">
        <f t="shared" si="37"/>
        <v>1.1455516853932588</v>
      </c>
    </row>
    <row r="54" spans="1:26" s="24" customFormat="1" hidden="1" outlineLevel="2" x14ac:dyDescent="0.3">
      <c r="A54" s="27"/>
      <c r="B54" s="11" t="str">
        <f>CONCATENATE("          ", "6305", " - ", "FREIGHT OUT")</f>
        <v xml:space="preserve">          6305 - FREIGHT OUT</v>
      </c>
      <c r="C54" s="11"/>
      <c r="D54" s="7">
        <v>14906.39</v>
      </c>
      <c r="E54" s="2"/>
      <c r="F54" s="6">
        <f t="shared" si="30"/>
        <v>0.64023349485498704</v>
      </c>
      <c r="G54" s="2"/>
      <c r="H54" s="7">
        <v>15000</v>
      </c>
      <c r="I54" s="2"/>
      <c r="J54" s="6">
        <f t="shared" si="31"/>
        <v>0.16853932584269662</v>
      </c>
      <c r="K54" s="2"/>
      <c r="L54" s="7">
        <f t="shared" si="32"/>
        <v>-93.610000000000582</v>
      </c>
      <c r="M54" s="2"/>
      <c r="N54" s="6">
        <f t="shared" si="33"/>
        <v>-6.2406666666667051E-3</v>
      </c>
      <c r="O54" s="11"/>
      <c r="P54" s="7">
        <v>87621</v>
      </c>
      <c r="Q54" s="2"/>
      <c r="R54" s="6">
        <f t="shared" si="34"/>
        <v>0.71678632738731418</v>
      </c>
      <c r="S54" s="2"/>
      <c r="T54" s="7">
        <v>106300</v>
      </c>
      <c r="U54" s="2"/>
      <c r="V54" s="6">
        <f t="shared" si="35"/>
        <v>0.48289647026756916</v>
      </c>
      <c r="W54" s="2"/>
      <c r="X54" s="7">
        <f t="shared" si="36"/>
        <v>-18679</v>
      </c>
      <c r="Y54" s="2"/>
      <c r="Z54" s="6">
        <f t="shared" si="37"/>
        <v>-0.17571966133584196</v>
      </c>
    </row>
    <row r="55" spans="1:26" s="24" customFormat="1" hidden="1" outlineLevel="2" x14ac:dyDescent="0.3">
      <c r="A55" s="27"/>
      <c r="B55" s="11" t="str">
        <f>CONCATENATE("          ", "6307", " - ", "POSTAGE")</f>
        <v xml:space="preserve">          6307 - POSTAGE</v>
      </c>
      <c r="C55" s="11"/>
      <c r="D55" s="7">
        <v>-25044.6</v>
      </c>
      <c r="E55" s="2"/>
      <c r="F55" s="6">
        <f t="shared" si="30"/>
        <v>-1.0756723650223299</v>
      </c>
      <c r="G55" s="2"/>
      <c r="H55" s="7">
        <v>-41500</v>
      </c>
      <c r="I55" s="2"/>
      <c r="J55" s="6">
        <f t="shared" si="31"/>
        <v>-0.46629213483146065</v>
      </c>
      <c r="K55" s="2"/>
      <c r="L55" s="7">
        <f t="shared" si="32"/>
        <v>16455.400000000001</v>
      </c>
      <c r="M55" s="2"/>
      <c r="N55" s="6">
        <f t="shared" si="33"/>
        <v>-0.39651566265060245</v>
      </c>
      <c r="O55" s="11"/>
      <c r="P55" s="7">
        <v>-144907.23000000001</v>
      </c>
      <c r="Q55" s="2"/>
      <c r="R55" s="6">
        <f t="shared" si="34"/>
        <v>-1.1854181212673771</v>
      </c>
      <c r="S55" s="2"/>
      <c r="T55" s="7">
        <v>-133000</v>
      </c>
      <c r="U55" s="2"/>
      <c r="V55" s="6">
        <f t="shared" si="35"/>
        <v>-0.60418843410711853</v>
      </c>
      <c r="W55" s="2"/>
      <c r="X55" s="7">
        <f t="shared" si="36"/>
        <v>-11907.23000000001</v>
      </c>
      <c r="Y55" s="2"/>
      <c r="Z55" s="6">
        <f t="shared" si="37"/>
        <v>8.9528045112782034E-2</v>
      </c>
    </row>
    <row r="56" spans="1:26" s="28" customFormat="1" outlineLevel="1" collapsed="1" x14ac:dyDescent="0.3">
      <c r="A56" s="29"/>
      <c r="B56" s="14" t="str">
        <f>CONCATENATE("     ","General                                           ")</f>
        <v xml:space="preserve">     General                                           </v>
      </c>
      <c r="C56" s="14"/>
      <c r="D56" s="1">
        <f>SUM(OSRRefD22_6x_0)</f>
        <v>0</v>
      </c>
      <c r="E56" s="1"/>
      <c r="F56" s="5">
        <f t="shared" ref="F56:F61" si="38">IF(D$12=0,0,D56/D$12)</f>
        <v>0</v>
      </c>
      <c r="G56" s="1"/>
      <c r="H56" s="1">
        <f>SUM(OSRRefH22_6x_0)</f>
        <v>0</v>
      </c>
      <c r="I56" s="1"/>
      <c r="J56" s="5">
        <f t="shared" ref="J56:J61" si="39">IF(H$12=0,0,H56/H$12)</f>
        <v>0</v>
      </c>
      <c r="K56" s="1"/>
      <c r="L56" s="1">
        <f t="shared" ref="L56:L61" si="40">+D56-H56</f>
        <v>0</v>
      </c>
      <c r="M56" s="1"/>
      <c r="N56" s="5">
        <f t="shared" ref="N56:N61" si="41">IF(H56=0,0,L56/H56)</f>
        <v>0</v>
      </c>
      <c r="O56" s="14"/>
      <c r="P56" s="1">
        <f>SUM(OSRRefP22_6x_0)</f>
        <v>91.31</v>
      </c>
      <c r="Q56" s="1"/>
      <c r="R56" s="5">
        <f t="shared" ref="R56:R61" si="42">IF(P$12=0,0,P56/P$12)</f>
        <v>7.4696430711513977E-4</v>
      </c>
      <c r="S56" s="1"/>
      <c r="T56" s="1">
        <f>SUM(OSRRefT22_6x_0)</f>
        <v>0</v>
      </c>
      <c r="U56" s="1"/>
      <c r="V56" s="5">
        <f t="shared" ref="V56:V61" si="43">IF(T$12=0,0,T56/T$12)</f>
        <v>0</v>
      </c>
      <c r="W56" s="1"/>
      <c r="X56" s="1">
        <f t="shared" ref="X56:X61" si="44">+P56-T56</f>
        <v>91.31</v>
      </c>
      <c r="Y56" s="1"/>
      <c r="Z56" s="5">
        <f t="shared" ref="Z56:Z61" si="45">IF(T56=0,0,X56/T56)</f>
        <v>0</v>
      </c>
    </row>
    <row r="57" spans="1:26" s="24" customFormat="1" hidden="1" outlineLevel="2" x14ac:dyDescent="0.3">
      <c r="A57" s="27"/>
      <c r="B57" s="11" t="str">
        <f>CONCATENATE("          ", "6279", " - ", "GENERAL EXPENSE")</f>
        <v xml:space="preserve">          6279 - GENERAL EXPENSE</v>
      </c>
      <c r="C57" s="11"/>
      <c r="D57" s="7"/>
      <c r="E57" s="2"/>
      <c r="F57" s="6">
        <f t="shared" si="38"/>
        <v>0</v>
      </c>
      <c r="G57" s="2"/>
      <c r="H57" s="7"/>
      <c r="I57" s="2"/>
      <c r="J57" s="6">
        <f t="shared" si="39"/>
        <v>0</v>
      </c>
      <c r="K57" s="2"/>
      <c r="L57" s="7">
        <f t="shared" si="40"/>
        <v>0</v>
      </c>
      <c r="M57" s="2"/>
      <c r="N57" s="6">
        <f t="shared" si="41"/>
        <v>0</v>
      </c>
      <c r="O57" s="11"/>
      <c r="P57" s="7">
        <v>91.31</v>
      </c>
      <c r="Q57" s="2"/>
      <c r="R57" s="6">
        <f t="shared" si="42"/>
        <v>7.4696430711513977E-4</v>
      </c>
      <c r="S57" s="2"/>
      <c r="T57" s="7"/>
      <c r="U57" s="2"/>
      <c r="V57" s="6">
        <f t="shared" si="43"/>
        <v>0</v>
      </c>
      <c r="W57" s="2"/>
      <c r="X57" s="7">
        <f t="shared" si="44"/>
        <v>91.31</v>
      </c>
      <c r="Y57" s="2"/>
      <c r="Z57" s="6">
        <f t="shared" si="45"/>
        <v>0</v>
      </c>
    </row>
    <row r="58" spans="1:26" s="28" customFormat="1" outlineLevel="1" collapsed="1" x14ac:dyDescent="0.3">
      <c r="A58" s="29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SUM(OSRRefD22_7x_0)</f>
        <v>7510.08</v>
      </c>
      <c r="E58" s="1"/>
      <c r="F58" s="5">
        <f t="shared" si="38"/>
        <v>0.3225599736113533</v>
      </c>
      <c r="G58" s="1"/>
      <c r="H58" s="1">
        <f>SUM(OSRRefH22_7x_0)</f>
        <v>5600</v>
      </c>
      <c r="I58" s="1"/>
      <c r="J58" s="5">
        <f t="shared" si="39"/>
        <v>6.2921348314606745E-2</v>
      </c>
      <c r="K58" s="1"/>
      <c r="L58" s="1">
        <f t="shared" si="40"/>
        <v>1910.08</v>
      </c>
      <c r="M58" s="1"/>
      <c r="N58" s="5">
        <f t="shared" si="41"/>
        <v>0.34108571428571427</v>
      </c>
      <c r="O58" s="14"/>
      <c r="P58" s="1">
        <f>SUM(OSRRefP22_7x_0)</f>
        <v>20738.830000000002</v>
      </c>
      <c r="Q58" s="1"/>
      <c r="R58" s="5">
        <f t="shared" si="42"/>
        <v>0.16965464660309579</v>
      </c>
      <c r="S58" s="1"/>
      <c r="T58" s="1">
        <f>SUM(OSRRefT22_7x_0)</f>
        <v>33700</v>
      </c>
      <c r="U58" s="1"/>
      <c r="V58" s="5">
        <f t="shared" si="43"/>
        <v>0.15309135510834507</v>
      </c>
      <c r="W58" s="1"/>
      <c r="X58" s="1">
        <f t="shared" si="44"/>
        <v>-12961.169999999998</v>
      </c>
      <c r="Y58" s="1"/>
      <c r="Z58" s="5">
        <f t="shared" si="45"/>
        <v>-0.3846044510385756</v>
      </c>
    </row>
    <row r="59" spans="1:26" s="24" customFormat="1" hidden="1" outlineLevel="2" x14ac:dyDescent="0.3">
      <c r="A59" s="27"/>
      <c r="B59" s="11" t="str">
        <f>CONCATENATE("          ", "6371", " - ", "COMPUTER SOFTWARE MAINTENANCE")</f>
        <v xml:space="preserve">          6371 - COMPUTER SOFTWARE MAINTENANCE</v>
      </c>
      <c r="C59" s="11"/>
      <c r="D59" s="7"/>
      <c r="E59" s="2"/>
      <c r="F59" s="6">
        <f t="shared" si="38"/>
        <v>0</v>
      </c>
      <c r="G59" s="2"/>
      <c r="H59" s="7"/>
      <c r="I59" s="2"/>
      <c r="J59" s="6">
        <f t="shared" si="39"/>
        <v>0</v>
      </c>
      <c r="K59" s="2"/>
      <c r="L59" s="7">
        <f t="shared" si="40"/>
        <v>0</v>
      </c>
      <c r="M59" s="2"/>
      <c r="N59" s="6">
        <f t="shared" si="41"/>
        <v>0</v>
      </c>
      <c r="O59" s="11"/>
      <c r="P59" s="7"/>
      <c r="Q59" s="2"/>
      <c r="R59" s="6">
        <f t="shared" si="42"/>
        <v>0</v>
      </c>
      <c r="S59" s="2"/>
      <c r="T59" s="7">
        <v>100</v>
      </c>
      <c r="U59" s="2"/>
      <c r="V59" s="6">
        <f t="shared" si="43"/>
        <v>4.54277018125653E-4</v>
      </c>
      <c r="W59" s="2"/>
      <c r="X59" s="7">
        <f t="shared" si="44"/>
        <v>-100</v>
      </c>
      <c r="Y59" s="2"/>
      <c r="Z59" s="6">
        <f t="shared" si="45"/>
        <v>-1</v>
      </c>
    </row>
    <row r="60" spans="1:26" s="24" customFormat="1" hidden="1" outlineLevel="2" x14ac:dyDescent="0.3">
      <c r="A60" s="27"/>
      <c r="B60" s="11" t="str">
        <f>CONCATENATE("          ", "6373", " - ", "MAINTENANCE CONTRACTS")</f>
        <v xml:space="preserve">          6373 - MAINTENANCE CONTRACTS</v>
      </c>
      <c r="C60" s="11"/>
      <c r="D60" s="7">
        <v>1433.04</v>
      </c>
      <c r="E60" s="2"/>
      <c r="F60" s="6">
        <f t="shared" si="38"/>
        <v>6.1549456807918658E-2</v>
      </c>
      <c r="G60" s="2"/>
      <c r="H60" s="7">
        <v>5600</v>
      </c>
      <c r="I60" s="2"/>
      <c r="J60" s="6">
        <f t="shared" si="39"/>
        <v>6.2921348314606745E-2</v>
      </c>
      <c r="K60" s="2"/>
      <c r="L60" s="7">
        <f t="shared" si="40"/>
        <v>-4166.96</v>
      </c>
      <c r="M60" s="2"/>
      <c r="N60" s="6">
        <f t="shared" si="41"/>
        <v>-0.74409999999999998</v>
      </c>
      <c r="O60" s="11"/>
      <c r="P60" s="7">
        <v>6764.18</v>
      </c>
      <c r="Q60" s="2"/>
      <c r="R60" s="6">
        <f t="shared" si="42"/>
        <v>5.5334585772665493E-2</v>
      </c>
      <c r="S60" s="2"/>
      <c r="T60" s="7">
        <v>33600</v>
      </c>
      <c r="U60" s="2"/>
      <c r="V60" s="6">
        <f t="shared" si="43"/>
        <v>0.15263707809021942</v>
      </c>
      <c r="W60" s="2"/>
      <c r="X60" s="7">
        <f t="shared" si="44"/>
        <v>-26835.82</v>
      </c>
      <c r="Y60" s="2"/>
      <c r="Z60" s="6">
        <f t="shared" si="45"/>
        <v>-0.79868511904761907</v>
      </c>
    </row>
    <row r="61" spans="1:26" s="24" customFormat="1" hidden="1" outlineLevel="2" x14ac:dyDescent="0.3">
      <c r="A61" s="27"/>
      <c r="B61" s="11" t="str">
        <f>CONCATENATE("          ", "6375", " - ", "OUTSIDE REPAIRS &amp; MAINTENANCE")</f>
        <v xml:space="preserve">          6375 - OUTSIDE REPAIRS &amp; MAINTENANCE</v>
      </c>
      <c r="C61" s="11"/>
      <c r="D61" s="7">
        <v>6077.04</v>
      </c>
      <c r="E61" s="2"/>
      <c r="F61" s="6">
        <f t="shared" si="38"/>
        <v>0.26101051680343468</v>
      </c>
      <c r="G61" s="2"/>
      <c r="H61" s="7"/>
      <c r="I61" s="2"/>
      <c r="J61" s="6">
        <f t="shared" si="39"/>
        <v>0</v>
      </c>
      <c r="K61" s="2"/>
      <c r="L61" s="7">
        <f t="shared" si="40"/>
        <v>6077.04</v>
      </c>
      <c r="M61" s="2"/>
      <c r="N61" s="6">
        <f t="shared" si="41"/>
        <v>0</v>
      </c>
      <c r="O61" s="11"/>
      <c r="P61" s="7">
        <v>13974.65</v>
      </c>
      <c r="Q61" s="2"/>
      <c r="R61" s="6">
        <f t="shared" si="42"/>
        <v>0.11432006083043027</v>
      </c>
      <c r="S61" s="2"/>
      <c r="T61" s="7"/>
      <c r="U61" s="2"/>
      <c r="V61" s="6">
        <f t="shared" si="43"/>
        <v>0</v>
      </c>
      <c r="W61" s="2"/>
      <c r="X61" s="7">
        <f t="shared" si="44"/>
        <v>13974.65</v>
      </c>
      <c r="Y61" s="2"/>
      <c r="Z61" s="6">
        <f t="shared" si="45"/>
        <v>0</v>
      </c>
    </row>
    <row r="62" spans="1:26" s="28" customFormat="1" outlineLevel="1" collapsed="1" x14ac:dyDescent="0.3">
      <c r="A62" s="29"/>
      <c r="B62" s="14" t="str">
        <f>CONCATENATE("     ","Royalty &amp; Commissions                             ")</f>
        <v xml:space="preserve">     Royalty &amp; Commissions                             </v>
      </c>
      <c r="C62" s="14"/>
      <c r="D62" s="1">
        <f>SUM(OSRRefD22_8x_0)</f>
        <v>254.44</v>
      </c>
      <c r="E62" s="1"/>
      <c r="F62" s="5">
        <f t="shared" ref="F62:F68" si="46">IF(D$12=0,0,D62/D$12)</f>
        <v>1.0928267033862854E-2</v>
      </c>
      <c r="G62" s="1"/>
      <c r="H62" s="1">
        <f>SUM(OSRRefH22_8x_0)</f>
        <v>10000</v>
      </c>
      <c r="I62" s="1"/>
      <c r="J62" s="5">
        <f t="shared" ref="J62:J68" si="47">IF(H$12=0,0,H62/H$12)</f>
        <v>0.11235955056179775</v>
      </c>
      <c r="K62" s="1"/>
      <c r="L62" s="1">
        <f t="shared" ref="L62:L68" si="48">+D62-H62</f>
        <v>-9745.56</v>
      </c>
      <c r="M62" s="1"/>
      <c r="N62" s="5">
        <f t="shared" ref="N62:N68" si="49">IF(H62=0,0,L62/H62)</f>
        <v>-0.97455599999999998</v>
      </c>
      <c r="O62" s="14"/>
      <c r="P62" s="1">
        <f>SUM(OSRRefP22_8x_0)</f>
        <v>5868.58</v>
      </c>
      <c r="Q62" s="1"/>
      <c r="R62" s="5">
        <f t="shared" ref="R62:R68" si="50">IF(P$12=0,0,P62/P$12)</f>
        <v>4.8008101998135655E-2</v>
      </c>
      <c r="S62" s="1"/>
      <c r="T62" s="1">
        <f>SUM(OSRRefT22_8x_0)</f>
        <v>28700</v>
      </c>
      <c r="U62" s="1"/>
      <c r="V62" s="5">
        <f t="shared" ref="V62:V68" si="51">IF(T$12=0,0,T62/T$12)</f>
        <v>0.13037750420206243</v>
      </c>
      <c r="W62" s="1"/>
      <c r="X62" s="1">
        <f t="shared" ref="X62:X68" si="52">+P62-T62</f>
        <v>-22831.42</v>
      </c>
      <c r="Y62" s="1"/>
      <c r="Z62" s="5">
        <f t="shared" ref="Z62:Z68" si="53">IF(T62=0,0,X62/T62)</f>
        <v>-0.79551986062717761</v>
      </c>
    </row>
    <row r="63" spans="1:26" s="24" customFormat="1" hidden="1" outlineLevel="2" x14ac:dyDescent="0.3">
      <c r="A63" s="27"/>
      <c r="B63" s="11" t="str">
        <f>CONCATENATE("          ", "6259", " - ", "ROYALTY &amp; COMMISSIONS")</f>
        <v xml:space="preserve">          6259 - ROYALTY &amp; COMMISSIONS</v>
      </c>
      <c r="C63" s="11"/>
      <c r="D63" s="7">
        <v>254.44</v>
      </c>
      <c r="E63" s="2"/>
      <c r="F63" s="6">
        <f t="shared" si="46"/>
        <v>1.0928267033862854E-2</v>
      </c>
      <c r="G63" s="2"/>
      <c r="H63" s="7">
        <v>10000</v>
      </c>
      <c r="I63" s="2"/>
      <c r="J63" s="6">
        <f t="shared" si="47"/>
        <v>0.11235955056179775</v>
      </c>
      <c r="K63" s="2"/>
      <c r="L63" s="7">
        <f t="shared" si="48"/>
        <v>-9745.56</v>
      </c>
      <c r="M63" s="2"/>
      <c r="N63" s="6">
        <f t="shared" si="49"/>
        <v>-0.97455599999999998</v>
      </c>
      <c r="O63" s="11"/>
      <c r="P63" s="7">
        <v>5868.58</v>
      </c>
      <c r="Q63" s="2"/>
      <c r="R63" s="6">
        <f t="shared" si="50"/>
        <v>4.8008101998135655E-2</v>
      </c>
      <c r="S63" s="2"/>
      <c r="T63" s="7">
        <v>28700</v>
      </c>
      <c r="U63" s="2"/>
      <c r="V63" s="6">
        <f t="shared" si="51"/>
        <v>0.13037750420206243</v>
      </c>
      <c r="W63" s="2"/>
      <c r="X63" s="7">
        <f t="shared" si="52"/>
        <v>-22831.42</v>
      </c>
      <c r="Y63" s="2"/>
      <c r="Z63" s="6">
        <f t="shared" si="53"/>
        <v>-0.79551986062717761</v>
      </c>
    </row>
    <row r="64" spans="1:26" s="28" customFormat="1" outlineLevel="1" collapsed="1" x14ac:dyDescent="0.3">
      <c r="A64" s="29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SUM(OSRRefD22_9x_0)</f>
        <v>795.68000000000006</v>
      </c>
      <c r="E64" s="1"/>
      <c r="F64" s="5">
        <f t="shared" si="46"/>
        <v>3.4174671881402281E-2</v>
      </c>
      <c r="G64" s="1"/>
      <c r="H64" s="1">
        <f>SUM(OSRRefH22_9x_0)</f>
        <v>11750</v>
      </c>
      <c r="I64" s="1"/>
      <c r="J64" s="5">
        <f t="shared" si="47"/>
        <v>0.13202247191011235</v>
      </c>
      <c r="K64" s="1"/>
      <c r="L64" s="1">
        <f t="shared" si="48"/>
        <v>-10954.32</v>
      </c>
      <c r="M64" s="1"/>
      <c r="N64" s="5">
        <f t="shared" si="49"/>
        <v>-0.93228255319148934</v>
      </c>
      <c r="O64" s="14"/>
      <c r="P64" s="1">
        <f>SUM(OSRRefP22_9x_0)</f>
        <v>22617.919999999998</v>
      </c>
      <c r="Q64" s="1"/>
      <c r="R64" s="5">
        <f t="shared" si="50"/>
        <v>0.18502660104244509</v>
      </c>
      <c r="S64" s="1"/>
      <c r="T64" s="1">
        <f>SUM(OSRRefT22_9x_0)</f>
        <v>33550</v>
      </c>
      <c r="U64" s="1"/>
      <c r="V64" s="5">
        <f t="shared" si="51"/>
        <v>0.15240993958115659</v>
      </c>
      <c r="W64" s="1"/>
      <c r="X64" s="1">
        <f t="shared" si="52"/>
        <v>-10932.080000000002</v>
      </c>
      <c r="Y64" s="1"/>
      <c r="Z64" s="5">
        <f t="shared" si="53"/>
        <v>-0.32584441132637859</v>
      </c>
    </row>
    <row r="65" spans="1:26" s="24" customFormat="1" hidden="1" outlineLevel="2" x14ac:dyDescent="0.3">
      <c r="A65" s="27"/>
      <c r="B65" s="11" t="str">
        <f>CONCATENATE("          ", "6241", " - ", "OFFICE EXPENSE")</f>
        <v xml:space="preserve">          6241 - OFFICE EXPENSE</v>
      </c>
      <c r="C65" s="11"/>
      <c r="D65" s="7">
        <v>9.4600000000000009</v>
      </c>
      <c r="E65" s="2"/>
      <c r="F65" s="6">
        <f t="shared" si="46"/>
        <v>4.0630956665753263E-4</v>
      </c>
      <c r="G65" s="2"/>
      <c r="H65" s="7"/>
      <c r="I65" s="2"/>
      <c r="J65" s="6">
        <f t="shared" si="47"/>
        <v>0</v>
      </c>
      <c r="K65" s="2"/>
      <c r="L65" s="7">
        <f t="shared" si="48"/>
        <v>9.4600000000000009</v>
      </c>
      <c r="M65" s="2"/>
      <c r="N65" s="6">
        <f t="shared" si="49"/>
        <v>0</v>
      </c>
      <c r="O65" s="11"/>
      <c r="P65" s="7">
        <v>4862.3100000000004</v>
      </c>
      <c r="Q65" s="2"/>
      <c r="R65" s="6">
        <f t="shared" si="50"/>
        <v>3.977627883177106E-2</v>
      </c>
      <c r="S65" s="2"/>
      <c r="T65" s="7"/>
      <c r="U65" s="2"/>
      <c r="V65" s="6">
        <f t="shared" si="51"/>
        <v>0</v>
      </c>
      <c r="W65" s="2"/>
      <c r="X65" s="7">
        <f t="shared" si="52"/>
        <v>4862.3100000000004</v>
      </c>
      <c r="Y65" s="2"/>
      <c r="Z65" s="6">
        <f t="shared" si="53"/>
        <v>0</v>
      </c>
    </row>
    <row r="66" spans="1:26" s="24" customFormat="1" hidden="1" outlineLevel="2" x14ac:dyDescent="0.3">
      <c r="A66" s="27"/>
      <c r="B66" s="11" t="str">
        <f>CONCATENATE("          ", "6243", " - ", "PAPER SUPPLIES")</f>
        <v xml:space="preserve">          6243 - PAPER SUPPLIES</v>
      </c>
      <c r="C66" s="11"/>
      <c r="D66" s="7">
        <v>78.34</v>
      </c>
      <c r="E66" s="2"/>
      <c r="F66" s="6">
        <f t="shared" si="46"/>
        <v>3.3647242549631191E-3</v>
      </c>
      <c r="G66" s="2"/>
      <c r="H66" s="7">
        <v>7500</v>
      </c>
      <c r="I66" s="2"/>
      <c r="J66" s="6">
        <f t="shared" si="47"/>
        <v>8.4269662921348312E-2</v>
      </c>
      <c r="K66" s="2"/>
      <c r="L66" s="7">
        <f t="shared" si="48"/>
        <v>-7421.66</v>
      </c>
      <c r="M66" s="2"/>
      <c r="N66" s="6">
        <f t="shared" si="49"/>
        <v>-0.98955466666666669</v>
      </c>
      <c r="O66" s="11"/>
      <c r="P66" s="7">
        <v>4549.24</v>
      </c>
      <c r="Q66" s="2"/>
      <c r="R66" s="6">
        <f t="shared" si="50"/>
        <v>3.7215199917867467E-2</v>
      </c>
      <c r="S66" s="2"/>
      <c r="T66" s="7">
        <v>26400</v>
      </c>
      <c r="U66" s="2"/>
      <c r="V66" s="6">
        <f t="shared" si="51"/>
        <v>0.11992913278517239</v>
      </c>
      <c r="W66" s="2"/>
      <c r="X66" s="7">
        <f t="shared" si="52"/>
        <v>-21850.760000000002</v>
      </c>
      <c r="Y66" s="2"/>
      <c r="Z66" s="6">
        <f t="shared" si="53"/>
        <v>-0.82768030303030315</v>
      </c>
    </row>
    <row r="67" spans="1:26" s="24" customFormat="1" hidden="1" outlineLevel="2" x14ac:dyDescent="0.3">
      <c r="A67" s="27"/>
      <c r="B67" s="11" t="str">
        <f>CONCATENATE("          ", "6245", " - ", "PRINTING")</f>
        <v xml:space="preserve">          6245 - PRINTING</v>
      </c>
      <c r="C67" s="11"/>
      <c r="D67" s="7">
        <v>76.62</v>
      </c>
      <c r="E67" s="2"/>
      <c r="F67" s="6">
        <f t="shared" si="46"/>
        <v>3.2908497882981132E-3</v>
      </c>
      <c r="G67" s="2"/>
      <c r="H67" s="7">
        <v>3750</v>
      </c>
      <c r="I67" s="2"/>
      <c r="J67" s="6">
        <f t="shared" si="47"/>
        <v>4.2134831460674156E-2</v>
      </c>
      <c r="K67" s="2"/>
      <c r="L67" s="7">
        <f t="shared" si="48"/>
        <v>-3673.38</v>
      </c>
      <c r="M67" s="2"/>
      <c r="N67" s="6">
        <f t="shared" si="49"/>
        <v>-0.97956799999999999</v>
      </c>
      <c r="O67" s="11"/>
      <c r="P67" s="7">
        <v>1158.55</v>
      </c>
      <c r="Q67" s="2"/>
      <c r="R67" s="6">
        <f t="shared" si="50"/>
        <v>9.4775544629092674E-3</v>
      </c>
      <c r="S67" s="2"/>
      <c r="T67" s="7">
        <v>5895</v>
      </c>
      <c r="U67" s="2"/>
      <c r="V67" s="6">
        <f t="shared" si="51"/>
        <v>2.6779630218507246E-2</v>
      </c>
      <c r="W67" s="2"/>
      <c r="X67" s="7">
        <f t="shared" si="52"/>
        <v>-4736.45</v>
      </c>
      <c r="Y67" s="2"/>
      <c r="Z67" s="6">
        <f t="shared" si="53"/>
        <v>-0.80346904156064458</v>
      </c>
    </row>
    <row r="68" spans="1:26" s="24" customFormat="1" hidden="1" outlineLevel="2" x14ac:dyDescent="0.3">
      <c r="A68" s="27"/>
      <c r="B68" s="11" t="str">
        <f>CONCATENATE("          ", "6247", " - ", "STORE SUPPLIES")</f>
        <v xml:space="preserve">          6247 - STORE SUPPLIES</v>
      </c>
      <c r="C68" s="11"/>
      <c r="D68" s="7">
        <v>631.26</v>
      </c>
      <c r="E68" s="2"/>
      <c r="F68" s="6">
        <f t="shared" si="46"/>
        <v>2.7112788271483512E-2</v>
      </c>
      <c r="G68" s="2"/>
      <c r="H68" s="7">
        <v>500</v>
      </c>
      <c r="I68" s="2"/>
      <c r="J68" s="6">
        <f t="shared" si="47"/>
        <v>5.6179775280898875E-3</v>
      </c>
      <c r="K68" s="2"/>
      <c r="L68" s="7">
        <f t="shared" si="48"/>
        <v>131.26</v>
      </c>
      <c r="M68" s="2"/>
      <c r="N68" s="6">
        <f t="shared" si="49"/>
        <v>0.26251999999999998</v>
      </c>
      <c r="O68" s="11"/>
      <c r="P68" s="7">
        <v>12047.82</v>
      </c>
      <c r="Q68" s="2"/>
      <c r="R68" s="6">
        <f t="shared" si="50"/>
        <v>9.8557567829897302E-2</v>
      </c>
      <c r="S68" s="2"/>
      <c r="T68" s="7">
        <v>1255</v>
      </c>
      <c r="U68" s="2"/>
      <c r="V68" s="6">
        <f t="shared" si="51"/>
        <v>5.7011765774769452E-3</v>
      </c>
      <c r="W68" s="2"/>
      <c r="X68" s="7">
        <f t="shared" si="52"/>
        <v>10792.82</v>
      </c>
      <c r="Y68" s="2"/>
      <c r="Z68" s="6">
        <f t="shared" si="53"/>
        <v>8.5998565737051784</v>
      </c>
    </row>
    <row r="69" spans="1:26" s="28" customFormat="1" outlineLevel="1" collapsed="1" x14ac:dyDescent="0.3">
      <c r="A69" s="29"/>
      <c r="B69" s="14" t="str">
        <f>CONCATENATE("     ","Telephone/Data Lines                              ")</f>
        <v xml:space="preserve">     Telephone/Data Lines                              </v>
      </c>
      <c r="C69" s="14"/>
      <c r="D69" s="1">
        <f>SUM(OSRRefD22_10x_0)</f>
        <v>111.3</v>
      </c>
      <c r="E69" s="1"/>
      <c r="F69" s="5">
        <f t="shared" ref="F69:F70" si="54">IF(D$12=0,0,D69/D$12)</f>
        <v>4.7803651975669532E-3</v>
      </c>
      <c r="G69" s="1"/>
      <c r="H69" s="1">
        <f>SUM(OSRRefH22_10x_0)</f>
        <v>175</v>
      </c>
      <c r="I69" s="1"/>
      <c r="J69" s="5">
        <f t="shared" ref="J69:J70" si="55">IF(H$12=0,0,H69/H$12)</f>
        <v>1.9662921348314608E-3</v>
      </c>
      <c r="K69" s="1"/>
      <c r="L69" s="1">
        <f t="shared" ref="L69:L70" si="56">+D69-H69</f>
        <v>-63.7</v>
      </c>
      <c r="M69" s="1"/>
      <c r="N69" s="5">
        <f t="shared" ref="N69:N70" si="57">IF(H69=0,0,L69/H69)</f>
        <v>-0.36399999999999999</v>
      </c>
      <c r="O69" s="14"/>
      <c r="P69" s="1">
        <f>SUM(OSRRefP22_10x_0)</f>
        <v>740.85</v>
      </c>
      <c r="Q69" s="1"/>
      <c r="R69" s="5">
        <f t="shared" ref="R69:R70" si="58">IF(P$12=0,0,P69/P$12)</f>
        <v>6.0605465658334391E-3</v>
      </c>
      <c r="S69" s="1"/>
      <c r="T69" s="1">
        <f>SUM(OSRRefT22_10x_0)</f>
        <v>1225</v>
      </c>
      <c r="U69" s="1"/>
      <c r="V69" s="5">
        <f t="shared" ref="V69:V70" si="59">IF(T$12=0,0,T69/T$12)</f>
        <v>5.5648934720392493E-3</v>
      </c>
      <c r="W69" s="1"/>
      <c r="X69" s="1">
        <f t="shared" ref="X69:X70" si="60">+P69-T69</f>
        <v>-484.15</v>
      </c>
      <c r="Y69" s="1"/>
      <c r="Z69" s="5">
        <f t="shared" ref="Z69:Z70" si="61">IF(T69=0,0,X69/T69)</f>
        <v>-0.39522448979591834</v>
      </c>
    </row>
    <row r="70" spans="1:26" s="24" customFormat="1" hidden="1" outlineLevel="2" x14ac:dyDescent="0.3">
      <c r="A70" s="27"/>
      <c r="B70" s="11" t="str">
        <f>CONCATENATE("          ", "6309", " - ", "TELEPHONE")</f>
        <v xml:space="preserve">          6309 - TELEPHONE</v>
      </c>
      <c r="C70" s="11"/>
      <c r="D70" s="7">
        <v>111.3</v>
      </c>
      <c r="E70" s="2"/>
      <c r="F70" s="6">
        <f t="shared" si="54"/>
        <v>4.7803651975669532E-3</v>
      </c>
      <c r="G70" s="2"/>
      <c r="H70" s="7">
        <v>175</v>
      </c>
      <c r="I70" s="2"/>
      <c r="J70" s="6">
        <f t="shared" si="55"/>
        <v>1.9662921348314608E-3</v>
      </c>
      <c r="K70" s="2"/>
      <c r="L70" s="7">
        <f t="shared" si="56"/>
        <v>-63.7</v>
      </c>
      <c r="M70" s="2"/>
      <c r="N70" s="6">
        <f t="shared" si="57"/>
        <v>-0.36399999999999999</v>
      </c>
      <c r="O70" s="11"/>
      <c r="P70" s="7">
        <v>740.85</v>
      </c>
      <c r="Q70" s="2"/>
      <c r="R70" s="6">
        <f t="shared" si="58"/>
        <v>6.0605465658334391E-3</v>
      </c>
      <c r="S70" s="2"/>
      <c r="T70" s="7">
        <v>1225</v>
      </c>
      <c r="U70" s="2"/>
      <c r="V70" s="6">
        <f t="shared" si="59"/>
        <v>5.5648934720392493E-3</v>
      </c>
      <c r="W70" s="2"/>
      <c r="X70" s="7">
        <f t="shared" si="60"/>
        <v>-484.15</v>
      </c>
      <c r="Y70" s="2"/>
      <c r="Z70" s="6">
        <f t="shared" si="61"/>
        <v>-0.39522448979591834</v>
      </c>
    </row>
    <row r="71" spans="1:26" s="55" customFormat="1" x14ac:dyDescent="0.3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collapsed="1" x14ac:dyDescent="0.3">
      <c r="A72" s="10"/>
      <c r="B72" s="25" t="s">
        <v>293</v>
      </c>
      <c r="C72" s="10"/>
      <c r="D72" s="4">
        <f>SUM(OSRRefD25x_0)</f>
        <v>236.44</v>
      </c>
      <c r="E72" s="4"/>
      <c r="F72" s="12">
        <f t="shared" ref="F72:F73" si="62">IF(D$12=0,0,D72/D$12)</f>
        <v>1.0155162150159304E-2</v>
      </c>
      <c r="G72" s="4"/>
      <c r="H72" s="4">
        <f>SUM(OSRRefH25x_0)</f>
        <v>0</v>
      </c>
      <c r="I72" s="4"/>
      <c r="J72" s="12">
        <f t="shared" ref="J72:J73" si="63">IF(H$12=0,0,H72/H$12)</f>
        <v>0</v>
      </c>
      <c r="K72" s="4"/>
      <c r="L72" s="4">
        <f t="shared" ref="L72:L73" si="64">+D72-H72</f>
        <v>236.44</v>
      </c>
      <c r="M72" s="4"/>
      <c r="N72" s="12">
        <f t="shared" ref="N72:N73" si="65">IF(H72=0,0,L72/H72)</f>
        <v>0</v>
      </c>
      <c r="O72" s="10"/>
      <c r="P72" s="4">
        <f>SUM(OSRRefP25x_0)</f>
        <v>15135.44</v>
      </c>
      <c r="Q72" s="4"/>
      <c r="R72" s="12">
        <f t="shared" ref="R72:R73" si="66">IF(P$12=0,0,P72/P$12)</f>
        <v>0.12381593968330711</v>
      </c>
      <c r="S72" s="4"/>
      <c r="T72" s="4">
        <f>SUM(OSRRefT25x_0)</f>
        <v>33910</v>
      </c>
      <c r="U72" s="4"/>
      <c r="V72" s="12">
        <f t="shared" ref="V72:V73" si="67">IF(T$12=0,0,T72/T$12)</f>
        <v>0.15404533684640895</v>
      </c>
      <c r="W72" s="4"/>
      <c r="X72" s="4">
        <f t="shared" ref="X72:X73" si="68">+P72-T72</f>
        <v>-18774.559999999998</v>
      </c>
      <c r="Y72" s="4"/>
      <c r="Z72" s="12">
        <f t="shared" ref="Z72:Z73" si="69">IF(T72=0,0,X72/T72)</f>
        <v>-0.55365850781480386</v>
      </c>
    </row>
    <row r="73" spans="1:26" s="24" customFormat="1" hidden="1" outlineLevel="1" x14ac:dyDescent="0.3">
      <c r="A73" s="44"/>
      <c r="B73" s="11" t="str">
        <f>CONCATENATE("          ", "9150", " - ", "MISC. INCOME")</f>
        <v xml:space="preserve">          9150 - MISC. INCOME</v>
      </c>
      <c r="C73" s="11"/>
      <c r="D73" s="2">
        <f>--236.44</f>
        <v>236.44</v>
      </c>
      <c r="E73" s="2"/>
      <c r="F73" s="19">
        <f t="shared" si="62"/>
        <v>1.0155162150159304E-2</v>
      </c>
      <c r="G73" s="2"/>
      <c r="H73" s="2"/>
      <c r="I73" s="2"/>
      <c r="J73" s="19">
        <f t="shared" si="63"/>
        <v>0</v>
      </c>
      <c r="K73" s="2"/>
      <c r="L73" s="2">
        <f t="shared" si="64"/>
        <v>236.44</v>
      </c>
      <c r="M73" s="2"/>
      <c r="N73" s="19">
        <f t="shared" si="65"/>
        <v>0</v>
      </c>
      <c r="O73" s="11"/>
      <c r="P73" s="2">
        <f>--15135.44</f>
        <v>15135.44</v>
      </c>
      <c r="Q73" s="2"/>
      <c r="R73" s="19">
        <f t="shared" si="66"/>
        <v>0.12381593968330711</v>
      </c>
      <c r="S73" s="2"/>
      <c r="T73" s="2">
        <v>33910</v>
      </c>
      <c r="U73" s="2"/>
      <c r="V73" s="19">
        <f t="shared" si="67"/>
        <v>0.15404533684640895</v>
      </c>
      <c r="W73" s="2"/>
      <c r="X73" s="2">
        <f t="shared" si="68"/>
        <v>-18774.559999999998</v>
      </c>
      <c r="Y73" s="2"/>
      <c r="Z73" s="19">
        <f t="shared" si="69"/>
        <v>-0.55365850781480386</v>
      </c>
    </row>
    <row r="74" spans="1:26" x14ac:dyDescent="0.3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3">
      <c r="A75" s="10"/>
      <c r="B75" s="26" t="s">
        <v>277</v>
      </c>
      <c r="C75" s="26"/>
      <c r="D75" s="21">
        <f>+D23-D25+D72</f>
        <v>4467.3600000000015</v>
      </c>
      <c r="E75" s="13"/>
      <c r="F75" s="22">
        <f>IF(D$12=0,0,D75/D$12)</f>
        <v>0.19187432407010524</v>
      </c>
      <c r="G75" s="13"/>
      <c r="H75" s="21">
        <f>+H23-H25+H72</f>
        <v>67700.698120480753</v>
      </c>
      <c r="I75" s="13"/>
      <c r="J75" s="22">
        <f>IF(H$12=0,0,H75/H$12)</f>
        <v>0.76068200135371633</v>
      </c>
      <c r="K75" s="15"/>
      <c r="L75" s="21">
        <f>+D75-H75</f>
        <v>-63233.338120480752</v>
      </c>
      <c r="M75" s="15"/>
      <c r="N75" s="22">
        <f>IF(H75=0,0,L75/H75)</f>
        <v>-0.93401308813610984</v>
      </c>
      <c r="O75" s="25"/>
      <c r="P75" s="21">
        <f>+P23-P25+P72</f>
        <v>-24681.02999999997</v>
      </c>
      <c r="Q75" s="13"/>
      <c r="R75" s="22">
        <f>IF(P$12=0,0,P75/P$12)</f>
        <v>-0.20190393683975419</v>
      </c>
      <c r="S75" s="13"/>
      <c r="T75" s="21">
        <f>+T23-T25+T72</f>
        <v>39335.316060288285</v>
      </c>
      <c r="U75" s="13"/>
      <c r="V75" s="22">
        <f>IF(T$12=0,0,T75/T$12)</f>
        <v>0.17869130086897872</v>
      </c>
      <c r="W75" s="15"/>
      <c r="X75" s="21">
        <f>+P75-T75</f>
        <v>-64016.346060288255</v>
      </c>
      <c r="Y75" s="15"/>
      <c r="Z75" s="22">
        <f>IF(T75=0,0,X75/T75)</f>
        <v>-1.6274521847535672</v>
      </c>
    </row>
    <row r="76" spans="1:26" x14ac:dyDescent="0.3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3">
      <c r="A77" s="52"/>
      <c r="B77" s="10" t="s">
        <v>128</v>
      </c>
      <c r="C77" s="10"/>
      <c r="D77" s="4">
        <v>4269.04</v>
      </c>
      <c r="E77" s="4"/>
      <c r="F77" s="12">
        <f>IF(D$12=0,0,D77/D$12)</f>
        <v>0.18335642626254472</v>
      </c>
      <c r="G77" s="4"/>
      <c r="H77" s="4">
        <v>10604</v>
      </c>
      <c r="I77" s="4"/>
      <c r="J77" s="12">
        <f>IF(H$12=0,0,H77/H$12)</f>
        <v>0.11914606741573033</v>
      </c>
      <c r="K77" s="4"/>
      <c r="L77" s="4">
        <f>+D77-H77</f>
        <v>-6334.96</v>
      </c>
      <c r="M77" s="4"/>
      <c r="N77" s="12">
        <f>IF(H77=0,0,L77/H77)</f>
        <v>-0.59741229724632217</v>
      </c>
      <c r="O77" s="10"/>
      <c r="P77" s="4">
        <v>16180.78</v>
      </c>
      <c r="Q77" s="4"/>
      <c r="R77" s="12">
        <f>IF(P$12=0,0,P77/P$12)</f>
        <v>0.13236737620504338</v>
      </c>
      <c r="S77" s="4"/>
      <c r="T77" s="4">
        <v>27582</v>
      </c>
      <c r="U77" s="4"/>
      <c r="V77" s="12">
        <f>IF(T$12=0,0,T77/T$12)</f>
        <v>0.12529868713941761</v>
      </c>
      <c r="W77" s="4"/>
      <c r="X77" s="4">
        <f>+P77-T77</f>
        <v>-11401.22</v>
      </c>
      <c r="Y77" s="4"/>
      <c r="Z77" s="12">
        <f>IF(T77=0,0,X77/T77)</f>
        <v>-0.41335726198245232</v>
      </c>
    </row>
    <row r="78" spans="1:26" x14ac:dyDescent="0.3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" thickBot="1" x14ac:dyDescent="0.35">
      <c r="A79" s="10"/>
      <c r="B79" s="26" t="s">
        <v>126</v>
      </c>
      <c r="C79" s="26"/>
      <c r="D79" s="32">
        <f>+D75-D77</f>
        <v>198.32000000000153</v>
      </c>
      <c r="E79" s="13"/>
      <c r="F79" s="31">
        <f>IF(D$12=0,0,D79/D$12)</f>
        <v>8.5178978075605167E-3</v>
      </c>
      <c r="G79" s="13"/>
      <c r="H79" s="32">
        <f>+H75-H77</f>
        <v>57096.698120480753</v>
      </c>
      <c r="I79" s="13"/>
      <c r="J79" s="31">
        <f>IF(H$12=0,0,H79/H$12)</f>
        <v>0.64153593393798602</v>
      </c>
      <c r="K79" s="15"/>
      <c r="L79" s="32">
        <f>D79-H79</f>
        <v>-56898.378120480753</v>
      </c>
      <c r="M79" s="15"/>
      <c r="N79" s="31">
        <f>IF(H79=0,0,L79/H79)</f>
        <v>-0.99652659424225332</v>
      </c>
      <c r="O79" s="25"/>
      <c r="P79" s="32">
        <f>+P75-P77</f>
        <v>-40861.809999999969</v>
      </c>
      <c r="Q79" s="13"/>
      <c r="R79" s="31">
        <f>IF(P$12=0,0,P79/P$12)</f>
        <v>-0.33427131304479757</v>
      </c>
      <c r="S79" s="13"/>
      <c r="T79" s="32">
        <f>+T75-T77</f>
        <v>11753.316060288285</v>
      </c>
      <c r="U79" s="13"/>
      <c r="V79" s="31">
        <f>IF(T$12=0,0,T79/T$12)</f>
        <v>5.3392613729561104E-2</v>
      </c>
      <c r="W79" s="15"/>
      <c r="X79" s="32">
        <f>P79-T79</f>
        <v>-52615.126060288254</v>
      </c>
      <c r="Y79" s="15"/>
      <c r="Z79" s="31">
        <f>IF(T79=0,0,X79/T79)</f>
        <v>-4.4766196867675925</v>
      </c>
    </row>
    <row r="80" spans="1:26" ht="15" thickTop="1" x14ac:dyDescent="0.3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3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" thickBot="1" x14ac:dyDescent="0.35">
      <c r="A82" s="10"/>
      <c r="B82" s="26" t="s">
        <v>294</v>
      </c>
      <c r="C82" s="26"/>
      <c r="D82" s="34">
        <f>SUM(D79:D81)</f>
        <v>198.32000000000153</v>
      </c>
      <c r="E82" s="13"/>
      <c r="F82" s="35">
        <f>IF(D$12=0,0,D82/D$12)</f>
        <v>8.5178978075605167E-3</v>
      </c>
      <c r="G82" s="13"/>
      <c r="H82" s="34">
        <f>SUM(H79:H81)</f>
        <v>57096.698120480753</v>
      </c>
      <c r="I82" s="13"/>
      <c r="J82" s="35">
        <f>IF(H$12=0,0,H82/H$12)</f>
        <v>0.64153593393798602</v>
      </c>
      <c r="K82" s="15"/>
      <c r="L82" s="34">
        <f>+D82-H82</f>
        <v>-56898.378120480753</v>
      </c>
      <c r="M82" s="15"/>
      <c r="N82" s="35">
        <f>IF(H82=0,0,L82/H82)</f>
        <v>-0.99652659424225332</v>
      </c>
      <c r="O82" s="25"/>
      <c r="P82" s="34">
        <f>SUM(P79:P81)</f>
        <v>-40861.809999999969</v>
      </c>
      <c r="Q82" s="13"/>
      <c r="R82" s="35">
        <f>IF(P$12=0,0,P82/P$12)</f>
        <v>-0.33427131304479757</v>
      </c>
      <c r="S82" s="13"/>
      <c r="T82" s="34">
        <f>SUM(T79:T81)</f>
        <v>11753.316060288285</v>
      </c>
      <c r="U82" s="13"/>
      <c r="V82" s="35">
        <f>IF(T$12=0,0,T82/T$12)</f>
        <v>5.3392613729561104E-2</v>
      </c>
      <c r="W82" s="15"/>
      <c r="X82" s="34">
        <f>+P82-T82</f>
        <v>-52615.126060288254</v>
      </c>
      <c r="Y82" s="15"/>
      <c r="Z82" s="35">
        <f>IF(T82=0,0,X82/T82)</f>
        <v>-4.4766196867675925</v>
      </c>
    </row>
    <row r="83" spans="1:26" ht="15" thickTop="1" x14ac:dyDescent="0.3">
      <c r="A83" s="9"/>
      <c r="C83" s="9"/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6" x14ac:dyDescent="0.3">
      <c r="A84" s="9"/>
      <c r="B84" s="53">
        <v>44604.019986145831</v>
      </c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6" x14ac:dyDescent="0.3">
      <c r="A85" s="9"/>
      <c r="B85" s="63" t="s">
        <v>56</v>
      </c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3">
      <c r="A86" s="9"/>
      <c r="B86" s="58"/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3"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92D050"/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","316", " - ", "Campus Copy Center")</f>
        <v>Department 316 - Campus Copy Center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23282.739999999998</v>
      </c>
      <c r="E12" s="4"/>
      <c r="F12" s="12"/>
      <c r="G12" s="4"/>
      <c r="H12" s="4">
        <f>SUM(OSRRefH13x_0)</f>
        <v>89000</v>
      </c>
      <c r="I12" s="4"/>
      <c r="J12" s="12"/>
      <c r="K12" s="4"/>
      <c r="L12" s="4">
        <f t="shared" ref="L12:L17" si="0">+D12-H12</f>
        <v>-65717.260000000009</v>
      </c>
      <c r="M12" s="4"/>
      <c r="N12" s="12">
        <f t="shared" ref="N12:N17" si="1">IF(H12=0,0,L12/H12)</f>
        <v>-0.73839617977528105</v>
      </c>
      <c r="O12" s="10"/>
      <c r="P12" s="4">
        <f>SUM(OSRRefP13x_0)</f>
        <v>122241.45</v>
      </c>
      <c r="Q12" s="4"/>
      <c r="R12" s="12"/>
      <c r="S12" s="4"/>
      <c r="T12" s="4">
        <f>SUM(OSRRefT13x_0)</f>
        <v>220130</v>
      </c>
      <c r="U12" s="4"/>
      <c r="V12" s="12"/>
      <c r="W12" s="4"/>
      <c r="X12" s="4">
        <f t="shared" ref="X12:X17" si="2">+P12-T12</f>
        <v>-97888.55</v>
      </c>
      <c r="Y12" s="4"/>
      <c r="Z12" s="12">
        <f t="shared" ref="Z12:Z17" si="3">IF(T12=0,0,X12/T12)</f>
        <v>-0.44468518602643892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--21634.61</f>
        <v>21634.61</v>
      </c>
      <c r="E13" s="2"/>
      <c r="F13" s="19"/>
      <c r="G13" s="2"/>
      <c r="H13" s="2">
        <v>71200</v>
      </c>
      <c r="I13" s="2"/>
      <c r="J13" s="19"/>
      <c r="K13" s="2"/>
      <c r="L13" s="2">
        <f t="shared" si="0"/>
        <v>-49565.39</v>
      </c>
      <c r="M13" s="2"/>
      <c r="N13" s="19">
        <f t="shared" si="1"/>
        <v>-0.69614311797752804</v>
      </c>
      <c r="O13" s="11"/>
      <c r="P13" s="2">
        <f>--100311.79</f>
        <v>100311.79</v>
      </c>
      <c r="Q13" s="2"/>
      <c r="R13" s="19"/>
      <c r="S13" s="2"/>
      <c r="T13" s="2">
        <v>134630</v>
      </c>
      <c r="U13" s="2"/>
      <c r="V13" s="19"/>
      <c r="W13" s="2"/>
      <c r="X13" s="2">
        <f t="shared" si="2"/>
        <v>-34318.210000000006</v>
      </c>
      <c r="Y13" s="2"/>
      <c r="Z13" s="19">
        <f t="shared" si="3"/>
        <v>-0.25490759860358025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--1803.53</f>
        <v>1803.53</v>
      </c>
      <c r="E14" s="2"/>
      <c r="F14" s="19"/>
      <c r="G14" s="2"/>
      <c r="H14" s="2">
        <v>17800</v>
      </c>
      <c r="I14" s="2"/>
      <c r="J14" s="19"/>
      <c r="K14" s="2"/>
      <c r="L14" s="2">
        <f t="shared" si="0"/>
        <v>-15996.47</v>
      </c>
      <c r="M14" s="2"/>
      <c r="N14" s="19">
        <f t="shared" si="1"/>
        <v>-0.89867808988764042</v>
      </c>
      <c r="O14" s="11"/>
      <c r="P14" s="2">
        <f>--22488.06</f>
        <v>22488.06</v>
      </c>
      <c r="Q14" s="2"/>
      <c r="R14" s="19"/>
      <c r="S14" s="2"/>
      <c r="T14" s="2">
        <v>85500</v>
      </c>
      <c r="U14" s="2"/>
      <c r="V14" s="19"/>
      <c r="W14" s="2"/>
      <c r="X14" s="2">
        <f t="shared" si="2"/>
        <v>-63011.94</v>
      </c>
      <c r="Y14" s="2"/>
      <c r="Z14" s="19">
        <f t="shared" si="3"/>
        <v>-0.73698175438596492</v>
      </c>
    </row>
    <row r="15" spans="1:26" s="24" customFormat="1" hidden="1" outlineLevel="1" x14ac:dyDescent="0.3">
      <c r="A15" s="44"/>
      <c r="B15" s="11" t="str">
        <f>CONCATENATE("          ", "4141", " - ", "NON-TAXABLE SALES-LOGO GIFTS")</f>
        <v xml:space="preserve">          4141 - NON-TAXABLE SALES-LOGO GIFTS</v>
      </c>
      <c r="C15" s="11"/>
      <c r="D15" s="2">
        <f t="shared" ref="D15:D16" si="4"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ref="P15:P16" si="5">0</f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"4146", " - ", "NON-TAXABLE SALES-COIN OP MACH")</f>
        <v xml:space="preserve">          4146 - NON-TAXABLE SALES-COIN OP MACH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/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"4200", " - ", "TAXABLE RETURNS")</f>
        <v xml:space="preserve">          4200 - TAXABLE RETURNS</v>
      </c>
      <c r="C17" s="11"/>
      <c r="D17" s="2">
        <f>-155.4</f>
        <v>-155.4</v>
      </c>
      <c r="E17" s="2"/>
      <c r="F17" s="19"/>
      <c r="G17" s="2"/>
      <c r="H17" s="2"/>
      <c r="I17" s="2"/>
      <c r="J17" s="19"/>
      <c r="K17" s="2"/>
      <c r="L17" s="2">
        <f t="shared" si="0"/>
        <v>-155.4</v>
      </c>
      <c r="M17" s="2"/>
      <c r="N17" s="19">
        <f t="shared" si="1"/>
        <v>0</v>
      </c>
      <c r="O17" s="11"/>
      <c r="P17" s="2">
        <f>-558.4</f>
        <v>-558.4</v>
      </c>
      <c r="Q17" s="2"/>
      <c r="R17" s="19"/>
      <c r="S17" s="2"/>
      <c r="T17" s="2"/>
      <c r="U17" s="2"/>
      <c r="V17" s="19"/>
      <c r="W17" s="2"/>
      <c r="X17" s="2">
        <f t="shared" si="2"/>
        <v>-558.4</v>
      </c>
      <c r="Y17" s="2"/>
      <c r="Z17" s="19">
        <f t="shared" si="3"/>
        <v>0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0</v>
      </c>
      <c r="E19" s="4"/>
      <c r="F19" s="12">
        <f t="shared" ref="F19:F21" si="6">IF(D$12=0,0,D19/D$12)</f>
        <v>0</v>
      </c>
      <c r="G19" s="4"/>
      <c r="H19" s="4">
        <f>SUM(OSRRefH16x_0)</f>
        <v>0</v>
      </c>
      <c r="I19" s="4"/>
      <c r="J19" s="12">
        <f t="shared" ref="J19:J21" si="7">IF(H$12=0,0,H19/H$12)</f>
        <v>0</v>
      </c>
      <c r="K19" s="4"/>
      <c r="L19" s="4">
        <f t="shared" ref="L19:L21" si="8">+D19-H19</f>
        <v>0</v>
      </c>
      <c r="M19" s="4"/>
      <c r="N19" s="12">
        <f t="shared" ref="N19:N21" si="9">IF(H19=0,0,L19/H19)</f>
        <v>0</v>
      </c>
      <c r="O19" s="10"/>
      <c r="P19" s="4">
        <f>SUM(OSRRefP16x_0)</f>
        <v>8.26</v>
      </c>
      <c r="Q19" s="4"/>
      <c r="R19" s="12">
        <f t="shared" ref="R19:R21" si="10">IF(P$12=0,0,P19/P$12)</f>
        <v>6.7571188005377875E-5</v>
      </c>
      <c r="S19" s="4"/>
      <c r="T19" s="4">
        <f>SUM(OSRRefT16x_0)</f>
        <v>0</v>
      </c>
      <c r="U19" s="4"/>
      <c r="V19" s="12">
        <f t="shared" ref="V19:V21" si="11">IF(T$12=0,0,T19/T$12)</f>
        <v>0</v>
      </c>
      <c r="W19" s="4"/>
      <c r="X19" s="4">
        <f t="shared" ref="X19:X21" si="12">+P19-T19</f>
        <v>8.26</v>
      </c>
      <c r="Y19" s="4"/>
      <c r="Z19" s="12">
        <f t="shared" ref="Z19:Z21" si="13">IF(T19=0,0,X19/T19)</f>
        <v>0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19">
        <f t="shared" si="6"/>
        <v>0</v>
      </c>
      <c r="G20" s="2"/>
      <c r="H20" s="2">
        <v>0</v>
      </c>
      <c r="I20" s="2"/>
      <c r="J20" s="19">
        <f t="shared" si="7"/>
        <v>0</v>
      </c>
      <c r="K20" s="2"/>
      <c r="L20" s="2">
        <f t="shared" si="8"/>
        <v>0</v>
      </c>
      <c r="M20" s="2"/>
      <c r="N20" s="19">
        <f t="shared" si="9"/>
        <v>0</v>
      </c>
      <c r="O20" s="11"/>
      <c r="P20" s="2"/>
      <c r="Q20" s="2"/>
      <c r="R20" s="19">
        <f t="shared" si="10"/>
        <v>0</v>
      </c>
      <c r="S20" s="2"/>
      <c r="T20" s="2">
        <v>0</v>
      </c>
      <c r="U20" s="2"/>
      <c r="V20" s="19">
        <f t="shared" si="11"/>
        <v>0</v>
      </c>
      <c r="W20" s="2"/>
      <c r="X20" s="2">
        <f t="shared" si="12"/>
        <v>0</v>
      </c>
      <c r="Y20" s="2"/>
      <c r="Z20" s="19">
        <f t="shared" si="13"/>
        <v>0</v>
      </c>
    </row>
    <row r="21" spans="1:26" s="24" customFormat="1" hidden="1" outlineLevel="1" x14ac:dyDescent="0.3">
      <c r="A21" s="44"/>
      <c r="B21" s="11" t="str">
        <f>CONCATENATE("          ", "5500", " - ", "FREIGHT-IN")</f>
        <v xml:space="preserve">          5500 - FREIGHT-IN</v>
      </c>
      <c r="C21" s="11"/>
      <c r="D21" s="2"/>
      <c r="E21" s="2"/>
      <c r="F21" s="19">
        <f t="shared" si="6"/>
        <v>0</v>
      </c>
      <c r="G21" s="2"/>
      <c r="H21" s="2"/>
      <c r="I21" s="2"/>
      <c r="J21" s="19">
        <f t="shared" si="7"/>
        <v>0</v>
      </c>
      <c r="K21" s="2"/>
      <c r="L21" s="2">
        <f t="shared" si="8"/>
        <v>0</v>
      </c>
      <c r="M21" s="2"/>
      <c r="N21" s="19">
        <f t="shared" si="9"/>
        <v>0</v>
      </c>
      <c r="O21" s="11"/>
      <c r="P21" s="2">
        <v>8.26</v>
      </c>
      <c r="Q21" s="2"/>
      <c r="R21" s="19">
        <f t="shared" si="10"/>
        <v>6.7571188005377875E-5</v>
      </c>
      <c r="S21" s="2"/>
      <c r="T21" s="2"/>
      <c r="U21" s="2"/>
      <c r="V21" s="19">
        <f t="shared" si="11"/>
        <v>0</v>
      </c>
      <c r="W21" s="2"/>
      <c r="X21" s="2">
        <f t="shared" si="12"/>
        <v>8.26</v>
      </c>
      <c r="Y21" s="2"/>
      <c r="Z21" s="19">
        <f t="shared" si="13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1">
        <f>D12-D19</f>
        <v>23282.739999999998</v>
      </c>
      <c r="E23" s="13"/>
      <c r="F23" s="22">
        <f>IF(D$12=0,0,D23/D$12)</f>
        <v>1</v>
      </c>
      <c r="G23" s="13"/>
      <c r="H23" s="21">
        <f>H12-H19</f>
        <v>89000</v>
      </c>
      <c r="I23" s="13"/>
      <c r="J23" s="22">
        <f>IF(H$12=0,0,H23/H$12)</f>
        <v>1</v>
      </c>
      <c r="K23" s="15"/>
      <c r="L23" s="21">
        <f>+D23-H23</f>
        <v>-65717.260000000009</v>
      </c>
      <c r="M23" s="15"/>
      <c r="N23" s="22">
        <f>IF(H23=0,0,L23/H23)</f>
        <v>-0.73839617977528105</v>
      </c>
      <c r="O23" s="25"/>
      <c r="P23" s="21">
        <f>P12-P19</f>
        <v>122233.19</v>
      </c>
      <c r="Q23" s="13"/>
      <c r="R23" s="22">
        <f>IF(P$12=0,0,P23/P$12)</f>
        <v>0.99993242881199462</v>
      </c>
      <c r="S23" s="13"/>
      <c r="T23" s="21">
        <f>T12-T19</f>
        <v>220130</v>
      </c>
      <c r="U23" s="13"/>
      <c r="V23" s="22">
        <f>IF(T$12=0,0,T23/T$12)</f>
        <v>1</v>
      </c>
      <c r="W23" s="15"/>
      <c r="X23" s="21">
        <f>+P23-T23</f>
        <v>-97896.81</v>
      </c>
      <c r="Y23" s="15"/>
      <c r="Z23" s="22">
        <f>IF(T23=0,0,X23/T23)</f>
        <v>-0.44472270930813607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0">
        <f>SUM(OSRRefD22x_0)</f>
        <v>19051.819999999996</v>
      </c>
      <c r="E25" s="20"/>
      <c r="F25" s="33">
        <f t="shared" ref="F25:F35" si="14">IF(D$12=0,0,D25/D$12)</f>
        <v>0.81828083808005403</v>
      </c>
      <c r="G25" s="20"/>
      <c r="H25" s="20">
        <f>SUM(OSRRefH22x_0)</f>
        <v>21299.301879519247</v>
      </c>
      <c r="I25" s="20"/>
      <c r="J25" s="33">
        <f t="shared" ref="J25:J35" si="15">IF(H$12=0,0,H25/H$12)</f>
        <v>0.23931799864628367</v>
      </c>
      <c r="K25" s="4"/>
      <c r="L25" s="20">
        <f t="shared" ref="L25:L35" si="16">+D25-H25</f>
        <v>-2247.4818795192514</v>
      </c>
      <c r="M25" s="4"/>
      <c r="N25" s="33">
        <f t="shared" ref="N25:N35" si="17">IF(H25=0,0,L25/H25)</f>
        <v>-0.10551903964891736</v>
      </c>
      <c r="O25" s="10"/>
      <c r="P25" s="20">
        <f>SUM(OSRRefP22x_0)</f>
        <v>162049.65999999997</v>
      </c>
      <c r="Q25" s="20"/>
      <c r="R25" s="33">
        <f t="shared" ref="R25:R35" si="18">IF(P$12=0,0,P25/P$12)</f>
        <v>1.325652305335056</v>
      </c>
      <c r="S25" s="20"/>
      <c r="T25" s="20">
        <f>SUM(OSRRefT22x_0)</f>
        <v>214704.68393971171</v>
      </c>
      <c r="U25" s="20"/>
      <c r="V25" s="33">
        <f t="shared" ref="V25:V35" si="19">IF(T$12=0,0,T25/T$12)</f>
        <v>0.9753540359774302</v>
      </c>
      <c r="W25" s="4"/>
      <c r="X25" s="20">
        <f t="shared" ref="X25:X35" si="20">+P25-T25</f>
        <v>-52655.02393971174</v>
      </c>
      <c r="Y25" s="4"/>
      <c r="Z25" s="33">
        <f t="shared" ref="Z25:Z35" si="21">IF(T25=0,0,X25/T25)</f>
        <v>-0.24524394611948511</v>
      </c>
    </row>
    <row r="26" spans="1:26" s="28" customFormat="1" outlineLevel="1" collapsed="1" x14ac:dyDescent="0.3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5896.13</v>
      </c>
      <c r="E26" s="1"/>
      <c r="F26" s="5">
        <f t="shared" si="14"/>
        <v>0.25324038321950082</v>
      </c>
      <c r="G26" s="1"/>
      <c r="H26" s="1">
        <f>SUM(OSRRefH22_0x_0)</f>
        <v>5208.6216872115401</v>
      </c>
      <c r="I26" s="1"/>
      <c r="J26" s="5">
        <f t="shared" si="15"/>
        <v>5.8523839182152135E-2</v>
      </c>
      <c r="K26" s="1"/>
      <c r="L26" s="1">
        <f t="shared" si="16"/>
        <v>687.50831278845999</v>
      </c>
      <c r="M26" s="1"/>
      <c r="N26" s="5">
        <f t="shared" si="17"/>
        <v>0.13199428833091559</v>
      </c>
      <c r="O26" s="14"/>
      <c r="P26" s="1">
        <f>SUM(OSRRefP22_0x_0)</f>
        <v>58243.55000000001</v>
      </c>
      <c r="Q26" s="1"/>
      <c r="R26" s="5">
        <f t="shared" si="18"/>
        <v>0.47646318004244886</v>
      </c>
      <c r="S26" s="1"/>
      <c r="T26" s="1">
        <f>SUM(OSRRefT22_0x_0)</f>
        <v>44852.892208942307</v>
      </c>
      <c r="U26" s="1"/>
      <c r="V26" s="5">
        <f t="shared" si="19"/>
        <v>0.20375638126989645</v>
      </c>
      <c r="W26" s="1"/>
      <c r="X26" s="1">
        <f t="shared" si="20"/>
        <v>13390.657791057703</v>
      </c>
      <c r="Y26" s="1"/>
      <c r="Z26" s="5">
        <f t="shared" si="21"/>
        <v>0.29854613897981841</v>
      </c>
    </row>
    <row r="27" spans="1:26" s="24" customFormat="1" hidden="1" outlineLevel="2" x14ac:dyDescent="0.3">
      <c r="A27" s="27"/>
      <c r="B27" s="11" t="str">
        <f>CONCATENATE("          ", "6111", " - ", "F.I.C.A.")</f>
        <v xml:space="preserve">          6111 - F.I.C.A.</v>
      </c>
      <c r="C27" s="11"/>
      <c r="D27" s="7">
        <v>681.32</v>
      </c>
      <c r="E27" s="2"/>
      <c r="F27" s="6">
        <f t="shared" si="14"/>
        <v>2.9262878853605723E-2</v>
      </c>
      <c r="G27" s="2"/>
      <c r="H27" s="7">
        <v>1110.7071170192301</v>
      </c>
      <c r="I27" s="2"/>
      <c r="J27" s="6">
        <f t="shared" si="15"/>
        <v>1.2479855247407079E-2</v>
      </c>
      <c r="K27" s="2"/>
      <c r="L27" s="7">
        <f t="shared" si="16"/>
        <v>-429.38711701923</v>
      </c>
      <c r="M27" s="2"/>
      <c r="N27" s="6">
        <f t="shared" si="17"/>
        <v>-0.38658896701009965</v>
      </c>
      <c r="O27" s="11"/>
      <c r="P27" s="7">
        <v>9843.61</v>
      </c>
      <c r="Q27" s="2"/>
      <c r="R27" s="6">
        <f t="shared" si="18"/>
        <v>8.0525959075256393E-2</v>
      </c>
      <c r="S27" s="2"/>
      <c r="T27" s="7">
        <v>7519.2572022115401</v>
      </c>
      <c r="U27" s="2"/>
      <c r="V27" s="6">
        <f t="shared" si="19"/>
        <v>3.4158257403404987E-2</v>
      </c>
      <c r="W27" s="2"/>
      <c r="X27" s="7">
        <f t="shared" si="20"/>
        <v>2324.3527977884605</v>
      </c>
      <c r="Y27" s="2"/>
      <c r="Z27" s="6">
        <f t="shared" si="21"/>
        <v>0.30912000152153718</v>
      </c>
    </row>
    <row r="28" spans="1:26" s="24" customFormat="1" hidden="1" outlineLevel="2" x14ac:dyDescent="0.3">
      <c r="A28" s="27"/>
      <c r="B28" s="11" t="str">
        <f>CONCATENATE("          ", "6112", " - ", "COMPENSATION INSURANCE")</f>
        <v xml:space="preserve">          6112 - COMPENSATION INSURANCE</v>
      </c>
      <c r="C28" s="11"/>
      <c r="D28" s="7">
        <v>164.86</v>
      </c>
      <c r="E28" s="2"/>
      <c r="F28" s="6">
        <f t="shared" si="14"/>
        <v>7.0807817292981856E-3</v>
      </c>
      <c r="G28" s="2"/>
      <c r="H28" s="7">
        <v>226.40835000000001</v>
      </c>
      <c r="I28" s="2"/>
      <c r="J28" s="6">
        <f t="shared" si="15"/>
        <v>2.5439140449438204E-3</v>
      </c>
      <c r="K28" s="2"/>
      <c r="L28" s="7">
        <f t="shared" si="16"/>
        <v>-61.548349999999999</v>
      </c>
      <c r="M28" s="2"/>
      <c r="N28" s="6">
        <f t="shared" si="17"/>
        <v>-0.27184664346522552</v>
      </c>
      <c r="O28" s="11"/>
      <c r="P28" s="7">
        <v>2174.92</v>
      </c>
      <c r="Q28" s="2"/>
      <c r="R28" s="6">
        <f t="shared" si="18"/>
        <v>1.7792000994752599E-2</v>
      </c>
      <c r="S28" s="2"/>
      <c r="T28" s="7">
        <v>1539.2896499999999</v>
      </c>
      <c r="U28" s="2"/>
      <c r="V28" s="6">
        <f t="shared" si="19"/>
        <v>6.9926391223368006E-3</v>
      </c>
      <c r="W28" s="2"/>
      <c r="X28" s="7">
        <f t="shared" si="20"/>
        <v>635.63035000000013</v>
      </c>
      <c r="Y28" s="2"/>
      <c r="Z28" s="6">
        <f t="shared" si="21"/>
        <v>0.41293745462395604</v>
      </c>
    </row>
    <row r="29" spans="1:26" s="24" customFormat="1" hidden="1" outlineLevel="2" x14ac:dyDescent="0.3">
      <c r="A29" s="27"/>
      <c r="B29" s="11" t="str">
        <f>CONCATENATE("          ", "6113", " - ", "GROUP INSURANCE")</f>
        <v xml:space="preserve">          6113 - GROUP INSURANCE</v>
      </c>
      <c r="C29" s="11"/>
      <c r="D29" s="7">
        <v>1287</v>
      </c>
      <c r="E29" s="2"/>
      <c r="F29" s="6">
        <f t="shared" si="14"/>
        <v>5.5276999184803853E-2</v>
      </c>
      <c r="G29" s="2"/>
      <c r="H29" s="7">
        <v>1326</v>
      </c>
      <c r="I29" s="2"/>
      <c r="J29" s="6">
        <f t="shared" si="15"/>
        <v>1.4898876404494383E-2</v>
      </c>
      <c r="K29" s="2"/>
      <c r="L29" s="7">
        <f t="shared" si="16"/>
        <v>-39</v>
      </c>
      <c r="M29" s="2"/>
      <c r="N29" s="6">
        <f t="shared" si="17"/>
        <v>-2.9411764705882353E-2</v>
      </c>
      <c r="O29" s="11"/>
      <c r="P29" s="7">
        <v>19173.02</v>
      </c>
      <c r="Q29" s="2"/>
      <c r="R29" s="6">
        <f t="shared" si="18"/>
        <v>0.15684548898920947</v>
      </c>
      <c r="S29" s="2"/>
      <c r="T29" s="7">
        <v>14224.5</v>
      </c>
      <c r="U29" s="2"/>
      <c r="V29" s="6">
        <f t="shared" si="19"/>
        <v>6.4618634443283515E-2</v>
      </c>
      <c r="W29" s="2"/>
      <c r="X29" s="7">
        <f t="shared" si="20"/>
        <v>4948.5200000000004</v>
      </c>
      <c r="Y29" s="2"/>
      <c r="Z29" s="6">
        <f t="shared" si="21"/>
        <v>0.34788709620724811</v>
      </c>
    </row>
    <row r="30" spans="1:26" s="24" customFormat="1" hidden="1" outlineLevel="2" x14ac:dyDescent="0.3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7">
        <v>28.96</v>
      </c>
      <c r="E30" s="2"/>
      <c r="F30" s="6">
        <f t="shared" si="14"/>
        <v>1.243839857336379E-3</v>
      </c>
      <c r="G30" s="2"/>
      <c r="H30" s="7">
        <v>30.478047115384602</v>
      </c>
      <c r="I30" s="2"/>
      <c r="J30" s="6">
        <f t="shared" si="15"/>
        <v>3.4244996758859105E-4</v>
      </c>
      <c r="K30" s="2"/>
      <c r="L30" s="7">
        <f t="shared" si="16"/>
        <v>-1.5180471153846007</v>
      </c>
      <c r="M30" s="2"/>
      <c r="N30" s="6">
        <f t="shared" si="17"/>
        <v>-4.980788662861297E-2</v>
      </c>
      <c r="O30" s="11"/>
      <c r="P30" s="7">
        <v>382.08</v>
      </c>
      <c r="Q30" s="2"/>
      <c r="R30" s="6">
        <f t="shared" si="18"/>
        <v>3.1256173744666806E-3</v>
      </c>
      <c r="S30" s="2"/>
      <c r="T30" s="7">
        <v>207.212068269231</v>
      </c>
      <c r="U30" s="2"/>
      <c r="V30" s="6">
        <f t="shared" si="19"/>
        <v>9.4131680492995503E-4</v>
      </c>
      <c r="W30" s="2"/>
      <c r="X30" s="7">
        <f t="shared" si="20"/>
        <v>174.86793173076899</v>
      </c>
      <c r="Y30" s="2"/>
      <c r="Z30" s="6">
        <f t="shared" si="21"/>
        <v>0.84390804643464479</v>
      </c>
    </row>
    <row r="31" spans="1:26" s="24" customFormat="1" hidden="1" outlineLevel="2" x14ac:dyDescent="0.3">
      <c r="A31" s="27"/>
      <c r="B31" s="11" t="str">
        <f>CONCATENATE("          ", "6115", " - ", "P.E.R.S.")</f>
        <v xml:space="preserve">          6115 - P.E.R.S.</v>
      </c>
      <c r="C31" s="11"/>
      <c r="D31" s="7">
        <v>834.08</v>
      </c>
      <c r="E31" s="2"/>
      <c r="F31" s="6">
        <f t="shared" si="14"/>
        <v>3.5823962299969855E-2</v>
      </c>
      <c r="G31" s="2"/>
      <c r="H31" s="7">
        <v>953.51259615384697</v>
      </c>
      <c r="I31" s="2"/>
      <c r="J31" s="6">
        <f t="shared" si="15"/>
        <v>1.0713624675885922E-2</v>
      </c>
      <c r="K31" s="2"/>
      <c r="L31" s="7">
        <f t="shared" si="16"/>
        <v>-119.43259615384693</v>
      </c>
      <c r="M31" s="2"/>
      <c r="N31" s="6">
        <f t="shared" si="17"/>
        <v>-0.12525539425026827</v>
      </c>
      <c r="O31" s="11"/>
      <c r="P31" s="7">
        <v>12480.12</v>
      </c>
      <c r="Q31" s="2"/>
      <c r="R31" s="6">
        <f t="shared" si="18"/>
        <v>0.1020940114830117</v>
      </c>
      <c r="S31" s="2"/>
      <c r="T31" s="7">
        <v>7729.3715576923096</v>
      </c>
      <c r="U31" s="2"/>
      <c r="V31" s="6">
        <f t="shared" si="19"/>
        <v>3.5112758632136962E-2</v>
      </c>
      <c r="W31" s="2"/>
      <c r="X31" s="7">
        <f t="shared" si="20"/>
        <v>4750.7484423076912</v>
      </c>
      <c r="Y31" s="2"/>
      <c r="Z31" s="6">
        <f t="shared" si="21"/>
        <v>0.61463579630606868</v>
      </c>
    </row>
    <row r="32" spans="1:26" s="24" customFormat="1" hidden="1" outlineLevel="2" x14ac:dyDescent="0.3">
      <c r="A32" s="27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4"/>
        <v>0</v>
      </c>
      <c r="G32" s="2"/>
      <c r="H32" s="7">
        <v>0</v>
      </c>
      <c r="I32" s="2"/>
      <c r="J32" s="6">
        <f t="shared" si="15"/>
        <v>0</v>
      </c>
      <c r="K32" s="2"/>
      <c r="L32" s="7">
        <f t="shared" si="16"/>
        <v>0</v>
      </c>
      <c r="M32" s="2"/>
      <c r="N32" s="6">
        <f t="shared" si="17"/>
        <v>0</v>
      </c>
      <c r="O32" s="11"/>
      <c r="P32" s="7"/>
      <c r="Q32" s="2"/>
      <c r="R32" s="6">
        <f t="shared" si="18"/>
        <v>0</v>
      </c>
      <c r="S32" s="2"/>
      <c r="T32" s="7">
        <v>0</v>
      </c>
      <c r="U32" s="2"/>
      <c r="V32" s="6">
        <f t="shared" si="19"/>
        <v>0</v>
      </c>
      <c r="W32" s="2"/>
      <c r="X32" s="7">
        <f t="shared" si="20"/>
        <v>0</v>
      </c>
      <c r="Y32" s="2"/>
      <c r="Z32" s="6">
        <f t="shared" si="21"/>
        <v>0</v>
      </c>
    </row>
    <row r="33" spans="1:26" s="24" customFormat="1" hidden="1" outlineLevel="2" x14ac:dyDescent="0.3">
      <c r="A33" s="27"/>
      <c r="B33" s="11" t="str">
        <f>CONCATENATE("          ", "6118", " - ", "VACATION")</f>
        <v xml:space="preserve">          6118 - VACATION</v>
      </c>
      <c r="C33" s="11"/>
      <c r="D33" s="7">
        <v>1001.59</v>
      </c>
      <c r="E33" s="2"/>
      <c r="F33" s="6">
        <f t="shared" si="14"/>
        <v>4.301856224825773E-2</v>
      </c>
      <c r="G33" s="2"/>
      <c r="H33" s="7">
        <v>776.11490384615502</v>
      </c>
      <c r="I33" s="2"/>
      <c r="J33" s="6">
        <f t="shared" si="15"/>
        <v>8.7203921780466855E-3</v>
      </c>
      <c r="K33" s="2"/>
      <c r="L33" s="7">
        <f t="shared" si="16"/>
        <v>225.47509615384502</v>
      </c>
      <c r="M33" s="2"/>
      <c r="N33" s="6">
        <f t="shared" si="17"/>
        <v>0.29051767339664397</v>
      </c>
      <c r="O33" s="11"/>
      <c r="P33" s="7">
        <v>6244.15</v>
      </c>
      <c r="Q33" s="2"/>
      <c r="R33" s="6">
        <f t="shared" si="18"/>
        <v>5.1080464114259115E-2</v>
      </c>
      <c r="S33" s="2"/>
      <c r="T33" s="7">
        <v>6925.39317307692</v>
      </c>
      <c r="U33" s="2"/>
      <c r="V33" s="6">
        <f t="shared" si="19"/>
        <v>3.146046960013138E-2</v>
      </c>
      <c r="W33" s="2"/>
      <c r="X33" s="7">
        <f t="shared" si="20"/>
        <v>-681.24317307692036</v>
      </c>
      <c r="Y33" s="2"/>
      <c r="Z33" s="6">
        <f t="shared" si="21"/>
        <v>-9.8368880444985221E-2</v>
      </c>
    </row>
    <row r="34" spans="1:26" s="24" customFormat="1" hidden="1" outlineLevel="2" x14ac:dyDescent="0.3">
      <c r="A34" s="27"/>
      <c r="B34" s="11" t="str">
        <f>CONCATENATE("          ", "6119", " - ", "SICK LEAVE")</f>
        <v xml:space="preserve">          6119 - SICK LEAVE</v>
      </c>
      <c r="C34" s="11"/>
      <c r="D34" s="7">
        <v>1509.53</v>
      </c>
      <c r="E34" s="2"/>
      <c r="F34" s="6">
        <f t="shared" si="14"/>
        <v>6.4834723060945579E-2</v>
      </c>
      <c r="G34" s="2"/>
      <c r="H34" s="7">
        <v>435.400673076923</v>
      </c>
      <c r="I34" s="2"/>
      <c r="J34" s="6">
        <f t="shared" si="15"/>
        <v>4.8921423941227305E-3</v>
      </c>
      <c r="K34" s="2"/>
      <c r="L34" s="7">
        <f t="shared" si="16"/>
        <v>1074.1293269230769</v>
      </c>
      <c r="M34" s="2"/>
      <c r="N34" s="6">
        <f t="shared" si="17"/>
        <v>2.4669905063130404</v>
      </c>
      <c r="O34" s="11"/>
      <c r="P34" s="7">
        <v>4964.66</v>
      </c>
      <c r="Q34" s="2"/>
      <c r="R34" s="6">
        <f t="shared" si="18"/>
        <v>4.0613556203726316E-2</v>
      </c>
      <c r="S34" s="2"/>
      <c r="T34" s="7">
        <v>3382.8685576923099</v>
      </c>
      <c r="U34" s="2"/>
      <c r="V34" s="6">
        <f t="shared" si="19"/>
        <v>1.5367594410994912E-2</v>
      </c>
      <c r="W34" s="2"/>
      <c r="X34" s="7">
        <f t="shared" si="20"/>
        <v>1581.79144230769</v>
      </c>
      <c r="Y34" s="2"/>
      <c r="Z34" s="6">
        <f t="shared" si="21"/>
        <v>0.46758879788895491</v>
      </c>
    </row>
    <row r="35" spans="1:26" s="24" customFormat="1" hidden="1" outlineLevel="2" x14ac:dyDescent="0.3">
      <c r="A35" s="27"/>
      <c r="B35" s="11" t="str">
        <f>CONCATENATE("          ", "6156", " - ", "EMPLOYEE MEALS")</f>
        <v xml:space="preserve">          6156 - EMPLOYEE MEALS</v>
      </c>
      <c r="C35" s="11"/>
      <c r="D35" s="7">
        <v>388.79</v>
      </c>
      <c r="E35" s="2"/>
      <c r="F35" s="6">
        <f t="shared" si="14"/>
        <v>1.6698635985283521E-2</v>
      </c>
      <c r="G35" s="2"/>
      <c r="H35" s="7">
        <v>350</v>
      </c>
      <c r="I35" s="2"/>
      <c r="J35" s="6">
        <f t="shared" si="15"/>
        <v>3.9325842696629216E-3</v>
      </c>
      <c r="K35" s="2"/>
      <c r="L35" s="7">
        <f t="shared" si="16"/>
        <v>38.79000000000002</v>
      </c>
      <c r="M35" s="2"/>
      <c r="N35" s="6">
        <f t="shared" si="17"/>
        <v>0.11082857142857148</v>
      </c>
      <c r="O35" s="11"/>
      <c r="P35" s="7">
        <v>2980.99</v>
      </c>
      <c r="Q35" s="2"/>
      <c r="R35" s="6">
        <f t="shared" si="18"/>
        <v>2.4386081807766514E-2</v>
      </c>
      <c r="S35" s="2"/>
      <c r="T35" s="7">
        <v>3325</v>
      </c>
      <c r="U35" s="2"/>
      <c r="V35" s="6">
        <f t="shared" si="19"/>
        <v>1.5104710852677963E-2</v>
      </c>
      <c r="W35" s="2"/>
      <c r="X35" s="7">
        <f t="shared" si="20"/>
        <v>-344.01000000000022</v>
      </c>
      <c r="Y35" s="2"/>
      <c r="Z35" s="6">
        <f t="shared" si="21"/>
        <v>-0.10346165413533841</v>
      </c>
    </row>
    <row r="36" spans="1:26" s="28" customFormat="1" outlineLevel="1" collapsed="1" x14ac:dyDescent="0.3">
      <c r="A36" s="29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13111.52</v>
      </c>
      <c r="E36" s="1"/>
      <c r="F36" s="5">
        <f t="shared" ref="F36:F46" si="22">IF(D$12=0,0,D36/D$12)</f>
        <v>0.56314334137648758</v>
      </c>
      <c r="G36" s="1"/>
      <c r="H36" s="1">
        <f>SUM(OSRRefH22_1x_0)</f>
        <v>13545.680192307711</v>
      </c>
      <c r="I36" s="1"/>
      <c r="J36" s="5">
        <f t="shared" ref="J36:J46" si="23">IF(H$12=0,0,H36/H$12)</f>
        <v>0.15219865384615405</v>
      </c>
      <c r="K36" s="1"/>
      <c r="L36" s="1">
        <f t="shared" ref="L36:L46" si="24">+D36-H36</f>
        <v>-434.16019230771053</v>
      </c>
      <c r="M36" s="1"/>
      <c r="N36" s="5">
        <f t="shared" ref="N36:N46" si="25">IF(H36=0,0,L36/H36)</f>
        <v>-3.2051560803440522E-2</v>
      </c>
      <c r="O36" s="14"/>
      <c r="P36" s="1">
        <f>SUM(OSRRefP22_1x_0)</f>
        <v>101173.1</v>
      </c>
      <c r="Q36" s="1"/>
      <c r="R36" s="5">
        <f t="shared" ref="R36:R46" si="26">IF(P$12=0,0,P36/P$12)</f>
        <v>0.82764970474417643</v>
      </c>
      <c r="S36" s="1"/>
      <c r="T36" s="1">
        <f>SUM(OSRRefT22_1x_0)</f>
        <v>88936.791730769415</v>
      </c>
      <c r="U36" s="1"/>
      <c r="V36" s="5">
        <f t="shared" ref="V36:V46" si="27">IF(T$12=0,0,T36/T$12)</f>
        <v>0.40401940549116167</v>
      </c>
      <c r="W36" s="1"/>
      <c r="X36" s="1">
        <f t="shared" ref="X36:X46" si="28">+P36-T36</f>
        <v>12236.308269230591</v>
      </c>
      <c r="Y36" s="1"/>
      <c r="Z36" s="5">
        <f t="shared" ref="Z36:Z46" si="29">IF(T36=0,0,X36/T36)</f>
        <v>0.13758432287812336</v>
      </c>
    </row>
    <row r="37" spans="1:26" s="24" customFormat="1" hidden="1" outlineLevel="2" x14ac:dyDescent="0.3">
      <c r="A37" s="27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0</v>
      </c>
      <c r="Y37" s="2"/>
      <c r="Z37" s="6">
        <f t="shared" si="29"/>
        <v>0</v>
      </c>
    </row>
    <row r="38" spans="1:26" s="24" customFormat="1" hidden="1" outlineLevel="2" x14ac:dyDescent="0.3">
      <c r="A38" s="27"/>
      <c r="B38" s="11" t="str">
        <f>CONCATENATE("          ", "6002", " - ", "STAFF SALARIES")</f>
        <v xml:space="preserve">          6002 - STAFF SALARIES</v>
      </c>
      <c r="C38" s="11"/>
      <c r="D38" s="7">
        <v>10145.64</v>
      </c>
      <c r="E38" s="2"/>
      <c r="F38" s="6">
        <f t="shared" si="22"/>
        <v>0.43575799068322718</v>
      </c>
      <c r="G38" s="2"/>
      <c r="H38" s="7">
        <v>9978.6201923077097</v>
      </c>
      <c r="I38" s="2"/>
      <c r="J38" s="6">
        <f t="shared" si="23"/>
        <v>0.11211932800345741</v>
      </c>
      <c r="K38" s="2"/>
      <c r="L38" s="7">
        <f t="shared" si="24"/>
        <v>167.01980769228976</v>
      </c>
      <c r="M38" s="2"/>
      <c r="N38" s="6">
        <f t="shared" si="25"/>
        <v>1.673776579060916E-2</v>
      </c>
      <c r="O38" s="11"/>
      <c r="P38" s="7">
        <v>84169.81</v>
      </c>
      <c r="Q38" s="2"/>
      <c r="R38" s="6">
        <f t="shared" si="26"/>
        <v>0.68855375979260713</v>
      </c>
      <c r="S38" s="2"/>
      <c r="T38" s="7">
        <v>79832.031730769406</v>
      </c>
      <c r="U38" s="2"/>
      <c r="V38" s="6">
        <f t="shared" si="27"/>
        <v>0.36265857325566442</v>
      </c>
      <c r="W38" s="2"/>
      <c r="X38" s="7">
        <f t="shared" si="28"/>
        <v>4337.7782692305918</v>
      </c>
      <c r="Y38" s="2"/>
      <c r="Z38" s="6">
        <f t="shared" si="29"/>
        <v>5.4336313071169096E-2</v>
      </c>
    </row>
    <row r="39" spans="1:26" s="24" customFormat="1" hidden="1" outlineLevel="2" x14ac:dyDescent="0.3">
      <c r="A39" s="27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3">
      <c r="A40" s="27"/>
      <c r="B40" s="11" t="str">
        <f>CONCATENATE("          ", "6004", " - ", "STAFF HOURLY")</f>
        <v xml:space="preserve">          6004 - STAFF HOURLY</v>
      </c>
      <c r="C40" s="11"/>
      <c r="D40" s="7"/>
      <c r="E40" s="2"/>
      <c r="F40" s="6">
        <f t="shared" si="22"/>
        <v>0</v>
      </c>
      <c r="G40" s="2"/>
      <c r="H40" s="7">
        <v>2009.7</v>
      </c>
      <c r="I40" s="2"/>
      <c r="J40" s="6">
        <f t="shared" si="23"/>
        <v>2.2580898876404496E-2</v>
      </c>
      <c r="K40" s="2"/>
      <c r="L40" s="7">
        <f t="shared" si="24"/>
        <v>-2009.7</v>
      </c>
      <c r="M40" s="2"/>
      <c r="N40" s="6">
        <f t="shared" si="25"/>
        <v>-1</v>
      </c>
      <c r="O40" s="11"/>
      <c r="P40" s="7"/>
      <c r="Q40" s="2"/>
      <c r="R40" s="6">
        <f t="shared" si="26"/>
        <v>0</v>
      </c>
      <c r="S40" s="2"/>
      <c r="T40" s="7">
        <v>2356.1999999999998</v>
      </c>
      <c r="U40" s="2"/>
      <c r="V40" s="6">
        <f t="shared" si="27"/>
        <v>1.0703675101076636E-2</v>
      </c>
      <c r="W40" s="2"/>
      <c r="X40" s="7">
        <f t="shared" si="28"/>
        <v>-2356.1999999999998</v>
      </c>
      <c r="Y40" s="2"/>
      <c r="Z40" s="6">
        <f t="shared" si="29"/>
        <v>-1</v>
      </c>
    </row>
    <row r="41" spans="1:26" s="24" customFormat="1" hidden="1" outlineLevel="2" x14ac:dyDescent="0.3">
      <c r="A41" s="27"/>
      <c r="B41" s="11" t="str">
        <f>CONCATENATE("          ", "6005", " - ", "TEMPORARY WAGES-HOURLY")</f>
        <v xml:space="preserve">          6005 - TEMPORARY WAGES-HOURLY</v>
      </c>
      <c r="C41" s="11"/>
      <c r="D41" s="7"/>
      <c r="E41" s="2"/>
      <c r="F41" s="6">
        <f t="shared" si="22"/>
        <v>0</v>
      </c>
      <c r="G41" s="2"/>
      <c r="H41" s="7">
        <v>0</v>
      </c>
      <c r="I41" s="2"/>
      <c r="J41" s="6">
        <f t="shared" si="23"/>
        <v>0</v>
      </c>
      <c r="K41" s="2"/>
      <c r="L41" s="7">
        <f t="shared" si="24"/>
        <v>0</v>
      </c>
      <c r="M41" s="2"/>
      <c r="N41" s="6">
        <f t="shared" si="25"/>
        <v>0</v>
      </c>
      <c r="O41" s="11"/>
      <c r="P41" s="7"/>
      <c r="Q41" s="2"/>
      <c r="R41" s="6">
        <f t="shared" si="26"/>
        <v>0</v>
      </c>
      <c r="S41" s="2"/>
      <c r="T41" s="7">
        <v>0</v>
      </c>
      <c r="U41" s="2"/>
      <c r="V41" s="6">
        <f t="shared" si="27"/>
        <v>0</v>
      </c>
      <c r="W41" s="2"/>
      <c r="X41" s="7">
        <f t="shared" si="28"/>
        <v>0</v>
      </c>
      <c r="Y41" s="2"/>
      <c r="Z41" s="6">
        <f t="shared" si="29"/>
        <v>0</v>
      </c>
    </row>
    <row r="42" spans="1:26" s="24" customFormat="1" hidden="1" outlineLevel="2" x14ac:dyDescent="0.3">
      <c r="A42" s="27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4" customFormat="1" hidden="1" outlineLevel="2" x14ac:dyDescent="0.3">
      <c r="A43" s="27"/>
      <c r="B43" s="11" t="str">
        <f>CONCATENATE("          ", "6007", " - ", "STUDENT HOURLY")</f>
        <v xml:space="preserve">          6007 - STUDENT HOURLY</v>
      </c>
      <c r="C43" s="11"/>
      <c r="D43" s="7">
        <v>2965.88</v>
      </c>
      <c r="E43" s="2"/>
      <c r="F43" s="6">
        <f t="shared" si="22"/>
        <v>0.12738535069326035</v>
      </c>
      <c r="G43" s="2"/>
      <c r="H43" s="7">
        <v>1557.36</v>
      </c>
      <c r="I43" s="2"/>
      <c r="J43" s="6">
        <f t="shared" si="23"/>
        <v>1.7498426966292134E-2</v>
      </c>
      <c r="K43" s="2"/>
      <c r="L43" s="7">
        <f t="shared" si="24"/>
        <v>1408.5200000000002</v>
      </c>
      <c r="M43" s="2"/>
      <c r="N43" s="6">
        <f t="shared" si="25"/>
        <v>0.90442800636975418</v>
      </c>
      <c r="O43" s="11"/>
      <c r="P43" s="7">
        <v>17003.29</v>
      </c>
      <c r="Q43" s="2"/>
      <c r="R43" s="6">
        <f t="shared" si="26"/>
        <v>0.13909594495156921</v>
      </c>
      <c r="S43" s="2"/>
      <c r="T43" s="7">
        <v>6315.96</v>
      </c>
      <c r="U43" s="2"/>
      <c r="V43" s="6">
        <f t="shared" si="27"/>
        <v>2.8691954754008996E-2</v>
      </c>
      <c r="W43" s="2"/>
      <c r="X43" s="7">
        <f t="shared" si="28"/>
        <v>10687.330000000002</v>
      </c>
      <c r="Y43" s="2"/>
      <c r="Z43" s="6">
        <f t="shared" si="29"/>
        <v>1.6921148962311354</v>
      </c>
    </row>
    <row r="44" spans="1:26" s="24" customFormat="1" hidden="1" outlineLevel="2" x14ac:dyDescent="0.3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2"/>
        <v>0</v>
      </c>
      <c r="G44" s="2"/>
      <c r="H44" s="7">
        <v>0</v>
      </c>
      <c r="I44" s="2"/>
      <c r="J44" s="6">
        <f t="shared" si="23"/>
        <v>0</v>
      </c>
      <c r="K44" s="2"/>
      <c r="L44" s="7">
        <f t="shared" si="24"/>
        <v>0</v>
      </c>
      <c r="M44" s="2"/>
      <c r="N44" s="6">
        <f t="shared" si="25"/>
        <v>0</v>
      </c>
      <c r="O44" s="11"/>
      <c r="P44" s="7"/>
      <c r="Q44" s="2"/>
      <c r="R44" s="6">
        <f t="shared" si="26"/>
        <v>0</v>
      </c>
      <c r="S44" s="2"/>
      <c r="T44" s="7">
        <v>432.6</v>
      </c>
      <c r="U44" s="2"/>
      <c r="V44" s="6">
        <f t="shared" si="27"/>
        <v>1.9652023804115752E-3</v>
      </c>
      <c r="W44" s="2"/>
      <c r="X44" s="7">
        <f t="shared" si="28"/>
        <v>-432.6</v>
      </c>
      <c r="Y44" s="2"/>
      <c r="Z44" s="6">
        <f t="shared" si="29"/>
        <v>-1</v>
      </c>
    </row>
    <row r="45" spans="1:26" s="24" customFormat="1" hidden="1" outlineLevel="2" x14ac:dyDescent="0.3">
      <c r="A45" s="27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2"/>
        <v>0</v>
      </c>
      <c r="G45" s="2"/>
      <c r="H45" s="7">
        <v>0</v>
      </c>
      <c r="I45" s="2"/>
      <c r="J45" s="6">
        <f t="shared" si="23"/>
        <v>0</v>
      </c>
      <c r="K45" s="2"/>
      <c r="L45" s="7">
        <f t="shared" si="24"/>
        <v>0</v>
      </c>
      <c r="M45" s="2"/>
      <c r="N45" s="6">
        <f t="shared" si="25"/>
        <v>0</v>
      </c>
      <c r="O45" s="11"/>
      <c r="P45" s="7"/>
      <c r="Q45" s="2"/>
      <c r="R45" s="6">
        <f t="shared" si="26"/>
        <v>0</v>
      </c>
      <c r="S45" s="2"/>
      <c r="T45" s="7">
        <v>0</v>
      </c>
      <c r="U45" s="2"/>
      <c r="V45" s="6">
        <f t="shared" si="27"/>
        <v>0</v>
      </c>
      <c r="W45" s="2"/>
      <c r="X45" s="7">
        <f t="shared" si="28"/>
        <v>0</v>
      </c>
      <c r="Y45" s="2"/>
      <c r="Z45" s="6">
        <f t="shared" si="29"/>
        <v>0</v>
      </c>
    </row>
    <row r="46" spans="1:26" s="24" customFormat="1" hidden="1" outlineLevel="2" x14ac:dyDescent="0.3">
      <c r="A46" s="27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2"/>
        <v>0</v>
      </c>
      <c r="G46" s="2"/>
      <c r="H46" s="7">
        <v>0</v>
      </c>
      <c r="I46" s="2"/>
      <c r="J46" s="6">
        <f t="shared" si="23"/>
        <v>0</v>
      </c>
      <c r="K46" s="2"/>
      <c r="L46" s="7">
        <f t="shared" si="24"/>
        <v>0</v>
      </c>
      <c r="M46" s="2"/>
      <c r="N46" s="6">
        <f t="shared" si="25"/>
        <v>0</v>
      </c>
      <c r="O46" s="11"/>
      <c r="P46" s="7"/>
      <c r="Q46" s="2"/>
      <c r="R46" s="6">
        <f t="shared" si="26"/>
        <v>0</v>
      </c>
      <c r="S46" s="2"/>
      <c r="T46" s="7">
        <v>0</v>
      </c>
      <c r="U46" s="2"/>
      <c r="V46" s="6">
        <f t="shared" si="27"/>
        <v>0</v>
      </c>
      <c r="W46" s="2"/>
      <c r="X46" s="7">
        <f t="shared" si="28"/>
        <v>0</v>
      </c>
      <c r="Y46" s="2"/>
      <c r="Z46" s="6">
        <f t="shared" si="29"/>
        <v>0</v>
      </c>
    </row>
    <row r="47" spans="1:26" s="28" customFormat="1" outlineLevel="1" collapsed="1" x14ac:dyDescent="0.3">
      <c r="A47" s="29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44.1</v>
      </c>
      <c r="E47" s="1"/>
      <c r="F47" s="5">
        <f t="shared" ref="F47:F55" si="30">IF(D$12=0,0,D47/D$12)</f>
        <v>1.8941069650736987E-3</v>
      </c>
      <c r="G47" s="1"/>
      <c r="H47" s="1">
        <f>SUM(OSRRefH22_2x_0)</f>
        <v>50</v>
      </c>
      <c r="I47" s="1"/>
      <c r="J47" s="5">
        <f t="shared" ref="J47:J55" si="31">IF(H$12=0,0,H47/H$12)</f>
        <v>5.6179775280898881E-4</v>
      </c>
      <c r="K47" s="1"/>
      <c r="L47" s="1">
        <f t="shared" ref="L47:L55" si="32">+D47-H47</f>
        <v>-5.8999999999999986</v>
      </c>
      <c r="M47" s="1"/>
      <c r="N47" s="5">
        <f t="shared" ref="N47:N55" si="33">IF(H47=0,0,L47/H47)</f>
        <v>-0.11799999999999997</v>
      </c>
      <c r="O47" s="14"/>
      <c r="P47" s="1">
        <f>SUM(OSRRefP22_2x_0)</f>
        <v>141.85</v>
      </c>
      <c r="Q47" s="1"/>
      <c r="R47" s="5">
        <f t="shared" ref="R47:R55" si="34">IF(P$12=0,0,P47/P$12)</f>
        <v>1.1604083557582145E-3</v>
      </c>
      <c r="S47" s="1"/>
      <c r="T47" s="1">
        <f>SUM(OSRRefT22_2x_0)</f>
        <v>350</v>
      </c>
      <c r="U47" s="1"/>
      <c r="V47" s="5">
        <f t="shared" ref="V47:V55" si="35">IF(T$12=0,0,T47/T$12)</f>
        <v>1.5899695634397856E-3</v>
      </c>
      <c r="W47" s="1"/>
      <c r="X47" s="1">
        <f t="shared" ref="X47:X55" si="36">+P47-T47</f>
        <v>-208.15</v>
      </c>
      <c r="Y47" s="1"/>
      <c r="Z47" s="5">
        <f t="shared" ref="Z47:Z55" si="37">IF(T47=0,0,X47/T47)</f>
        <v>-0.59471428571428575</v>
      </c>
    </row>
    <row r="48" spans="1:26" s="24" customFormat="1" hidden="1" outlineLevel="2" x14ac:dyDescent="0.3">
      <c r="A48" s="27"/>
      <c r="B48" s="11" t="str">
        <f>CONCATENATE("          ", "6362", " - ", "ADVERTISING EXPENSE")</f>
        <v xml:space="preserve">          6362 - ADVERTISING EXPENSE</v>
      </c>
      <c r="C48" s="11"/>
      <c r="D48" s="7">
        <v>44.1</v>
      </c>
      <c r="E48" s="2"/>
      <c r="F48" s="6">
        <f t="shared" si="30"/>
        <v>1.8941069650736987E-3</v>
      </c>
      <c r="G48" s="2"/>
      <c r="H48" s="7">
        <v>50</v>
      </c>
      <c r="I48" s="2"/>
      <c r="J48" s="6">
        <f t="shared" si="31"/>
        <v>5.6179775280898881E-4</v>
      </c>
      <c r="K48" s="2"/>
      <c r="L48" s="7">
        <f t="shared" si="32"/>
        <v>-5.8999999999999986</v>
      </c>
      <c r="M48" s="2"/>
      <c r="N48" s="6">
        <f t="shared" si="33"/>
        <v>-0.11799999999999997</v>
      </c>
      <c r="O48" s="11"/>
      <c r="P48" s="7">
        <v>141.85</v>
      </c>
      <c r="Q48" s="2"/>
      <c r="R48" s="6">
        <f t="shared" si="34"/>
        <v>1.1604083557582145E-3</v>
      </c>
      <c r="S48" s="2"/>
      <c r="T48" s="7">
        <v>350</v>
      </c>
      <c r="U48" s="2"/>
      <c r="V48" s="6">
        <f t="shared" si="35"/>
        <v>1.5899695634397856E-3</v>
      </c>
      <c r="W48" s="2"/>
      <c r="X48" s="7">
        <f t="shared" si="36"/>
        <v>-208.15</v>
      </c>
      <c r="Y48" s="2"/>
      <c r="Z48" s="6">
        <f t="shared" si="37"/>
        <v>-0.59471428571428575</v>
      </c>
    </row>
    <row r="49" spans="1:26" s="28" customFormat="1" outlineLevel="1" collapsed="1" x14ac:dyDescent="0.3">
      <c r="A49" s="29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SUM(OSRRefD22_3x_0)</f>
        <v>169.88</v>
      </c>
      <c r="E49" s="1"/>
      <c r="F49" s="5">
        <f t="shared" si="30"/>
        <v>7.2963920913088412E-3</v>
      </c>
      <c r="G49" s="1"/>
      <c r="H49" s="1">
        <f>SUM(OSRRefH22_3x_0)</f>
        <v>170</v>
      </c>
      <c r="I49" s="1"/>
      <c r="J49" s="5">
        <f t="shared" si="31"/>
        <v>1.9101123595505619E-3</v>
      </c>
      <c r="K49" s="1"/>
      <c r="L49" s="1">
        <f t="shared" si="32"/>
        <v>-0.12000000000000455</v>
      </c>
      <c r="M49" s="1"/>
      <c r="N49" s="5">
        <f t="shared" si="33"/>
        <v>-7.0588235294120319E-4</v>
      </c>
      <c r="O49" s="14"/>
      <c r="P49" s="1">
        <f>SUM(OSRRefP22_3x_0)</f>
        <v>1189.1600000000001</v>
      </c>
      <c r="Q49" s="1"/>
      <c r="R49" s="5">
        <f t="shared" si="34"/>
        <v>9.7279605240284707E-3</v>
      </c>
      <c r="S49" s="1"/>
      <c r="T49" s="1">
        <f>SUM(OSRRefT22_3x_0)</f>
        <v>1190</v>
      </c>
      <c r="U49" s="1"/>
      <c r="V49" s="5">
        <f t="shared" si="35"/>
        <v>5.4058965156952707E-3</v>
      </c>
      <c r="W49" s="1"/>
      <c r="X49" s="1">
        <f t="shared" si="36"/>
        <v>-0.83999999999991815</v>
      </c>
      <c r="Y49" s="1"/>
      <c r="Z49" s="5">
        <f t="shared" si="37"/>
        <v>-7.0588235294110767E-4</v>
      </c>
    </row>
    <row r="50" spans="1:26" s="24" customFormat="1" hidden="1" outlineLevel="2" x14ac:dyDescent="0.3">
      <c r="A50" s="27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169.88</v>
      </c>
      <c r="E50" s="2"/>
      <c r="F50" s="6">
        <f t="shared" si="30"/>
        <v>7.2963920913088412E-3</v>
      </c>
      <c r="G50" s="2"/>
      <c r="H50" s="7">
        <v>170</v>
      </c>
      <c r="I50" s="2"/>
      <c r="J50" s="6">
        <f t="shared" si="31"/>
        <v>1.9101123595505619E-3</v>
      </c>
      <c r="K50" s="2"/>
      <c r="L50" s="7">
        <f t="shared" si="32"/>
        <v>-0.12000000000000455</v>
      </c>
      <c r="M50" s="2"/>
      <c r="N50" s="6">
        <f t="shared" si="33"/>
        <v>-7.0588235294120319E-4</v>
      </c>
      <c r="O50" s="11"/>
      <c r="P50" s="7">
        <v>1189.1600000000001</v>
      </c>
      <c r="Q50" s="2"/>
      <c r="R50" s="6">
        <f t="shared" si="34"/>
        <v>9.7279605240284707E-3</v>
      </c>
      <c r="S50" s="2"/>
      <c r="T50" s="7">
        <v>1190</v>
      </c>
      <c r="U50" s="2"/>
      <c r="V50" s="6">
        <f t="shared" si="35"/>
        <v>5.4058965156952707E-3</v>
      </c>
      <c r="W50" s="2"/>
      <c r="X50" s="7">
        <f t="shared" si="36"/>
        <v>-0.83999999999991815</v>
      </c>
      <c r="Y50" s="2"/>
      <c r="Z50" s="6">
        <f t="shared" si="37"/>
        <v>-7.0588235294110767E-4</v>
      </c>
    </row>
    <row r="51" spans="1:26" s="28" customFormat="1" outlineLevel="1" collapsed="1" x14ac:dyDescent="0.3">
      <c r="A51" s="29"/>
      <c r="B51" s="14" t="str">
        <f>CONCATENATE("     ","Equipment Rental                                  ")</f>
        <v xml:space="preserve">     Equipment Rental                                  </v>
      </c>
      <c r="C51" s="14"/>
      <c r="D51" s="1">
        <f>SUM(OSRRefD22_4x_0)</f>
        <v>1296.9000000000001</v>
      </c>
      <c r="E51" s="1"/>
      <c r="F51" s="5">
        <f t="shared" si="30"/>
        <v>5.5702206870840813E-2</v>
      </c>
      <c r="G51" s="1"/>
      <c r="H51" s="1">
        <f>SUM(OSRRefH22_4x_0)</f>
        <v>1300</v>
      </c>
      <c r="I51" s="1"/>
      <c r="J51" s="5">
        <f t="shared" si="31"/>
        <v>1.4606741573033709E-2</v>
      </c>
      <c r="K51" s="1"/>
      <c r="L51" s="1">
        <f t="shared" si="32"/>
        <v>-3.0999999999999091</v>
      </c>
      <c r="M51" s="1"/>
      <c r="N51" s="5">
        <f t="shared" si="33"/>
        <v>-2.3846153846153145E-3</v>
      </c>
      <c r="O51" s="14"/>
      <c r="P51" s="1">
        <f>SUM(OSRRefP22_4x_0)</f>
        <v>8530.74</v>
      </c>
      <c r="Q51" s="1"/>
      <c r="R51" s="5">
        <f t="shared" si="34"/>
        <v>6.9785985032081999E-2</v>
      </c>
      <c r="S51" s="1"/>
      <c r="T51" s="1">
        <f>SUM(OSRRefT22_4x_0)</f>
        <v>8900</v>
      </c>
      <c r="U51" s="1"/>
      <c r="V51" s="5">
        <f t="shared" si="35"/>
        <v>4.0430654613183119E-2</v>
      </c>
      <c r="W51" s="1"/>
      <c r="X51" s="1">
        <f t="shared" si="36"/>
        <v>-369.26000000000022</v>
      </c>
      <c r="Y51" s="1"/>
      <c r="Z51" s="5">
        <f t="shared" si="37"/>
        <v>-4.148988764044946E-2</v>
      </c>
    </row>
    <row r="52" spans="1:26" s="24" customFormat="1" hidden="1" outlineLevel="2" x14ac:dyDescent="0.3">
      <c r="A52" s="27"/>
      <c r="B52" s="11" t="str">
        <f>CONCATENATE("          ", "6351", " - ", "EQUIPMENT RENTAL")</f>
        <v xml:space="preserve">          6351 - EQUIPMENT RENTAL</v>
      </c>
      <c r="C52" s="11"/>
      <c r="D52" s="7">
        <v>1296.9000000000001</v>
      </c>
      <c r="E52" s="2"/>
      <c r="F52" s="6">
        <f t="shared" si="30"/>
        <v>5.5702206870840813E-2</v>
      </c>
      <c r="G52" s="2"/>
      <c r="H52" s="7">
        <v>1300</v>
      </c>
      <c r="I52" s="2"/>
      <c r="J52" s="6">
        <f t="shared" si="31"/>
        <v>1.4606741573033709E-2</v>
      </c>
      <c r="K52" s="2"/>
      <c r="L52" s="7">
        <f t="shared" si="32"/>
        <v>-3.0999999999999091</v>
      </c>
      <c r="M52" s="2"/>
      <c r="N52" s="6">
        <f t="shared" si="33"/>
        <v>-2.3846153846153145E-3</v>
      </c>
      <c r="O52" s="11"/>
      <c r="P52" s="7">
        <v>8530.74</v>
      </c>
      <c r="Q52" s="2"/>
      <c r="R52" s="6">
        <f t="shared" si="34"/>
        <v>6.9785985032081999E-2</v>
      </c>
      <c r="S52" s="2"/>
      <c r="T52" s="7">
        <v>8900</v>
      </c>
      <c r="U52" s="2"/>
      <c r="V52" s="6">
        <f t="shared" si="35"/>
        <v>4.0430654613183119E-2</v>
      </c>
      <c r="W52" s="2"/>
      <c r="X52" s="7">
        <f t="shared" si="36"/>
        <v>-369.26000000000022</v>
      </c>
      <c r="Y52" s="2"/>
      <c r="Z52" s="6">
        <f t="shared" si="37"/>
        <v>-4.148988764044946E-2</v>
      </c>
    </row>
    <row r="53" spans="1:26" s="28" customFormat="1" outlineLevel="1" collapsed="1" x14ac:dyDescent="0.3">
      <c r="A53" s="29"/>
      <c r="B53" s="14" t="str">
        <f>CONCATENATE("     ","Freight out/Postage                               ")</f>
        <v xml:space="preserve">     Freight out/Postage                               </v>
      </c>
      <c r="C53" s="14"/>
      <c r="D53" s="1">
        <f>SUM(OSRRefD22_5x_0)</f>
        <v>-10138.209999999999</v>
      </c>
      <c r="E53" s="1"/>
      <c r="F53" s="5">
        <f t="shared" si="30"/>
        <v>-0.43543887016734284</v>
      </c>
      <c r="G53" s="1"/>
      <c r="H53" s="1">
        <f>SUM(OSRRefH22_5x_0)</f>
        <v>-26500</v>
      </c>
      <c r="I53" s="1"/>
      <c r="J53" s="5">
        <f t="shared" si="31"/>
        <v>-0.29775280898876405</v>
      </c>
      <c r="K53" s="1"/>
      <c r="L53" s="1">
        <f t="shared" si="32"/>
        <v>16361.79</v>
      </c>
      <c r="M53" s="1"/>
      <c r="N53" s="5">
        <f t="shared" si="33"/>
        <v>-0.61742603773584914</v>
      </c>
      <c r="O53" s="14"/>
      <c r="P53" s="1">
        <f>SUM(OSRRefP22_5x_0)</f>
        <v>-57286.23000000001</v>
      </c>
      <c r="Q53" s="1"/>
      <c r="R53" s="5">
        <f t="shared" si="34"/>
        <v>-0.46863179388006287</v>
      </c>
      <c r="S53" s="1"/>
      <c r="T53" s="1">
        <f>SUM(OSRRefT22_5x_0)</f>
        <v>-26700</v>
      </c>
      <c r="U53" s="1"/>
      <c r="V53" s="5">
        <f t="shared" si="35"/>
        <v>-0.12129196383954936</v>
      </c>
      <c r="W53" s="1"/>
      <c r="X53" s="1">
        <f t="shared" si="36"/>
        <v>-30586.23000000001</v>
      </c>
      <c r="Y53" s="1"/>
      <c r="Z53" s="5">
        <f t="shared" si="37"/>
        <v>1.1455516853932588</v>
      </c>
    </row>
    <row r="54" spans="1:26" s="24" customFormat="1" hidden="1" outlineLevel="2" x14ac:dyDescent="0.3">
      <c r="A54" s="27"/>
      <c r="B54" s="11" t="str">
        <f>CONCATENATE("          ", "6305", " - ", "FREIGHT OUT")</f>
        <v xml:space="preserve">          6305 - FREIGHT OUT</v>
      </c>
      <c r="C54" s="11"/>
      <c r="D54" s="7">
        <v>14906.39</v>
      </c>
      <c r="E54" s="2"/>
      <c r="F54" s="6">
        <f t="shared" si="30"/>
        <v>0.64023349485498704</v>
      </c>
      <c r="G54" s="2"/>
      <c r="H54" s="7">
        <v>15000</v>
      </c>
      <c r="I54" s="2"/>
      <c r="J54" s="6">
        <f t="shared" si="31"/>
        <v>0.16853932584269662</v>
      </c>
      <c r="K54" s="2"/>
      <c r="L54" s="7">
        <f t="shared" si="32"/>
        <v>-93.610000000000582</v>
      </c>
      <c r="M54" s="2"/>
      <c r="N54" s="6">
        <f t="shared" si="33"/>
        <v>-6.2406666666667051E-3</v>
      </c>
      <c r="O54" s="11"/>
      <c r="P54" s="7">
        <v>87621</v>
      </c>
      <c r="Q54" s="2"/>
      <c r="R54" s="6">
        <f t="shared" si="34"/>
        <v>0.71678632738731418</v>
      </c>
      <c r="S54" s="2"/>
      <c r="T54" s="7">
        <v>106300</v>
      </c>
      <c r="U54" s="2"/>
      <c r="V54" s="6">
        <f t="shared" si="35"/>
        <v>0.48289647026756916</v>
      </c>
      <c r="W54" s="2"/>
      <c r="X54" s="7">
        <f t="shared" si="36"/>
        <v>-18679</v>
      </c>
      <c r="Y54" s="2"/>
      <c r="Z54" s="6">
        <f t="shared" si="37"/>
        <v>-0.17571966133584196</v>
      </c>
    </row>
    <row r="55" spans="1:26" s="24" customFormat="1" hidden="1" outlineLevel="2" x14ac:dyDescent="0.3">
      <c r="A55" s="27"/>
      <c r="B55" s="11" t="str">
        <f>CONCATENATE("          ", "6307", " - ", "POSTAGE")</f>
        <v xml:space="preserve">          6307 - POSTAGE</v>
      </c>
      <c r="C55" s="11"/>
      <c r="D55" s="7">
        <v>-25044.6</v>
      </c>
      <c r="E55" s="2"/>
      <c r="F55" s="6">
        <f t="shared" si="30"/>
        <v>-1.0756723650223299</v>
      </c>
      <c r="G55" s="2"/>
      <c r="H55" s="7">
        <v>-41500</v>
      </c>
      <c r="I55" s="2"/>
      <c r="J55" s="6">
        <f t="shared" si="31"/>
        <v>-0.46629213483146065</v>
      </c>
      <c r="K55" s="2"/>
      <c r="L55" s="7">
        <f t="shared" si="32"/>
        <v>16455.400000000001</v>
      </c>
      <c r="M55" s="2"/>
      <c r="N55" s="6">
        <f t="shared" si="33"/>
        <v>-0.39651566265060245</v>
      </c>
      <c r="O55" s="11"/>
      <c r="P55" s="7">
        <v>-144907.23000000001</v>
      </c>
      <c r="Q55" s="2"/>
      <c r="R55" s="6">
        <f t="shared" si="34"/>
        <v>-1.1854181212673771</v>
      </c>
      <c r="S55" s="2"/>
      <c r="T55" s="7">
        <v>-133000</v>
      </c>
      <c r="U55" s="2"/>
      <c r="V55" s="6">
        <f t="shared" si="35"/>
        <v>-0.60418843410711853</v>
      </c>
      <c r="W55" s="2"/>
      <c r="X55" s="7">
        <f t="shared" si="36"/>
        <v>-11907.23000000001</v>
      </c>
      <c r="Y55" s="2"/>
      <c r="Z55" s="6">
        <f t="shared" si="37"/>
        <v>8.9528045112782034E-2</v>
      </c>
    </row>
    <row r="56" spans="1:26" s="28" customFormat="1" outlineLevel="1" collapsed="1" x14ac:dyDescent="0.3">
      <c r="A56" s="29"/>
      <c r="B56" s="14" t="str">
        <f>CONCATENATE("     ","General                                           ")</f>
        <v xml:space="preserve">     General                                           </v>
      </c>
      <c r="C56" s="14"/>
      <c r="D56" s="1">
        <f>SUM(OSRRefD22_6x_0)</f>
        <v>0</v>
      </c>
      <c r="E56" s="1"/>
      <c r="F56" s="5">
        <f t="shared" ref="F56:F61" si="38">IF(D$12=0,0,D56/D$12)</f>
        <v>0</v>
      </c>
      <c r="G56" s="1"/>
      <c r="H56" s="1">
        <f>SUM(OSRRefH22_6x_0)</f>
        <v>0</v>
      </c>
      <c r="I56" s="1"/>
      <c r="J56" s="5">
        <f t="shared" ref="J56:J61" si="39">IF(H$12=0,0,H56/H$12)</f>
        <v>0</v>
      </c>
      <c r="K56" s="1"/>
      <c r="L56" s="1">
        <f t="shared" ref="L56:L61" si="40">+D56-H56</f>
        <v>0</v>
      </c>
      <c r="M56" s="1"/>
      <c r="N56" s="5">
        <f t="shared" ref="N56:N61" si="41">IF(H56=0,0,L56/H56)</f>
        <v>0</v>
      </c>
      <c r="O56" s="14"/>
      <c r="P56" s="1">
        <f>SUM(OSRRefP22_6x_0)</f>
        <v>91.31</v>
      </c>
      <c r="Q56" s="1"/>
      <c r="R56" s="5">
        <f t="shared" ref="R56:R61" si="42">IF(P$12=0,0,P56/P$12)</f>
        <v>7.4696430711513977E-4</v>
      </c>
      <c r="S56" s="1"/>
      <c r="T56" s="1">
        <f>SUM(OSRRefT22_6x_0)</f>
        <v>0</v>
      </c>
      <c r="U56" s="1"/>
      <c r="V56" s="5">
        <f t="shared" ref="V56:V61" si="43">IF(T$12=0,0,T56/T$12)</f>
        <v>0</v>
      </c>
      <c r="W56" s="1"/>
      <c r="X56" s="1">
        <f t="shared" ref="X56:X61" si="44">+P56-T56</f>
        <v>91.31</v>
      </c>
      <c r="Y56" s="1"/>
      <c r="Z56" s="5">
        <f t="shared" ref="Z56:Z61" si="45">IF(T56=0,0,X56/T56)</f>
        <v>0</v>
      </c>
    </row>
    <row r="57" spans="1:26" s="24" customFormat="1" hidden="1" outlineLevel="2" x14ac:dyDescent="0.3">
      <c r="A57" s="27"/>
      <c r="B57" s="11" t="str">
        <f>CONCATENATE("          ", "6279", " - ", "GENERAL EXPENSE")</f>
        <v xml:space="preserve">          6279 - GENERAL EXPENSE</v>
      </c>
      <c r="C57" s="11"/>
      <c r="D57" s="7"/>
      <c r="E57" s="2"/>
      <c r="F57" s="6">
        <f t="shared" si="38"/>
        <v>0</v>
      </c>
      <c r="G57" s="2"/>
      <c r="H57" s="7"/>
      <c r="I57" s="2"/>
      <c r="J57" s="6">
        <f t="shared" si="39"/>
        <v>0</v>
      </c>
      <c r="K57" s="2"/>
      <c r="L57" s="7">
        <f t="shared" si="40"/>
        <v>0</v>
      </c>
      <c r="M57" s="2"/>
      <c r="N57" s="6">
        <f t="shared" si="41"/>
        <v>0</v>
      </c>
      <c r="O57" s="11"/>
      <c r="P57" s="7">
        <v>91.31</v>
      </c>
      <c r="Q57" s="2"/>
      <c r="R57" s="6">
        <f t="shared" si="42"/>
        <v>7.4696430711513977E-4</v>
      </c>
      <c r="S57" s="2"/>
      <c r="T57" s="7"/>
      <c r="U57" s="2"/>
      <c r="V57" s="6">
        <f t="shared" si="43"/>
        <v>0</v>
      </c>
      <c r="W57" s="2"/>
      <c r="X57" s="7">
        <f t="shared" si="44"/>
        <v>91.31</v>
      </c>
      <c r="Y57" s="2"/>
      <c r="Z57" s="6">
        <f t="shared" si="45"/>
        <v>0</v>
      </c>
    </row>
    <row r="58" spans="1:26" s="28" customFormat="1" outlineLevel="1" collapsed="1" x14ac:dyDescent="0.3">
      <c r="A58" s="29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SUM(OSRRefD22_7x_0)</f>
        <v>7510.08</v>
      </c>
      <c r="E58" s="1"/>
      <c r="F58" s="5">
        <f t="shared" si="38"/>
        <v>0.3225599736113533</v>
      </c>
      <c r="G58" s="1"/>
      <c r="H58" s="1">
        <f>SUM(OSRRefH22_7x_0)</f>
        <v>5600</v>
      </c>
      <c r="I58" s="1"/>
      <c r="J58" s="5">
        <f t="shared" si="39"/>
        <v>6.2921348314606745E-2</v>
      </c>
      <c r="K58" s="1"/>
      <c r="L58" s="1">
        <f t="shared" si="40"/>
        <v>1910.08</v>
      </c>
      <c r="M58" s="1"/>
      <c r="N58" s="5">
        <f t="shared" si="41"/>
        <v>0.34108571428571427</v>
      </c>
      <c r="O58" s="14"/>
      <c r="P58" s="1">
        <f>SUM(OSRRefP22_7x_0)</f>
        <v>20738.830000000002</v>
      </c>
      <c r="Q58" s="1"/>
      <c r="R58" s="5">
        <f t="shared" si="42"/>
        <v>0.16965464660309579</v>
      </c>
      <c r="S58" s="1"/>
      <c r="T58" s="1">
        <f>SUM(OSRRefT22_7x_0)</f>
        <v>33700</v>
      </c>
      <c r="U58" s="1"/>
      <c r="V58" s="5">
        <f t="shared" si="43"/>
        <v>0.15309135510834507</v>
      </c>
      <c r="W58" s="1"/>
      <c r="X58" s="1">
        <f t="shared" si="44"/>
        <v>-12961.169999999998</v>
      </c>
      <c r="Y58" s="1"/>
      <c r="Z58" s="5">
        <f t="shared" si="45"/>
        <v>-0.3846044510385756</v>
      </c>
    </row>
    <row r="59" spans="1:26" s="24" customFormat="1" hidden="1" outlineLevel="2" x14ac:dyDescent="0.3">
      <c r="A59" s="27"/>
      <c r="B59" s="11" t="str">
        <f>CONCATENATE("          ", "6371", " - ", "COMPUTER SOFTWARE MAINTENANCE")</f>
        <v xml:space="preserve">          6371 - COMPUTER SOFTWARE MAINTENANCE</v>
      </c>
      <c r="C59" s="11"/>
      <c r="D59" s="7"/>
      <c r="E59" s="2"/>
      <c r="F59" s="6">
        <f t="shared" si="38"/>
        <v>0</v>
      </c>
      <c r="G59" s="2"/>
      <c r="H59" s="7"/>
      <c r="I59" s="2"/>
      <c r="J59" s="6">
        <f t="shared" si="39"/>
        <v>0</v>
      </c>
      <c r="K59" s="2"/>
      <c r="L59" s="7">
        <f t="shared" si="40"/>
        <v>0</v>
      </c>
      <c r="M59" s="2"/>
      <c r="N59" s="6">
        <f t="shared" si="41"/>
        <v>0</v>
      </c>
      <c r="O59" s="11"/>
      <c r="P59" s="7"/>
      <c r="Q59" s="2"/>
      <c r="R59" s="6">
        <f t="shared" si="42"/>
        <v>0</v>
      </c>
      <c r="S59" s="2"/>
      <c r="T59" s="7">
        <v>100</v>
      </c>
      <c r="U59" s="2"/>
      <c r="V59" s="6">
        <f t="shared" si="43"/>
        <v>4.54277018125653E-4</v>
      </c>
      <c r="W59" s="2"/>
      <c r="X59" s="7">
        <f t="shared" si="44"/>
        <v>-100</v>
      </c>
      <c r="Y59" s="2"/>
      <c r="Z59" s="6">
        <f t="shared" si="45"/>
        <v>-1</v>
      </c>
    </row>
    <row r="60" spans="1:26" s="24" customFormat="1" hidden="1" outlineLevel="2" x14ac:dyDescent="0.3">
      <c r="A60" s="27"/>
      <c r="B60" s="11" t="str">
        <f>CONCATENATE("          ", "6373", " - ", "MAINTENANCE CONTRACTS")</f>
        <v xml:space="preserve">          6373 - MAINTENANCE CONTRACTS</v>
      </c>
      <c r="C60" s="11"/>
      <c r="D60" s="7">
        <v>1433.04</v>
      </c>
      <c r="E60" s="2"/>
      <c r="F60" s="6">
        <f t="shared" si="38"/>
        <v>6.1549456807918658E-2</v>
      </c>
      <c r="G60" s="2"/>
      <c r="H60" s="7">
        <v>5600</v>
      </c>
      <c r="I60" s="2"/>
      <c r="J60" s="6">
        <f t="shared" si="39"/>
        <v>6.2921348314606745E-2</v>
      </c>
      <c r="K60" s="2"/>
      <c r="L60" s="7">
        <f t="shared" si="40"/>
        <v>-4166.96</v>
      </c>
      <c r="M60" s="2"/>
      <c r="N60" s="6">
        <f t="shared" si="41"/>
        <v>-0.74409999999999998</v>
      </c>
      <c r="O60" s="11"/>
      <c r="P60" s="7">
        <v>6764.18</v>
      </c>
      <c r="Q60" s="2"/>
      <c r="R60" s="6">
        <f t="shared" si="42"/>
        <v>5.5334585772665493E-2</v>
      </c>
      <c r="S60" s="2"/>
      <c r="T60" s="7">
        <v>33600</v>
      </c>
      <c r="U60" s="2"/>
      <c r="V60" s="6">
        <f t="shared" si="43"/>
        <v>0.15263707809021942</v>
      </c>
      <c r="W60" s="2"/>
      <c r="X60" s="7">
        <f t="shared" si="44"/>
        <v>-26835.82</v>
      </c>
      <c r="Y60" s="2"/>
      <c r="Z60" s="6">
        <f t="shared" si="45"/>
        <v>-0.79868511904761907</v>
      </c>
    </row>
    <row r="61" spans="1:26" s="24" customFormat="1" hidden="1" outlineLevel="2" x14ac:dyDescent="0.3">
      <c r="A61" s="27"/>
      <c r="B61" s="11" t="str">
        <f>CONCATENATE("          ", "6375", " - ", "OUTSIDE REPAIRS &amp; MAINTENANCE")</f>
        <v xml:space="preserve">          6375 - OUTSIDE REPAIRS &amp; MAINTENANCE</v>
      </c>
      <c r="C61" s="11"/>
      <c r="D61" s="7">
        <v>6077.04</v>
      </c>
      <c r="E61" s="2"/>
      <c r="F61" s="6">
        <f t="shared" si="38"/>
        <v>0.26101051680343468</v>
      </c>
      <c r="G61" s="2"/>
      <c r="H61" s="7"/>
      <c r="I61" s="2"/>
      <c r="J61" s="6">
        <f t="shared" si="39"/>
        <v>0</v>
      </c>
      <c r="K61" s="2"/>
      <c r="L61" s="7">
        <f t="shared" si="40"/>
        <v>6077.04</v>
      </c>
      <c r="M61" s="2"/>
      <c r="N61" s="6">
        <f t="shared" si="41"/>
        <v>0</v>
      </c>
      <c r="O61" s="11"/>
      <c r="P61" s="7">
        <v>13974.65</v>
      </c>
      <c r="Q61" s="2"/>
      <c r="R61" s="6">
        <f t="shared" si="42"/>
        <v>0.11432006083043027</v>
      </c>
      <c r="S61" s="2"/>
      <c r="T61" s="7"/>
      <c r="U61" s="2"/>
      <c r="V61" s="6">
        <f t="shared" si="43"/>
        <v>0</v>
      </c>
      <c r="W61" s="2"/>
      <c r="X61" s="7">
        <f t="shared" si="44"/>
        <v>13974.65</v>
      </c>
      <c r="Y61" s="2"/>
      <c r="Z61" s="6">
        <f t="shared" si="45"/>
        <v>0</v>
      </c>
    </row>
    <row r="62" spans="1:26" s="28" customFormat="1" outlineLevel="1" collapsed="1" x14ac:dyDescent="0.3">
      <c r="A62" s="29"/>
      <c r="B62" s="14" t="str">
        <f>CONCATENATE("     ","Royalty &amp; Commissions                             ")</f>
        <v xml:space="preserve">     Royalty &amp; Commissions                             </v>
      </c>
      <c r="C62" s="14"/>
      <c r="D62" s="1">
        <f>SUM(OSRRefD22_8x_0)</f>
        <v>254.44</v>
      </c>
      <c r="E62" s="1"/>
      <c r="F62" s="5">
        <f t="shared" ref="F62:F68" si="46">IF(D$12=0,0,D62/D$12)</f>
        <v>1.0928267033862854E-2</v>
      </c>
      <c r="G62" s="1"/>
      <c r="H62" s="1">
        <f>SUM(OSRRefH22_8x_0)</f>
        <v>10000</v>
      </c>
      <c r="I62" s="1"/>
      <c r="J62" s="5">
        <f t="shared" ref="J62:J68" si="47">IF(H$12=0,0,H62/H$12)</f>
        <v>0.11235955056179775</v>
      </c>
      <c r="K62" s="1"/>
      <c r="L62" s="1">
        <f t="shared" ref="L62:L68" si="48">+D62-H62</f>
        <v>-9745.56</v>
      </c>
      <c r="M62" s="1"/>
      <c r="N62" s="5">
        <f t="shared" ref="N62:N68" si="49">IF(H62=0,0,L62/H62)</f>
        <v>-0.97455599999999998</v>
      </c>
      <c r="O62" s="14"/>
      <c r="P62" s="1">
        <f>SUM(OSRRefP22_8x_0)</f>
        <v>5868.58</v>
      </c>
      <c r="Q62" s="1"/>
      <c r="R62" s="5">
        <f t="shared" ref="R62:R68" si="50">IF(P$12=0,0,P62/P$12)</f>
        <v>4.8008101998135655E-2</v>
      </c>
      <c r="S62" s="1"/>
      <c r="T62" s="1">
        <f>SUM(OSRRefT22_8x_0)</f>
        <v>28700</v>
      </c>
      <c r="U62" s="1"/>
      <c r="V62" s="5">
        <f t="shared" ref="V62:V68" si="51">IF(T$12=0,0,T62/T$12)</f>
        <v>0.13037750420206243</v>
      </c>
      <c r="W62" s="1"/>
      <c r="X62" s="1">
        <f t="shared" ref="X62:X68" si="52">+P62-T62</f>
        <v>-22831.42</v>
      </c>
      <c r="Y62" s="1"/>
      <c r="Z62" s="5">
        <f t="shared" ref="Z62:Z68" si="53">IF(T62=0,0,X62/T62)</f>
        <v>-0.79551986062717761</v>
      </c>
    </row>
    <row r="63" spans="1:26" s="24" customFormat="1" hidden="1" outlineLevel="2" x14ac:dyDescent="0.3">
      <c r="A63" s="27"/>
      <c r="B63" s="11" t="str">
        <f>CONCATENATE("          ", "6259", " - ", "ROYALTY &amp; COMMISSIONS")</f>
        <v xml:space="preserve">          6259 - ROYALTY &amp; COMMISSIONS</v>
      </c>
      <c r="C63" s="11"/>
      <c r="D63" s="7">
        <v>254.44</v>
      </c>
      <c r="E63" s="2"/>
      <c r="F63" s="6">
        <f t="shared" si="46"/>
        <v>1.0928267033862854E-2</v>
      </c>
      <c r="G63" s="2"/>
      <c r="H63" s="7">
        <v>10000</v>
      </c>
      <c r="I63" s="2"/>
      <c r="J63" s="6">
        <f t="shared" si="47"/>
        <v>0.11235955056179775</v>
      </c>
      <c r="K63" s="2"/>
      <c r="L63" s="7">
        <f t="shared" si="48"/>
        <v>-9745.56</v>
      </c>
      <c r="M63" s="2"/>
      <c r="N63" s="6">
        <f t="shared" si="49"/>
        <v>-0.97455599999999998</v>
      </c>
      <c r="O63" s="11"/>
      <c r="P63" s="7">
        <v>5868.58</v>
      </c>
      <c r="Q63" s="2"/>
      <c r="R63" s="6">
        <f t="shared" si="50"/>
        <v>4.8008101998135655E-2</v>
      </c>
      <c r="S63" s="2"/>
      <c r="T63" s="7">
        <v>28700</v>
      </c>
      <c r="U63" s="2"/>
      <c r="V63" s="6">
        <f t="shared" si="51"/>
        <v>0.13037750420206243</v>
      </c>
      <c r="W63" s="2"/>
      <c r="X63" s="7">
        <f t="shared" si="52"/>
        <v>-22831.42</v>
      </c>
      <c r="Y63" s="2"/>
      <c r="Z63" s="6">
        <f t="shared" si="53"/>
        <v>-0.79551986062717761</v>
      </c>
    </row>
    <row r="64" spans="1:26" s="28" customFormat="1" outlineLevel="1" collapsed="1" x14ac:dyDescent="0.3">
      <c r="A64" s="29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SUM(OSRRefD22_9x_0)</f>
        <v>795.68000000000006</v>
      </c>
      <c r="E64" s="1"/>
      <c r="F64" s="5">
        <f t="shared" si="46"/>
        <v>3.4174671881402281E-2</v>
      </c>
      <c r="G64" s="1"/>
      <c r="H64" s="1">
        <f>SUM(OSRRefH22_9x_0)</f>
        <v>11750</v>
      </c>
      <c r="I64" s="1"/>
      <c r="J64" s="5">
        <f t="shared" si="47"/>
        <v>0.13202247191011235</v>
      </c>
      <c r="K64" s="1"/>
      <c r="L64" s="1">
        <f t="shared" si="48"/>
        <v>-10954.32</v>
      </c>
      <c r="M64" s="1"/>
      <c r="N64" s="5">
        <f t="shared" si="49"/>
        <v>-0.93228255319148934</v>
      </c>
      <c r="O64" s="14"/>
      <c r="P64" s="1">
        <f>SUM(OSRRefP22_9x_0)</f>
        <v>22617.919999999998</v>
      </c>
      <c r="Q64" s="1"/>
      <c r="R64" s="5">
        <f t="shared" si="50"/>
        <v>0.18502660104244509</v>
      </c>
      <c r="S64" s="1"/>
      <c r="T64" s="1">
        <f>SUM(OSRRefT22_9x_0)</f>
        <v>33550</v>
      </c>
      <c r="U64" s="1"/>
      <c r="V64" s="5">
        <f t="shared" si="51"/>
        <v>0.15240993958115659</v>
      </c>
      <c r="W64" s="1"/>
      <c r="X64" s="1">
        <f t="shared" si="52"/>
        <v>-10932.080000000002</v>
      </c>
      <c r="Y64" s="1"/>
      <c r="Z64" s="5">
        <f t="shared" si="53"/>
        <v>-0.32584441132637859</v>
      </c>
    </row>
    <row r="65" spans="1:26" s="24" customFormat="1" hidden="1" outlineLevel="2" x14ac:dyDescent="0.3">
      <c r="A65" s="27"/>
      <c r="B65" s="11" t="str">
        <f>CONCATENATE("          ", "6241", " - ", "OFFICE EXPENSE")</f>
        <v xml:space="preserve">          6241 - OFFICE EXPENSE</v>
      </c>
      <c r="C65" s="11"/>
      <c r="D65" s="7">
        <v>9.4600000000000009</v>
      </c>
      <c r="E65" s="2"/>
      <c r="F65" s="6">
        <f t="shared" si="46"/>
        <v>4.0630956665753263E-4</v>
      </c>
      <c r="G65" s="2"/>
      <c r="H65" s="7"/>
      <c r="I65" s="2"/>
      <c r="J65" s="6">
        <f t="shared" si="47"/>
        <v>0</v>
      </c>
      <c r="K65" s="2"/>
      <c r="L65" s="7">
        <f t="shared" si="48"/>
        <v>9.4600000000000009</v>
      </c>
      <c r="M65" s="2"/>
      <c r="N65" s="6">
        <f t="shared" si="49"/>
        <v>0</v>
      </c>
      <c r="O65" s="11"/>
      <c r="P65" s="7">
        <v>4862.3100000000004</v>
      </c>
      <c r="Q65" s="2"/>
      <c r="R65" s="6">
        <f t="shared" si="50"/>
        <v>3.977627883177106E-2</v>
      </c>
      <c r="S65" s="2"/>
      <c r="T65" s="7"/>
      <c r="U65" s="2"/>
      <c r="V65" s="6">
        <f t="shared" si="51"/>
        <v>0</v>
      </c>
      <c r="W65" s="2"/>
      <c r="X65" s="7">
        <f t="shared" si="52"/>
        <v>4862.3100000000004</v>
      </c>
      <c r="Y65" s="2"/>
      <c r="Z65" s="6">
        <f t="shared" si="53"/>
        <v>0</v>
      </c>
    </row>
    <row r="66" spans="1:26" s="24" customFormat="1" hidden="1" outlineLevel="2" x14ac:dyDescent="0.3">
      <c r="A66" s="27"/>
      <c r="B66" s="11" t="str">
        <f>CONCATENATE("          ", "6243", " - ", "PAPER SUPPLIES")</f>
        <v xml:space="preserve">          6243 - PAPER SUPPLIES</v>
      </c>
      <c r="C66" s="11"/>
      <c r="D66" s="7">
        <v>78.34</v>
      </c>
      <c r="E66" s="2"/>
      <c r="F66" s="6">
        <f t="shared" si="46"/>
        <v>3.3647242549631191E-3</v>
      </c>
      <c r="G66" s="2"/>
      <c r="H66" s="7">
        <v>7500</v>
      </c>
      <c r="I66" s="2"/>
      <c r="J66" s="6">
        <f t="shared" si="47"/>
        <v>8.4269662921348312E-2</v>
      </c>
      <c r="K66" s="2"/>
      <c r="L66" s="7">
        <f t="shared" si="48"/>
        <v>-7421.66</v>
      </c>
      <c r="M66" s="2"/>
      <c r="N66" s="6">
        <f t="shared" si="49"/>
        <v>-0.98955466666666669</v>
      </c>
      <c r="O66" s="11"/>
      <c r="P66" s="7">
        <v>4549.24</v>
      </c>
      <c r="Q66" s="2"/>
      <c r="R66" s="6">
        <f t="shared" si="50"/>
        <v>3.7215199917867467E-2</v>
      </c>
      <c r="S66" s="2"/>
      <c r="T66" s="7">
        <v>26400</v>
      </c>
      <c r="U66" s="2"/>
      <c r="V66" s="6">
        <f t="shared" si="51"/>
        <v>0.11992913278517239</v>
      </c>
      <c r="W66" s="2"/>
      <c r="X66" s="7">
        <f t="shared" si="52"/>
        <v>-21850.760000000002</v>
      </c>
      <c r="Y66" s="2"/>
      <c r="Z66" s="6">
        <f t="shared" si="53"/>
        <v>-0.82768030303030315</v>
      </c>
    </row>
    <row r="67" spans="1:26" s="24" customFormat="1" hidden="1" outlineLevel="2" x14ac:dyDescent="0.3">
      <c r="A67" s="27"/>
      <c r="B67" s="11" t="str">
        <f>CONCATENATE("          ", "6245", " - ", "PRINTING")</f>
        <v xml:space="preserve">          6245 - PRINTING</v>
      </c>
      <c r="C67" s="11"/>
      <c r="D67" s="7">
        <v>76.62</v>
      </c>
      <c r="E67" s="2"/>
      <c r="F67" s="6">
        <f t="shared" si="46"/>
        <v>3.2908497882981132E-3</v>
      </c>
      <c r="G67" s="2"/>
      <c r="H67" s="7">
        <v>3750</v>
      </c>
      <c r="I67" s="2"/>
      <c r="J67" s="6">
        <f t="shared" si="47"/>
        <v>4.2134831460674156E-2</v>
      </c>
      <c r="K67" s="2"/>
      <c r="L67" s="7">
        <f t="shared" si="48"/>
        <v>-3673.38</v>
      </c>
      <c r="M67" s="2"/>
      <c r="N67" s="6">
        <f t="shared" si="49"/>
        <v>-0.97956799999999999</v>
      </c>
      <c r="O67" s="11"/>
      <c r="P67" s="7">
        <v>1158.55</v>
      </c>
      <c r="Q67" s="2"/>
      <c r="R67" s="6">
        <f t="shared" si="50"/>
        <v>9.4775544629092674E-3</v>
      </c>
      <c r="S67" s="2"/>
      <c r="T67" s="7">
        <v>5895</v>
      </c>
      <c r="U67" s="2"/>
      <c r="V67" s="6">
        <f t="shared" si="51"/>
        <v>2.6779630218507246E-2</v>
      </c>
      <c r="W67" s="2"/>
      <c r="X67" s="7">
        <f t="shared" si="52"/>
        <v>-4736.45</v>
      </c>
      <c r="Y67" s="2"/>
      <c r="Z67" s="6">
        <f t="shared" si="53"/>
        <v>-0.80346904156064458</v>
      </c>
    </row>
    <row r="68" spans="1:26" s="24" customFormat="1" hidden="1" outlineLevel="2" x14ac:dyDescent="0.3">
      <c r="A68" s="27"/>
      <c r="B68" s="11" t="str">
        <f>CONCATENATE("          ", "6247", " - ", "STORE SUPPLIES")</f>
        <v xml:space="preserve">          6247 - STORE SUPPLIES</v>
      </c>
      <c r="C68" s="11"/>
      <c r="D68" s="7">
        <v>631.26</v>
      </c>
      <c r="E68" s="2"/>
      <c r="F68" s="6">
        <f t="shared" si="46"/>
        <v>2.7112788271483512E-2</v>
      </c>
      <c r="G68" s="2"/>
      <c r="H68" s="7">
        <v>500</v>
      </c>
      <c r="I68" s="2"/>
      <c r="J68" s="6">
        <f t="shared" si="47"/>
        <v>5.6179775280898875E-3</v>
      </c>
      <c r="K68" s="2"/>
      <c r="L68" s="7">
        <f t="shared" si="48"/>
        <v>131.26</v>
      </c>
      <c r="M68" s="2"/>
      <c r="N68" s="6">
        <f t="shared" si="49"/>
        <v>0.26251999999999998</v>
      </c>
      <c r="O68" s="11"/>
      <c r="P68" s="7">
        <v>12047.82</v>
      </c>
      <c r="Q68" s="2"/>
      <c r="R68" s="6">
        <f t="shared" si="50"/>
        <v>9.8557567829897302E-2</v>
      </c>
      <c r="S68" s="2"/>
      <c r="T68" s="7">
        <v>1255</v>
      </c>
      <c r="U68" s="2"/>
      <c r="V68" s="6">
        <f t="shared" si="51"/>
        <v>5.7011765774769452E-3</v>
      </c>
      <c r="W68" s="2"/>
      <c r="X68" s="7">
        <f t="shared" si="52"/>
        <v>10792.82</v>
      </c>
      <c r="Y68" s="2"/>
      <c r="Z68" s="6">
        <f t="shared" si="53"/>
        <v>8.5998565737051784</v>
      </c>
    </row>
    <row r="69" spans="1:26" s="28" customFormat="1" outlineLevel="1" collapsed="1" x14ac:dyDescent="0.3">
      <c r="A69" s="29"/>
      <c r="B69" s="14" t="str">
        <f>CONCATENATE("     ","Telephone/Data Lines                              ")</f>
        <v xml:space="preserve">     Telephone/Data Lines                              </v>
      </c>
      <c r="C69" s="14"/>
      <c r="D69" s="1">
        <f>SUM(OSRRefD22_10x_0)</f>
        <v>111.3</v>
      </c>
      <c r="E69" s="1"/>
      <c r="F69" s="5">
        <f t="shared" ref="F69:F70" si="54">IF(D$12=0,0,D69/D$12)</f>
        <v>4.7803651975669532E-3</v>
      </c>
      <c r="G69" s="1"/>
      <c r="H69" s="1">
        <f>SUM(OSRRefH22_10x_0)</f>
        <v>175</v>
      </c>
      <c r="I69" s="1"/>
      <c r="J69" s="5">
        <f t="shared" ref="J69:J70" si="55">IF(H$12=0,0,H69/H$12)</f>
        <v>1.9662921348314608E-3</v>
      </c>
      <c r="K69" s="1"/>
      <c r="L69" s="1">
        <f t="shared" ref="L69:L70" si="56">+D69-H69</f>
        <v>-63.7</v>
      </c>
      <c r="M69" s="1"/>
      <c r="N69" s="5">
        <f t="shared" ref="N69:N70" si="57">IF(H69=0,0,L69/H69)</f>
        <v>-0.36399999999999999</v>
      </c>
      <c r="O69" s="14"/>
      <c r="P69" s="1">
        <f>SUM(OSRRefP22_10x_0)</f>
        <v>740.85</v>
      </c>
      <c r="Q69" s="1"/>
      <c r="R69" s="5">
        <f t="shared" ref="R69:R70" si="58">IF(P$12=0,0,P69/P$12)</f>
        <v>6.0605465658334391E-3</v>
      </c>
      <c r="S69" s="1"/>
      <c r="T69" s="1">
        <f>SUM(OSRRefT22_10x_0)</f>
        <v>1225</v>
      </c>
      <c r="U69" s="1"/>
      <c r="V69" s="5">
        <f t="shared" ref="V69:V70" si="59">IF(T$12=0,0,T69/T$12)</f>
        <v>5.5648934720392493E-3</v>
      </c>
      <c r="W69" s="1"/>
      <c r="X69" s="1">
        <f t="shared" ref="X69:X70" si="60">+P69-T69</f>
        <v>-484.15</v>
      </c>
      <c r="Y69" s="1"/>
      <c r="Z69" s="5">
        <f t="shared" ref="Z69:Z70" si="61">IF(T69=0,0,X69/T69)</f>
        <v>-0.39522448979591834</v>
      </c>
    </row>
    <row r="70" spans="1:26" s="24" customFormat="1" hidden="1" outlineLevel="2" x14ac:dyDescent="0.3">
      <c r="A70" s="27"/>
      <c r="B70" s="11" t="str">
        <f>CONCATENATE("          ", "6309", " - ", "TELEPHONE")</f>
        <v xml:space="preserve">          6309 - TELEPHONE</v>
      </c>
      <c r="C70" s="11"/>
      <c r="D70" s="7">
        <v>111.3</v>
      </c>
      <c r="E70" s="2"/>
      <c r="F70" s="6">
        <f t="shared" si="54"/>
        <v>4.7803651975669532E-3</v>
      </c>
      <c r="G70" s="2"/>
      <c r="H70" s="7">
        <v>175</v>
      </c>
      <c r="I70" s="2"/>
      <c r="J70" s="6">
        <f t="shared" si="55"/>
        <v>1.9662921348314608E-3</v>
      </c>
      <c r="K70" s="2"/>
      <c r="L70" s="7">
        <f t="shared" si="56"/>
        <v>-63.7</v>
      </c>
      <c r="M70" s="2"/>
      <c r="N70" s="6">
        <f t="shared" si="57"/>
        <v>-0.36399999999999999</v>
      </c>
      <c r="O70" s="11"/>
      <c r="P70" s="7">
        <v>740.85</v>
      </c>
      <c r="Q70" s="2"/>
      <c r="R70" s="6">
        <f t="shared" si="58"/>
        <v>6.0605465658334391E-3</v>
      </c>
      <c r="S70" s="2"/>
      <c r="T70" s="7">
        <v>1225</v>
      </c>
      <c r="U70" s="2"/>
      <c r="V70" s="6">
        <f t="shared" si="59"/>
        <v>5.5648934720392493E-3</v>
      </c>
      <c r="W70" s="2"/>
      <c r="X70" s="7">
        <f t="shared" si="60"/>
        <v>-484.15</v>
      </c>
      <c r="Y70" s="2"/>
      <c r="Z70" s="6">
        <f t="shared" si="61"/>
        <v>-0.39522448979591834</v>
      </c>
    </row>
    <row r="71" spans="1:26" s="55" customFormat="1" x14ac:dyDescent="0.3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collapsed="1" x14ac:dyDescent="0.3">
      <c r="A72" s="10"/>
      <c r="B72" s="25" t="s">
        <v>293</v>
      </c>
      <c r="C72" s="10"/>
      <c r="D72" s="4">
        <f>SUM(OSRRefD25x_0)</f>
        <v>236.44</v>
      </c>
      <c r="E72" s="4"/>
      <c r="F72" s="12">
        <f t="shared" ref="F72:F73" si="62">IF(D$12=0,0,D72/D$12)</f>
        <v>1.0155162150159304E-2</v>
      </c>
      <c r="G72" s="4"/>
      <c r="H72" s="4">
        <f>SUM(OSRRefH25x_0)</f>
        <v>0</v>
      </c>
      <c r="I72" s="4"/>
      <c r="J72" s="12">
        <f t="shared" ref="J72:J73" si="63">IF(H$12=0,0,H72/H$12)</f>
        <v>0</v>
      </c>
      <c r="K72" s="4"/>
      <c r="L72" s="4">
        <f t="shared" ref="L72:L73" si="64">+D72-H72</f>
        <v>236.44</v>
      </c>
      <c r="M72" s="4"/>
      <c r="N72" s="12">
        <f t="shared" ref="N72:N73" si="65">IF(H72=0,0,L72/H72)</f>
        <v>0</v>
      </c>
      <c r="O72" s="10"/>
      <c r="P72" s="4">
        <f>SUM(OSRRefP25x_0)</f>
        <v>15135.44</v>
      </c>
      <c r="Q72" s="4"/>
      <c r="R72" s="12">
        <f t="shared" ref="R72:R73" si="66">IF(P$12=0,0,P72/P$12)</f>
        <v>0.12381593968330711</v>
      </c>
      <c r="S72" s="4"/>
      <c r="T72" s="4">
        <f>SUM(OSRRefT25x_0)</f>
        <v>33910</v>
      </c>
      <c r="U72" s="4"/>
      <c r="V72" s="12">
        <f t="shared" ref="V72:V73" si="67">IF(T$12=0,0,T72/T$12)</f>
        <v>0.15404533684640895</v>
      </c>
      <c r="W72" s="4"/>
      <c r="X72" s="4">
        <f t="shared" ref="X72:X73" si="68">+P72-T72</f>
        <v>-18774.559999999998</v>
      </c>
      <c r="Y72" s="4"/>
      <c r="Z72" s="12">
        <f t="shared" ref="Z72:Z73" si="69">IF(T72=0,0,X72/T72)</f>
        <v>-0.55365850781480386</v>
      </c>
    </row>
    <row r="73" spans="1:26" s="24" customFormat="1" hidden="1" outlineLevel="1" x14ac:dyDescent="0.3">
      <c r="A73" s="44"/>
      <c r="B73" s="11" t="str">
        <f>CONCATENATE("          ", "9150", " - ", "MISC. INCOME")</f>
        <v xml:space="preserve">          9150 - MISC. INCOME</v>
      </c>
      <c r="C73" s="11"/>
      <c r="D73" s="2">
        <f>--236.44</f>
        <v>236.44</v>
      </c>
      <c r="E73" s="2"/>
      <c r="F73" s="19">
        <f t="shared" si="62"/>
        <v>1.0155162150159304E-2</v>
      </c>
      <c r="G73" s="2"/>
      <c r="H73" s="2"/>
      <c r="I73" s="2"/>
      <c r="J73" s="19">
        <f t="shared" si="63"/>
        <v>0</v>
      </c>
      <c r="K73" s="2"/>
      <c r="L73" s="2">
        <f t="shared" si="64"/>
        <v>236.44</v>
      </c>
      <c r="M73" s="2"/>
      <c r="N73" s="19">
        <f t="shared" si="65"/>
        <v>0</v>
      </c>
      <c r="O73" s="11"/>
      <c r="P73" s="2">
        <f>--15135.44</f>
        <v>15135.44</v>
      </c>
      <c r="Q73" s="2"/>
      <c r="R73" s="19">
        <f t="shared" si="66"/>
        <v>0.12381593968330711</v>
      </c>
      <c r="S73" s="2"/>
      <c r="T73" s="2">
        <v>33910</v>
      </c>
      <c r="U73" s="2"/>
      <c r="V73" s="19">
        <f t="shared" si="67"/>
        <v>0.15404533684640895</v>
      </c>
      <c r="W73" s="2"/>
      <c r="X73" s="2">
        <f t="shared" si="68"/>
        <v>-18774.559999999998</v>
      </c>
      <c r="Y73" s="2"/>
      <c r="Z73" s="19">
        <f t="shared" si="69"/>
        <v>-0.55365850781480386</v>
      </c>
    </row>
    <row r="74" spans="1:26" x14ac:dyDescent="0.3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3">
      <c r="A75" s="10"/>
      <c r="B75" s="26" t="s">
        <v>277</v>
      </c>
      <c r="C75" s="26"/>
      <c r="D75" s="21">
        <f>+D23-D25+D72</f>
        <v>4467.3600000000015</v>
      </c>
      <c r="E75" s="13"/>
      <c r="F75" s="22">
        <f>IF(D$12=0,0,D75/D$12)</f>
        <v>0.19187432407010524</v>
      </c>
      <c r="G75" s="13"/>
      <c r="H75" s="21">
        <f>+H23-H25+H72</f>
        <v>67700.698120480753</v>
      </c>
      <c r="I75" s="13"/>
      <c r="J75" s="22">
        <f>IF(H$12=0,0,H75/H$12)</f>
        <v>0.76068200135371633</v>
      </c>
      <c r="K75" s="15"/>
      <c r="L75" s="21">
        <f>+D75-H75</f>
        <v>-63233.338120480752</v>
      </c>
      <c r="M75" s="15"/>
      <c r="N75" s="22">
        <f>IF(H75=0,0,L75/H75)</f>
        <v>-0.93401308813610984</v>
      </c>
      <c r="O75" s="25"/>
      <c r="P75" s="21">
        <f>+P23-P25+P72</f>
        <v>-24681.02999999997</v>
      </c>
      <c r="Q75" s="13"/>
      <c r="R75" s="22">
        <f>IF(P$12=0,0,P75/P$12)</f>
        <v>-0.20190393683975419</v>
      </c>
      <c r="S75" s="13"/>
      <c r="T75" s="21">
        <f>+T23-T25+T72</f>
        <v>39335.316060288285</v>
      </c>
      <c r="U75" s="13"/>
      <c r="V75" s="22">
        <f>IF(T$12=0,0,T75/T$12)</f>
        <v>0.17869130086897872</v>
      </c>
      <c r="W75" s="15"/>
      <c r="X75" s="21">
        <f>+P75-T75</f>
        <v>-64016.346060288255</v>
      </c>
      <c r="Y75" s="15"/>
      <c r="Z75" s="22">
        <f>IF(T75=0,0,X75/T75)</f>
        <v>-1.6274521847535672</v>
      </c>
    </row>
    <row r="76" spans="1:26" x14ac:dyDescent="0.3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3">
      <c r="A77" s="52"/>
      <c r="B77" s="10" t="s">
        <v>128</v>
      </c>
      <c r="C77" s="10"/>
      <c r="D77" s="4">
        <v>4269.04</v>
      </c>
      <c r="E77" s="4"/>
      <c r="F77" s="12">
        <f>IF(D$12=0,0,D77/D$12)</f>
        <v>0.18335642626254472</v>
      </c>
      <c r="G77" s="4"/>
      <c r="H77" s="4">
        <v>10604</v>
      </c>
      <c r="I77" s="4"/>
      <c r="J77" s="12">
        <f>IF(H$12=0,0,H77/H$12)</f>
        <v>0.11914606741573033</v>
      </c>
      <c r="K77" s="4"/>
      <c r="L77" s="4">
        <f>+D77-H77</f>
        <v>-6334.96</v>
      </c>
      <c r="M77" s="4"/>
      <c r="N77" s="12">
        <f>IF(H77=0,0,L77/H77)</f>
        <v>-0.59741229724632217</v>
      </c>
      <c r="O77" s="10"/>
      <c r="P77" s="4">
        <v>16180.78</v>
      </c>
      <c r="Q77" s="4"/>
      <c r="R77" s="12">
        <f>IF(P$12=0,0,P77/P$12)</f>
        <v>0.13236737620504338</v>
      </c>
      <c r="S77" s="4"/>
      <c r="T77" s="4">
        <v>27582</v>
      </c>
      <c r="U77" s="4"/>
      <c r="V77" s="12">
        <f>IF(T$12=0,0,T77/T$12)</f>
        <v>0.12529868713941761</v>
      </c>
      <c r="W77" s="4"/>
      <c r="X77" s="4">
        <f>+P77-T77</f>
        <v>-11401.22</v>
      </c>
      <c r="Y77" s="4"/>
      <c r="Z77" s="12">
        <f>IF(T77=0,0,X77/T77)</f>
        <v>-0.41335726198245232</v>
      </c>
    </row>
    <row r="78" spans="1:26" x14ac:dyDescent="0.3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" thickBot="1" x14ac:dyDescent="0.35">
      <c r="A79" s="10"/>
      <c r="B79" s="26" t="s">
        <v>126</v>
      </c>
      <c r="C79" s="26"/>
      <c r="D79" s="32">
        <f>+D75-D77</f>
        <v>198.32000000000153</v>
      </c>
      <c r="E79" s="13"/>
      <c r="F79" s="31">
        <f>IF(D$12=0,0,D79/D$12)</f>
        <v>8.5178978075605167E-3</v>
      </c>
      <c r="G79" s="13"/>
      <c r="H79" s="32">
        <f>+H75-H77</f>
        <v>57096.698120480753</v>
      </c>
      <c r="I79" s="13"/>
      <c r="J79" s="31">
        <f>IF(H$12=0,0,H79/H$12)</f>
        <v>0.64153593393798602</v>
      </c>
      <c r="K79" s="15"/>
      <c r="L79" s="32">
        <f>D79-H79</f>
        <v>-56898.378120480753</v>
      </c>
      <c r="M79" s="15"/>
      <c r="N79" s="31">
        <f>IF(H79=0,0,L79/H79)</f>
        <v>-0.99652659424225332</v>
      </c>
      <c r="O79" s="25"/>
      <c r="P79" s="32">
        <f>+P75-P77</f>
        <v>-40861.809999999969</v>
      </c>
      <c r="Q79" s="13"/>
      <c r="R79" s="31">
        <f>IF(P$12=0,0,P79/P$12)</f>
        <v>-0.33427131304479757</v>
      </c>
      <c r="S79" s="13"/>
      <c r="T79" s="32">
        <f>+T75-T77</f>
        <v>11753.316060288285</v>
      </c>
      <c r="U79" s="13"/>
      <c r="V79" s="31">
        <f>IF(T$12=0,0,T79/T$12)</f>
        <v>5.3392613729561104E-2</v>
      </c>
      <c r="W79" s="15"/>
      <c r="X79" s="32">
        <f>P79-T79</f>
        <v>-52615.126060288254</v>
      </c>
      <c r="Y79" s="15"/>
      <c r="Z79" s="31">
        <f>IF(T79=0,0,X79/T79)</f>
        <v>-4.4766196867675925</v>
      </c>
    </row>
    <row r="80" spans="1:26" ht="15" thickTop="1" x14ac:dyDescent="0.3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3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" thickBot="1" x14ac:dyDescent="0.35">
      <c r="A82" s="10"/>
      <c r="B82" s="26" t="s">
        <v>294</v>
      </c>
      <c r="C82" s="26"/>
      <c r="D82" s="34">
        <f>SUM(D79:D81)</f>
        <v>198.32000000000153</v>
      </c>
      <c r="E82" s="13"/>
      <c r="F82" s="35">
        <f>IF(D$12=0,0,D82/D$12)</f>
        <v>8.5178978075605167E-3</v>
      </c>
      <c r="G82" s="13"/>
      <c r="H82" s="34">
        <f>SUM(H79:H81)</f>
        <v>57096.698120480753</v>
      </c>
      <c r="I82" s="13"/>
      <c r="J82" s="35">
        <f>IF(H$12=0,0,H82/H$12)</f>
        <v>0.64153593393798602</v>
      </c>
      <c r="K82" s="15"/>
      <c r="L82" s="34">
        <f>+D82-H82</f>
        <v>-56898.378120480753</v>
      </c>
      <c r="M82" s="15"/>
      <c r="N82" s="35">
        <f>IF(H82=0,0,L82/H82)</f>
        <v>-0.99652659424225332</v>
      </c>
      <c r="O82" s="25"/>
      <c r="P82" s="34">
        <f>SUM(P79:P81)</f>
        <v>-40861.809999999969</v>
      </c>
      <c r="Q82" s="13"/>
      <c r="R82" s="35">
        <f>IF(P$12=0,0,P82/P$12)</f>
        <v>-0.33427131304479757</v>
      </c>
      <c r="S82" s="13"/>
      <c r="T82" s="34">
        <f>SUM(T79:T81)</f>
        <v>11753.316060288285</v>
      </c>
      <c r="U82" s="13"/>
      <c r="V82" s="35">
        <f>IF(T$12=0,0,T82/T$12)</f>
        <v>5.3392613729561104E-2</v>
      </c>
      <c r="W82" s="15"/>
      <c r="X82" s="34">
        <f>+P82-T82</f>
        <v>-52615.126060288254</v>
      </c>
      <c r="Y82" s="15"/>
      <c r="Z82" s="35">
        <f>IF(T82=0,0,X82/T82)</f>
        <v>-4.4766196867675925</v>
      </c>
    </row>
    <row r="83" spans="1:26" ht="15" thickTop="1" x14ac:dyDescent="0.3">
      <c r="A83" s="9"/>
      <c r="C83" s="9"/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6" x14ac:dyDescent="0.3">
      <c r="A84" s="9"/>
      <c r="B84" s="53">
        <v>44604.019995405091</v>
      </c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6" x14ac:dyDescent="0.3">
      <c r="A85" s="9"/>
      <c r="B85" s="63" t="s">
        <v>56</v>
      </c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3">
      <c r="A86" s="9"/>
      <c r="B86" s="58"/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3"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C000"/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219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155777.30000000002</v>
      </c>
      <c r="E12" s="4"/>
      <c r="F12" s="12"/>
      <c r="G12" s="4"/>
      <c r="H12" s="4">
        <f>SUM(OSRRefH13x_0)</f>
        <v>182857</v>
      </c>
      <c r="I12" s="4"/>
      <c r="J12" s="12"/>
      <c r="K12" s="4"/>
      <c r="L12" s="4">
        <f t="shared" ref="L12:L17" si="0">+D12-H12</f>
        <v>-27079.699999999983</v>
      </c>
      <c r="M12" s="4"/>
      <c r="N12" s="12">
        <f t="shared" ref="N12:N17" si="1">IF(H12=0,0,L12/H12)</f>
        <v>-0.14809222507205075</v>
      </c>
      <c r="O12" s="10"/>
      <c r="P12" s="4">
        <f>SUM(OSRRefP13x_0)</f>
        <v>1122427.1000000001</v>
      </c>
      <c r="Q12" s="4"/>
      <c r="R12" s="12"/>
      <c r="S12" s="4"/>
      <c r="T12" s="4">
        <f>SUM(OSRRefT13x_0)</f>
        <v>1370395</v>
      </c>
      <c r="U12" s="4"/>
      <c r="V12" s="12"/>
      <c r="W12" s="4"/>
      <c r="X12" s="4">
        <f t="shared" ref="X12:X17" si="2">+P12-T12</f>
        <v>-247967.89999999991</v>
      </c>
      <c r="Y12" s="4"/>
      <c r="Z12" s="12">
        <f t="shared" ref="Z12:Z17" si="3">IF(T12=0,0,X12/T12)</f>
        <v>-0.18094629650575192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--88232.58</f>
        <v>88232.58</v>
      </c>
      <c r="E13" s="2"/>
      <c r="F13" s="19"/>
      <c r="G13" s="2"/>
      <c r="H13" s="2">
        <v>166280</v>
      </c>
      <c r="I13" s="2"/>
      <c r="J13" s="19"/>
      <c r="K13" s="2"/>
      <c r="L13" s="2">
        <f t="shared" si="0"/>
        <v>-78047.42</v>
      </c>
      <c r="M13" s="2"/>
      <c r="N13" s="19">
        <f t="shared" si="1"/>
        <v>-0.46937346644214578</v>
      </c>
      <c r="O13" s="11"/>
      <c r="P13" s="2">
        <f>--906659.33</f>
        <v>906659.33</v>
      </c>
      <c r="Q13" s="2"/>
      <c r="R13" s="19"/>
      <c r="S13" s="2"/>
      <c r="T13" s="2">
        <v>1287481</v>
      </c>
      <c r="U13" s="2"/>
      <c r="V13" s="19"/>
      <c r="W13" s="2"/>
      <c r="X13" s="2">
        <f t="shared" si="2"/>
        <v>-380821.67000000004</v>
      </c>
      <c r="Y13" s="2"/>
      <c r="Z13" s="19">
        <f t="shared" si="3"/>
        <v>-0.29578818638877002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--75295.63</f>
        <v>75295.63</v>
      </c>
      <c r="E14" s="2"/>
      <c r="F14" s="19"/>
      <c r="G14" s="2"/>
      <c r="H14" s="2">
        <v>16577</v>
      </c>
      <c r="I14" s="2"/>
      <c r="J14" s="19"/>
      <c r="K14" s="2"/>
      <c r="L14" s="2">
        <f t="shared" si="0"/>
        <v>58718.630000000005</v>
      </c>
      <c r="M14" s="2"/>
      <c r="N14" s="19">
        <f t="shared" si="1"/>
        <v>3.5421746998853836</v>
      </c>
      <c r="O14" s="11"/>
      <c r="P14" s="2">
        <f>--415683.21</f>
        <v>415683.21</v>
      </c>
      <c r="Q14" s="2"/>
      <c r="R14" s="19"/>
      <c r="S14" s="2"/>
      <c r="T14" s="2">
        <v>82914</v>
      </c>
      <c r="U14" s="2"/>
      <c r="V14" s="19"/>
      <c r="W14" s="2"/>
      <c r="X14" s="2">
        <f t="shared" si="2"/>
        <v>332769.21000000002</v>
      </c>
      <c r="Y14" s="2"/>
      <c r="Z14" s="19">
        <f t="shared" si="3"/>
        <v>4.0134260800347352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-7468.03</f>
        <v>-7468.03</v>
      </c>
      <c r="E15" s="2"/>
      <c r="F15" s="19"/>
      <c r="G15" s="2"/>
      <c r="H15" s="2"/>
      <c r="I15" s="2"/>
      <c r="J15" s="19"/>
      <c r="K15" s="2"/>
      <c r="L15" s="2">
        <f t="shared" si="0"/>
        <v>-7468.03</v>
      </c>
      <c r="M15" s="2"/>
      <c r="N15" s="19">
        <f t="shared" si="1"/>
        <v>0</v>
      </c>
      <c r="O15" s="11"/>
      <c r="P15" s="2">
        <f>-198450.44</f>
        <v>-198450.44</v>
      </c>
      <c r="Q15" s="2"/>
      <c r="R15" s="19"/>
      <c r="S15" s="2"/>
      <c r="T15" s="2"/>
      <c r="U15" s="2"/>
      <c r="V15" s="19"/>
      <c r="W15" s="2"/>
      <c r="X15" s="2">
        <f t="shared" si="2"/>
        <v>-198450.44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"4300", " - ", "NON-TAX RETURNS")</f>
        <v xml:space="preserve">          4300 - NON-TAX RETURNS</v>
      </c>
      <c r="C16" s="11"/>
      <c r="D16" s="2">
        <f>-19.99</f>
        <v>-19.989999999999998</v>
      </c>
      <c r="E16" s="2"/>
      <c r="F16" s="19"/>
      <c r="G16" s="2"/>
      <c r="H16" s="2"/>
      <c r="I16" s="2"/>
      <c r="J16" s="19"/>
      <c r="K16" s="2"/>
      <c r="L16" s="2">
        <f t="shared" si="0"/>
        <v>-19.989999999999998</v>
      </c>
      <c r="M16" s="2"/>
      <c r="N16" s="19">
        <f t="shared" si="1"/>
        <v>0</v>
      </c>
      <c r="O16" s="11"/>
      <c r="P16" s="2">
        <f>-724.78</f>
        <v>-724.78</v>
      </c>
      <c r="Q16" s="2"/>
      <c r="R16" s="19"/>
      <c r="S16" s="2"/>
      <c r="T16" s="2"/>
      <c r="U16" s="2"/>
      <c r="V16" s="19"/>
      <c r="W16" s="2"/>
      <c r="X16" s="2">
        <f t="shared" si="2"/>
        <v>-724.78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"4500", " - ", "SALES DISCOUNT")</f>
        <v xml:space="preserve">          4500 - SALES DISCOUNT</v>
      </c>
      <c r="C17" s="11"/>
      <c r="D17" s="2">
        <f>-262.89</f>
        <v>-262.89</v>
      </c>
      <c r="E17" s="2"/>
      <c r="F17" s="19"/>
      <c r="G17" s="2"/>
      <c r="H17" s="2"/>
      <c r="I17" s="2"/>
      <c r="J17" s="19"/>
      <c r="K17" s="2"/>
      <c r="L17" s="2">
        <f t="shared" si="0"/>
        <v>-262.89</v>
      </c>
      <c r="M17" s="2"/>
      <c r="N17" s="19">
        <f t="shared" si="1"/>
        <v>0</v>
      </c>
      <c r="O17" s="11"/>
      <c r="P17" s="2">
        <f>-740.22</f>
        <v>-740.22</v>
      </c>
      <c r="Q17" s="2"/>
      <c r="R17" s="19"/>
      <c r="S17" s="2"/>
      <c r="T17" s="2"/>
      <c r="U17" s="2"/>
      <c r="V17" s="19"/>
      <c r="W17" s="2"/>
      <c r="X17" s="2">
        <f t="shared" si="2"/>
        <v>-740.22</v>
      </c>
      <c r="Y17" s="2"/>
      <c r="Z17" s="19">
        <f t="shared" si="3"/>
        <v>0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131815.53</v>
      </c>
      <c r="E19" s="4"/>
      <c r="F19" s="12">
        <f t="shared" ref="F19:F29" si="4">IF(D$12=0,0,D19/D$12)</f>
        <v>0.84617932137737639</v>
      </c>
      <c r="G19" s="4"/>
      <c r="H19" s="4">
        <f>SUM(OSRRefH16x_0)</f>
        <v>163656</v>
      </c>
      <c r="I19" s="4"/>
      <c r="J19" s="12">
        <f t="shared" ref="J19:J29" si="5">IF(H$12=0,0,H19/H$12)</f>
        <v>0.8949944492144134</v>
      </c>
      <c r="K19" s="4"/>
      <c r="L19" s="4">
        <f t="shared" ref="L19:L29" si="6">+D19-H19</f>
        <v>-31840.47</v>
      </c>
      <c r="M19" s="4"/>
      <c r="N19" s="12">
        <f t="shared" ref="N19:N29" si="7">IF(H19=0,0,L19/H19)</f>
        <v>-0.19455730312362518</v>
      </c>
      <c r="O19" s="10"/>
      <c r="P19" s="4">
        <f>SUM(OSRRefP16x_0)</f>
        <v>954307.76</v>
      </c>
      <c r="Q19" s="4"/>
      <c r="R19" s="12">
        <f t="shared" ref="R19:R29" si="8">IF(P$12=0,0,P19/P$12)</f>
        <v>0.8502180319773105</v>
      </c>
      <c r="S19" s="4"/>
      <c r="T19" s="4">
        <f>SUM(OSRRefT16x_0)</f>
        <v>1226501</v>
      </c>
      <c r="U19" s="4"/>
      <c r="V19" s="12">
        <f t="shared" ref="V19:V29" si="9">IF(T$12=0,0,T19/T$12)</f>
        <v>0.89499815746554823</v>
      </c>
      <c r="W19" s="4"/>
      <c r="X19" s="4">
        <f t="shared" ref="X19:X29" si="10">+P19-T19</f>
        <v>-272193.24</v>
      </c>
      <c r="Y19" s="4"/>
      <c r="Z19" s="12">
        <f t="shared" ref="Z19:Z29" si="11">IF(T19=0,0,X19/T19)</f>
        <v>-0.22192663520046049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2">
        <v>98491.18</v>
      </c>
      <c r="E20" s="2"/>
      <c r="F20" s="19">
        <f t="shared" si="4"/>
        <v>0.63225630435243119</v>
      </c>
      <c r="G20" s="2"/>
      <c r="H20" s="2">
        <v>163656</v>
      </c>
      <c r="I20" s="2"/>
      <c r="J20" s="19">
        <f t="shared" si="5"/>
        <v>0.8949944492144134</v>
      </c>
      <c r="K20" s="2"/>
      <c r="L20" s="2">
        <f t="shared" si="6"/>
        <v>-65164.820000000007</v>
      </c>
      <c r="M20" s="2"/>
      <c r="N20" s="19">
        <f t="shared" si="7"/>
        <v>-0.39818167375470503</v>
      </c>
      <c r="O20" s="11"/>
      <c r="P20" s="2">
        <v>1025729.36</v>
      </c>
      <c r="Q20" s="2"/>
      <c r="R20" s="19">
        <f t="shared" si="8"/>
        <v>0.91384942505397448</v>
      </c>
      <c r="S20" s="2"/>
      <c r="T20" s="2">
        <v>1226501</v>
      </c>
      <c r="U20" s="2"/>
      <c r="V20" s="19">
        <f t="shared" si="9"/>
        <v>0.89499815746554823</v>
      </c>
      <c r="W20" s="2"/>
      <c r="X20" s="2">
        <f t="shared" si="10"/>
        <v>-200771.64</v>
      </c>
      <c r="Y20" s="2"/>
      <c r="Z20" s="19">
        <f t="shared" si="11"/>
        <v>-0.16369464028158151</v>
      </c>
    </row>
    <row r="21" spans="1:26" s="24" customFormat="1" hidden="1" outlineLevel="1" x14ac:dyDescent="0.3">
      <c r="A21" s="44"/>
      <c r="B21" s="11" t="str">
        <f>CONCATENATE("          ", "5081", " - ", "PURCHASES @ COST-ELECTRONICS")</f>
        <v xml:space="preserve">          5081 - PURCHASES @ COST-ELECTRONICS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"5082", " - ", "PURCHASES @ COST-COMPUTER HARD")</f>
        <v xml:space="preserve">          5082 - PURCHASES @ COST-COMPUTER HARD</v>
      </c>
      <c r="C22" s="11"/>
      <c r="D22" s="2">
        <v>-6938.92</v>
      </c>
      <c r="E22" s="2"/>
      <c r="F22" s="19">
        <f t="shared" si="4"/>
        <v>-4.4543845605232592E-2</v>
      </c>
      <c r="G22" s="2"/>
      <c r="H22" s="2"/>
      <c r="I22" s="2"/>
      <c r="J22" s="19">
        <f t="shared" si="5"/>
        <v>0</v>
      </c>
      <c r="K22" s="2"/>
      <c r="L22" s="2">
        <f t="shared" si="6"/>
        <v>-6938.92</v>
      </c>
      <c r="M22" s="2"/>
      <c r="N22" s="19">
        <f t="shared" si="7"/>
        <v>0</v>
      </c>
      <c r="O22" s="11"/>
      <c r="P22" s="2">
        <v>-93808.4</v>
      </c>
      <c r="Q22" s="2"/>
      <c r="R22" s="19">
        <f t="shared" si="8"/>
        <v>-8.3576385495325256E-2</v>
      </c>
      <c r="S22" s="2"/>
      <c r="T22" s="2"/>
      <c r="U22" s="2"/>
      <c r="V22" s="19">
        <f t="shared" si="9"/>
        <v>0</v>
      </c>
      <c r="W22" s="2"/>
      <c r="X22" s="2">
        <f t="shared" si="10"/>
        <v>-93808.4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"5083", " - ", "PURCHASES @ COST-COMPUTER EQUI")</f>
        <v xml:space="preserve">          5083 - PURCHASES @ COST-COMPUTER EQUI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"5085", " - ", "PURCHASES @ COST-SOFTWARE")</f>
        <v xml:space="preserve">          5085 - PURCHASES @ COST-SOFTWARE</v>
      </c>
      <c r="C24" s="11"/>
      <c r="D24" s="2"/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"5086", " - ", "PURCHASES @ COST-COMPUTER SUPP")</f>
        <v xml:space="preserve">          5086 - PURCHASES @ COST-COMPUTER SUPP</v>
      </c>
      <c r="C25" s="11"/>
      <c r="D25" s="2"/>
      <c r="E25" s="2"/>
      <c r="F25" s="19">
        <f t="shared" si="4"/>
        <v>0</v>
      </c>
      <c r="G25" s="2"/>
      <c r="H25" s="2"/>
      <c r="I25" s="2"/>
      <c r="J25" s="19">
        <f t="shared" si="5"/>
        <v>0</v>
      </c>
      <c r="K25" s="2"/>
      <c r="L25" s="2">
        <f t="shared" si="6"/>
        <v>0</v>
      </c>
      <c r="M25" s="2"/>
      <c r="N25" s="19">
        <f t="shared" si="7"/>
        <v>0</v>
      </c>
      <c r="O25" s="11"/>
      <c r="P25" s="2">
        <v>0</v>
      </c>
      <c r="Q25" s="2"/>
      <c r="R25" s="19">
        <f t="shared" si="8"/>
        <v>0</v>
      </c>
      <c r="S25" s="2"/>
      <c r="T25" s="2"/>
      <c r="U25" s="2"/>
      <c r="V25" s="19">
        <f t="shared" si="9"/>
        <v>0</v>
      </c>
      <c r="W25" s="2"/>
      <c r="X25" s="2">
        <f t="shared" si="10"/>
        <v>0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"5200", " - ", "PURCHASES OFFSET")</f>
        <v xml:space="preserve">          5200 - PURCHASES OFFSET</v>
      </c>
      <c r="C26" s="11"/>
      <c r="D26" s="2">
        <v>-98515.33</v>
      </c>
      <c r="E26" s="2"/>
      <c r="F26" s="19">
        <f t="shared" si="4"/>
        <v>-0.63241133335858302</v>
      </c>
      <c r="G26" s="2"/>
      <c r="H26" s="2"/>
      <c r="I26" s="2"/>
      <c r="J26" s="19">
        <f t="shared" si="5"/>
        <v>0</v>
      </c>
      <c r="K26" s="2"/>
      <c r="L26" s="2">
        <f t="shared" si="6"/>
        <v>-98515.33</v>
      </c>
      <c r="M26" s="2"/>
      <c r="N26" s="19">
        <f t="shared" si="7"/>
        <v>0</v>
      </c>
      <c r="O26" s="11"/>
      <c r="P26" s="2">
        <v>-1025797.7</v>
      </c>
      <c r="Q26" s="2"/>
      <c r="R26" s="19">
        <f t="shared" si="8"/>
        <v>-0.91391031096807973</v>
      </c>
      <c r="S26" s="2"/>
      <c r="T26" s="2"/>
      <c r="U26" s="2"/>
      <c r="V26" s="19">
        <f t="shared" si="9"/>
        <v>0</v>
      </c>
      <c r="W26" s="2"/>
      <c r="X26" s="2">
        <f t="shared" si="10"/>
        <v>-1025797.7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"5300", " - ", "COG$ OFFSET")</f>
        <v xml:space="preserve">          5300 - COG$ OFFSET</v>
      </c>
      <c r="C27" s="11"/>
      <c r="D27" s="2">
        <v>138754.45000000001</v>
      </c>
      <c r="E27" s="2"/>
      <c r="F27" s="19">
        <f t="shared" si="4"/>
        <v>0.89072316698260912</v>
      </c>
      <c r="G27" s="2"/>
      <c r="H27" s="2"/>
      <c r="I27" s="2"/>
      <c r="J27" s="19">
        <f t="shared" si="5"/>
        <v>0</v>
      </c>
      <c r="K27" s="2"/>
      <c r="L27" s="2">
        <f t="shared" si="6"/>
        <v>138754.45000000001</v>
      </c>
      <c r="M27" s="2"/>
      <c r="N27" s="19">
        <f t="shared" si="7"/>
        <v>0</v>
      </c>
      <c r="O27" s="11"/>
      <c r="P27" s="2">
        <v>1048116.16</v>
      </c>
      <c r="Q27" s="2"/>
      <c r="R27" s="19">
        <f t="shared" si="8"/>
        <v>0.93379441747263581</v>
      </c>
      <c r="S27" s="2"/>
      <c r="T27" s="2"/>
      <c r="U27" s="2"/>
      <c r="V27" s="19">
        <f t="shared" si="9"/>
        <v>0</v>
      </c>
      <c r="W27" s="2"/>
      <c r="X27" s="2">
        <f t="shared" si="10"/>
        <v>1048116.16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"5500", " - ", "FREIGHT-IN")</f>
        <v xml:space="preserve">          5500 - FREIGHT-IN</v>
      </c>
      <c r="C28" s="11"/>
      <c r="D28" s="2">
        <v>24.15</v>
      </c>
      <c r="E28" s="2"/>
      <c r="F28" s="19">
        <f t="shared" si="4"/>
        <v>1.5502900615173068E-4</v>
      </c>
      <c r="G28" s="2"/>
      <c r="H28" s="2"/>
      <c r="I28" s="2"/>
      <c r="J28" s="19">
        <f t="shared" si="5"/>
        <v>0</v>
      </c>
      <c r="K28" s="2"/>
      <c r="L28" s="2">
        <f t="shared" si="6"/>
        <v>24.15</v>
      </c>
      <c r="M28" s="2"/>
      <c r="N28" s="19">
        <f t="shared" si="7"/>
        <v>0</v>
      </c>
      <c r="O28" s="11"/>
      <c r="P28" s="2">
        <v>68.34</v>
      </c>
      <c r="Q28" s="2"/>
      <c r="R28" s="19">
        <f t="shared" si="8"/>
        <v>6.0885914105245678E-5</v>
      </c>
      <c r="S28" s="2"/>
      <c r="T28" s="2"/>
      <c r="U28" s="2"/>
      <c r="V28" s="19">
        <f t="shared" si="9"/>
        <v>0</v>
      </c>
      <c r="W28" s="2"/>
      <c r="X28" s="2">
        <f t="shared" si="10"/>
        <v>68.34</v>
      </c>
      <c r="Y28" s="2"/>
      <c r="Z28" s="19">
        <f t="shared" si="11"/>
        <v>0</v>
      </c>
    </row>
    <row r="29" spans="1:26" s="24" customFormat="1" hidden="1" outlineLevel="1" x14ac:dyDescent="0.3">
      <c r="A29" s="44"/>
      <c r="B29" s="11" t="str">
        <f>CONCATENATE("          ", "5583", " - ", "FREIGHT-IN-COMPUTER EQUIPMENT")</f>
        <v xml:space="preserve">          5583 - FREIGHT-IN-COMPUTER EQUIPMENT</v>
      </c>
      <c r="C29" s="11"/>
      <c r="D29" s="2"/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3">
      <c r="A31" s="10"/>
      <c r="B31" s="26" t="s">
        <v>108</v>
      </c>
      <c r="C31" s="26"/>
      <c r="D31" s="21">
        <f>D12-D19</f>
        <v>23961.770000000019</v>
      </c>
      <c r="E31" s="13"/>
      <c r="F31" s="22">
        <f>IF(D$12=0,0,D31/D$12)</f>
        <v>0.15382067862262355</v>
      </c>
      <c r="G31" s="13"/>
      <c r="H31" s="21">
        <f>H12-H19</f>
        <v>19201</v>
      </c>
      <c r="I31" s="13"/>
      <c r="J31" s="22">
        <f>IF(H$12=0,0,H31/H$12)</f>
        <v>0.10500555078558656</v>
      </c>
      <c r="K31" s="15"/>
      <c r="L31" s="21">
        <f>+D31-H31</f>
        <v>4760.7700000000186</v>
      </c>
      <c r="M31" s="15"/>
      <c r="N31" s="22">
        <f>IF(H31=0,0,L31/H31)</f>
        <v>0.24794385709077749</v>
      </c>
      <c r="O31" s="25"/>
      <c r="P31" s="21">
        <f>P12-P19</f>
        <v>168119.34000000008</v>
      </c>
      <c r="Q31" s="13"/>
      <c r="R31" s="22">
        <f>IF(P$12=0,0,P31/P$12)</f>
        <v>0.14978196802268948</v>
      </c>
      <c r="S31" s="13"/>
      <c r="T31" s="21">
        <f>T12-T19</f>
        <v>143894</v>
      </c>
      <c r="U31" s="13"/>
      <c r="V31" s="22">
        <f>IF(T$12=0,0,T31/T$12)</f>
        <v>0.10500184253445174</v>
      </c>
      <c r="W31" s="15"/>
      <c r="X31" s="21">
        <f>+P31-T31</f>
        <v>24225.340000000084</v>
      </c>
      <c r="Y31" s="15"/>
      <c r="Z31" s="22">
        <f>IF(T31=0,0,X31/T31)</f>
        <v>0.16835545609962949</v>
      </c>
    </row>
    <row r="32" spans="1:26" x14ac:dyDescent="0.3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3">
      <c r="A33" s="10"/>
      <c r="B33" s="25" t="s">
        <v>295</v>
      </c>
      <c r="C33" s="10"/>
      <c r="D33" s="20">
        <f>SUM(OSRRefD22x_0)</f>
        <v>15488.850000000002</v>
      </c>
      <c r="E33" s="20"/>
      <c r="F33" s="33">
        <f t="shared" ref="F33:F44" si="12">IF(D$12=0,0,D33/D$12)</f>
        <v>9.9429441901997276E-2</v>
      </c>
      <c r="G33" s="20"/>
      <c r="H33" s="20">
        <f>SUM(OSRRefH22x_0)</f>
        <v>19194.0356750875</v>
      </c>
      <c r="I33" s="20"/>
      <c r="J33" s="33">
        <f t="shared" ref="J33:J44" si="13">IF(H$12=0,0,H33/H$12)</f>
        <v>0.10496746460396648</v>
      </c>
      <c r="K33" s="4"/>
      <c r="L33" s="20">
        <f t="shared" ref="L33:L44" si="14">+D33-H33</f>
        <v>-3705.1856750874977</v>
      </c>
      <c r="M33" s="4"/>
      <c r="N33" s="33">
        <f t="shared" ref="N33:N44" si="15">IF(H33=0,0,L33/H33)</f>
        <v>-0.19303838639294427</v>
      </c>
      <c r="O33" s="10"/>
      <c r="P33" s="20">
        <f>SUM(OSRRefP22x_0)</f>
        <v>99897.400000000023</v>
      </c>
      <c r="Q33" s="20"/>
      <c r="R33" s="33">
        <f t="shared" ref="R33:R44" si="16">IF(P$12=0,0,P33/P$12)</f>
        <v>8.9001236695015667E-2</v>
      </c>
      <c r="S33" s="20"/>
      <c r="T33" s="20">
        <f>SUM(OSRRefT22x_0)</f>
        <v>113549.85465674249</v>
      </c>
      <c r="U33" s="20"/>
      <c r="V33" s="33">
        <f t="shared" ref="V33:V44" si="17">IF(T$12=0,0,T33/T$12)</f>
        <v>8.285921552307364E-2</v>
      </c>
      <c r="W33" s="4"/>
      <c r="X33" s="20">
        <f t="shared" ref="X33:X44" si="18">+P33-T33</f>
        <v>-13652.45465674247</v>
      </c>
      <c r="Y33" s="4"/>
      <c r="Z33" s="33">
        <f t="shared" ref="Z33:Z44" si="19">IF(T33=0,0,X33/T33)</f>
        <v>-0.12023313194026883</v>
      </c>
    </row>
    <row r="34" spans="1:26" s="28" customFormat="1" outlineLevel="1" collapsed="1" x14ac:dyDescent="0.3">
      <c r="A34" s="29"/>
      <c r="B34" s="14" t="str">
        <f>CONCATENATE("     ","*Benefits                                         ")</f>
        <v xml:space="preserve">     *Benefits                                         </v>
      </c>
      <c r="C34" s="14"/>
      <c r="D34" s="1">
        <f>SUM(OSRRefD22_0x_0)</f>
        <v>3506.3399999999997</v>
      </c>
      <c r="E34" s="1"/>
      <c r="F34" s="5">
        <f t="shared" si="12"/>
        <v>2.2508671032300594E-2</v>
      </c>
      <c r="G34" s="1"/>
      <c r="H34" s="1">
        <f>SUM(OSRRefH22_0x_0)</f>
        <v>3115.8774875875001</v>
      </c>
      <c r="I34" s="1"/>
      <c r="J34" s="5">
        <f t="shared" si="13"/>
        <v>1.7039968322719392E-2</v>
      </c>
      <c r="K34" s="1"/>
      <c r="L34" s="1">
        <f t="shared" si="14"/>
        <v>390.46251241249956</v>
      </c>
      <c r="M34" s="1"/>
      <c r="N34" s="5">
        <f t="shared" si="15"/>
        <v>0.12531382057476823</v>
      </c>
      <c r="O34" s="14"/>
      <c r="P34" s="1">
        <f>SUM(OSRRefP22_0x_0)</f>
        <v>14809.55</v>
      </c>
      <c r="Q34" s="1"/>
      <c r="R34" s="5">
        <f t="shared" si="16"/>
        <v>1.3194219918603175E-2</v>
      </c>
      <c r="S34" s="1"/>
      <c r="T34" s="1">
        <f>SUM(OSRRefT22_0x_0)</f>
        <v>20241.617894242499</v>
      </c>
      <c r="U34" s="1"/>
      <c r="V34" s="5">
        <f t="shared" si="17"/>
        <v>1.4770644882856768E-2</v>
      </c>
      <c r="W34" s="1"/>
      <c r="X34" s="1">
        <f t="shared" si="18"/>
        <v>-5432.0678942425002</v>
      </c>
      <c r="Y34" s="1"/>
      <c r="Z34" s="5">
        <f t="shared" si="19"/>
        <v>-0.26836134950396384</v>
      </c>
    </row>
    <row r="35" spans="1:26" s="24" customFormat="1" hidden="1" outlineLevel="2" x14ac:dyDescent="0.3">
      <c r="A35" s="27"/>
      <c r="B35" s="11" t="str">
        <f>CONCATENATE("          ", "6111", " - ", "F.I.C.A.")</f>
        <v xml:space="preserve">          6111 - F.I.C.A.</v>
      </c>
      <c r="C35" s="11"/>
      <c r="D35" s="7">
        <v>460.4</v>
      </c>
      <c r="E35" s="2"/>
      <c r="F35" s="6">
        <f t="shared" si="12"/>
        <v>2.9555012187269898E-3</v>
      </c>
      <c r="G35" s="2"/>
      <c r="H35" s="7">
        <v>571.71439946249996</v>
      </c>
      <c r="I35" s="2"/>
      <c r="J35" s="6">
        <f t="shared" si="13"/>
        <v>3.1265655646898942E-3</v>
      </c>
      <c r="K35" s="2"/>
      <c r="L35" s="7">
        <f t="shared" si="14"/>
        <v>-111.31439946249998</v>
      </c>
      <c r="M35" s="2"/>
      <c r="N35" s="6">
        <f t="shared" si="15"/>
        <v>-0.19470280889750677</v>
      </c>
      <c r="O35" s="11"/>
      <c r="P35" s="7">
        <v>3764.31</v>
      </c>
      <c r="Q35" s="2"/>
      <c r="R35" s="6">
        <f t="shared" si="16"/>
        <v>3.353723373215062E-3</v>
      </c>
      <c r="S35" s="2"/>
      <c r="T35" s="7">
        <v>4323.3985566675001</v>
      </c>
      <c r="U35" s="2"/>
      <c r="V35" s="6">
        <f t="shared" si="17"/>
        <v>3.1548557581336039E-3</v>
      </c>
      <c r="W35" s="2"/>
      <c r="X35" s="7">
        <f t="shared" si="18"/>
        <v>-559.08855666750014</v>
      </c>
      <c r="Y35" s="2"/>
      <c r="Z35" s="6">
        <f t="shared" si="19"/>
        <v>-0.12931691338178378</v>
      </c>
    </row>
    <row r="36" spans="1:26" s="24" customFormat="1" hidden="1" outlineLevel="2" x14ac:dyDescent="0.3">
      <c r="A36" s="27"/>
      <c r="B36" s="11" t="str">
        <f>CONCATENATE("          ", "6112", " - ", "COMPENSATION INSURANCE")</f>
        <v xml:space="preserve">          6112 - COMPENSATION INSURANCE</v>
      </c>
      <c r="C36" s="11"/>
      <c r="D36" s="7">
        <v>122.11</v>
      </c>
      <c r="E36" s="2"/>
      <c r="F36" s="6">
        <f t="shared" si="12"/>
        <v>7.8387544269928919E-4</v>
      </c>
      <c r="G36" s="2"/>
      <c r="H36" s="7">
        <v>227.47422750000001</v>
      </c>
      <c r="I36" s="2"/>
      <c r="J36" s="6">
        <f t="shared" si="13"/>
        <v>1.2440006535161356E-3</v>
      </c>
      <c r="K36" s="2"/>
      <c r="L36" s="7">
        <f t="shared" si="14"/>
        <v>-105.36422750000001</v>
      </c>
      <c r="M36" s="2"/>
      <c r="N36" s="6">
        <f t="shared" si="15"/>
        <v>-0.46319193456762042</v>
      </c>
      <c r="O36" s="11"/>
      <c r="P36" s="7">
        <v>999.03</v>
      </c>
      <c r="Q36" s="2"/>
      <c r="R36" s="6">
        <f t="shared" si="16"/>
        <v>8.9006225883177617E-4</v>
      </c>
      <c r="S36" s="2"/>
      <c r="T36" s="7">
        <v>1279.2636441</v>
      </c>
      <c r="U36" s="2"/>
      <c r="V36" s="6">
        <f t="shared" si="17"/>
        <v>9.3349993549305126E-4</v>
      </c>
      <c r="W36" s="2"/>
      <c r="X36" s="7">
        <f t="shared" si="18"/>
        <v>-280.23364409999999</v>
      </c>
      <c r="Y36" s="2"/>
      <c r="Z36" s="6">
        <f t="shared" si="19"/>
        <v>-0.21905855403023877</v>
      </c>
    </row>
    <row r="37" spans="1:26" s="24" customFormat="1" hidden="1" outlineLevel="2" x14ac:dyDescent="0.3">
      <c r="A37" s="27"/>
      <c r="B37" s="11" t="str">
        <f>CONCATENATE("          ", "6113", " - ", "GROUP INSURANCE")</f>
        <v xml:space="preserve">          6113 - GROUP INSURANCE</v>
      </c>
      <c r="C37" s="11"/>
      <c r="D37" s="7">
        <v>1539.12</v>
      </c>
      <c r="E37" s="2"/>
      <c r="F37" s="6">
        <f t="shared" si="12"/>
        <v>9.8802585485818512E-3</v>
      </c>
      <c r="G37" s="2"/>
      <c r="H37" s="7">
        <v>1096.5</v>
      </c>
      <c r="I37" s="2"/>
      <c r="J37" s="6">
        <f t="shared" si="13"/>
        <v>5.9964890597570776E-3</v>
      </c>
      <c r="K37" s="2"/>
      <c r="L37" s="7">
        <f t="shared" si="14"/>
        <v>442.61999999999989</v>
      </c>
      <c r="M37" s="2"/>
      <c r="N37" s="6">
        <f t="shared" si="15"/>
        <v>0.40366621067031455</v>
      </c>
      <c r="O37" s="11"/>
      <c r="P37" s="7">
        <v>5289.53</v>
      </c>
      <c r="Q37" s="2"/>
      <c r="R37" s="6">
        <f t="shared" si="16"/>
        <v>4.7125822247164198E-3</v>
      </c>
      <c r="S37" s="2"/>
      <c r="T37" s="7">
        <v>7063.5</v>
      </c>
      <c r="U37" s="2"/>
      <c r="V37" s="6">
        <f t="shared" si="17"/>
        <v>5.1543533068932681E-3</v>
      </c>
      <c r="W37" s="2"/>
      <c r="X37" s="7">
        <f t="shared" si="18"/>
        <v>-1773.9700000000003</v>
      </c>
      <c r="Y37" s="2"/>
      <c r="Z37" s="6">
        <f t="shared" si="19"/>
        <v>-0.25114603242018835</v>
      </c>
    </row>
    <row r="38" spans="1:26" s="24" customFormat="1" hidden="1" outlineLevel="2" x14ac:dyDescent="0.3">
      <c r="A38" s="27"/>
      <c r="B38" s="11" t="str">
        <f>CONCATENATE("          ", "6114", " - ", "STATE UNEMPLOYMENT INSURANCE")</f>
        <v xml:space="preserve">          6114 - STATE UNEMPLOYMENT INSURANCE</v>
      </c>
      <c r="C38" s="11"/>
      <c r="D38" s="7">
        <v>21.45</v>
      </c>
      <c r="E38" s="2"/>
      <c r="F38" s="6">
        <f t="shared" si="12"/>
        <v>1.3769657068135087E-4</v>
      </c>
      <c r="G38" s="2"/>
      <c r="H38" s="7">
        <v>30.621530624999998</v>
      </c>
      <c r="I38" s="2"/>
      <c r="J38" s="6">
        <f t="shared" si="13"/>
        <v>1.6746162643486439E-4</v>
      </c>
      <c r="K38" s="2"/>
      <c r="L38" s="7">
        <f t="shared" si="14"/>
        <v>-9.171530624999999</v>
      </c>
      <c r="M38" s="2"/>
      <c r="N38" s="6">
        <f t="shared" si="15"/>
        <v>-0.299512481505813</v>
      </c>
      <c r="O38" s="11"/>
      <c r="P38" s="7">
        <v>175.51</v>
      </c>
      <c r="Q38" s="2"/>
      <c r="R38" s="6">
        <f t="shared" si="16"/>
        <v>1.5636650255504341E-4</v>
      </c>
      <c r="S38" s="2"/>
      <c r="T38" s="7">
        <v>172.208567475</v>
      </c>
      <c r="U38" s="2"/>
      <c r="V38" s="6">
        <f t="shared" si="17"/>
        <v>1.2566345285483383E-4</v>
      </c>
      <c r="W38" s="2"/>
      <c r="X38" s="7">
        <f t="shared" si="18"/>
        <v>3.3014325249999956</v>
      </c>
      <c r="Y38" s="2"/>
      <c r="Z38" s="6">
        <f t="shared" si="19"/>
        <v>1.9171128204636356E-2</v>
      </c>
    </row>
    <row r="39" spans="1:26" s="24" customFormat="1" hidden="1" outlineLevel="2" x14ac:dyDescent="0.3">
      <c r="A39" s="27"/>
      <c r="B39" s="11" t="str">
        <f>CONCATENATE("          ", "6115", " - ", "P.E.R.S.")</f>
        <v xml:space="preserve">          6115 - P.E.R.S.</v>
      </c>
      <c r="C39" s="11"/>
      <c r="D39" s="7">
        <v>103.22</v>
      </c>
      <c r="E39" s="2"/>
      <c r="F39" s="6">
        <f t="shared" si="12"/>
        <v>6.6261258861207621E-4</v>
      </c>
      <c r="G39" s="2"/>
      <c r="H39" s="7">
        <v>252.70766750000001</v>
      </c>
      <c r="I39" s="2"/>
      <c r="J39" s="6">
        <f t="shared" si="13"/>
        <v>1.3819961363251065E-3</v>
      </c>
      <c r="K39" s="2"/>
      <c r="L39" s="7">
        <f t="shared" si="14"/>
        <v>-149.48766750000001</v>
      </c>
      <c r="M39" s="2"/>
      <c r="N39" s="6">
        <f t="shared" si="15"/>
        <v>-0.59154385372972507</v>
      </c>
      <c r="O39" s="11"/>
      <c r="P39" s="7">
        <v>790.94</v>
      </c>
      <c r="Q39" s="2"/>
      <c r="R39" s="6">
        <f t="shared" si="16"/>
        <v>7.046693722915279E-4</v>
      </c>
      <c r="S39" s="2"/>
      <c r="T39" s="7">
        <v>1566.7875385</v>
      </c>
      <c r="U39" s="2"/>
      <c r="V39" s="6">
        <f t="shared" si="17"/>
        <v>1.1433108983176384E-3</v>
      </c>
      <c r="W39" s="2"/>
      <c r="X39" s="7">
        <f t="shared" si="18"/>
        <v>-775.84753849999993</v>
      </c>
      <c r="Y39" s="2"/>
      <c r="Z39" s="6">
        <f t="shared" si="19"/>
        <v>-0.49518362856190151</v>
      </c>
    </row>
    <row r="40" spans="1:26" s="24" customFormat="1" hidden="1" outlineLevel="2" x14ac:dyDescent="0.3">
      <c r="A40" s="27"/>
      <c r="B40" s="11" t="str">
        <f>CONCATENATE("          ", "6116", " - ", "EDUCATIONAL BENEFITS")</f>
        <v xml:space="preserve">          6116 - EDUCATIONAL BENEFITS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3">
      <c r="A41" s="27"/>
      <c r="B41" s="11" t="str">
        <f>CONCATENATE("          ", "6117", " - ", "RETIREMENT STAFF HOURLY")</f>
        <v xml:space="preserve">          6117 - RETIREMENT STAFF HOURLY</v>
      </c>
      <c r="C41" s="11"/>
      <c r="D41" s="7">
        <v>180</v>
      </c>
      <c r="E41" s="2"/>
      <c r="F41" s="6">
        <f t="shared" si="12"/>
        <v>1.1554956980253219E-3</v>
      </c>
      <c r="G41" s="2"/>
      <c r="H41" s="7"/>
      <c r="I41" s="2"/>
      <c r="J41" s="6">
        <f t="shared" si="13"/>
        <v>0</v>
      </c>
      <c r="K41" s="2"/>
      <c r="L41" s="7">
        <f t="shared" si="14"/>
        <v>180</v>
      </c>
      <c r="M41" s="2"/>
      <c r="N41" s="6">
        <f t="shared" si="15"/>
        <v>0</v>
      </c>
      <c r="O41" s="11"/>
      <c r="P41" s="7">
        <v>-237.34</v>
      </c>
      <c r="Q41" s="2"/>
      <c r="R41" s="6">
        <f t="shared" si="16"/>
        <v>-2.114524854219931E-4</v>
      </c>
      <c r="S41" s="2"/>
      <c r="T41" s="7"/>
      <c r="U41" s="2"/>
      <c r="V41" s="6">
        <f t="shared" si="17"/>
        <v>0</v>
      </c>
      <c r="W41" s="2"/>
      <c r="X41" s="7">
        <f t="shared" si="18"/>
        <v>-237.34</v>
      </c>
      <c r="Y41" s="2"/>
      <c r="Z41" s="6">
        <f t="shared" si="19"/>
        <v>0</v>
      </c>
    </row>
    <row r="42" spans="1:26" s="24" customFormat="1" hidden="1" outlineLevel="2" x14ac:dyDescent="0.3">
      <c r="A42" s="27"/>
      <c r="B42" s="11" t="str">
        <f>CONCATENATE("          ", "6118", " - ", "VACATION")</f>
        <v xml:space="preserve">          6118 - VACATION</v>
      </c>
      <c r="C42" s="11"/>
      <c r="D42" s="7">
        <v>359.95</v>
      </c>
      <c r="E42" s="2"/>
      <c r="F42" s="6">
        <f t="shared" si="12"/>
        <v>2.3106704250234144E-3</v>
      </c>
      <c r="G42" s="2"/>
      <c r="H42" s="7">
        <v>224.11383749999999</v>
      </c>
      <c r="I42" s="2"/>
      <c r="J42" s="6">
        <f t="shared" si="13"/>
        <v>1.2256235063464892E-3</v>
      </c>
      <c r="K42" s="2"/>
      <c r="L42" s="7">
        <f t="shared" si="14"/>
        <v>135.8361625</v>
      </c>
      <c r="M42" s="2"/>
      <c r="N42" s="6">
        <f t="shared" si="15"/>
        <v>0.60610341608201679</v>
      </c>
      <c r="O42" s="11"/>
      <c r="P42" s="7">
        <v>1375.42</v>
      </c>
      <c r="Q42" s="2"/>
      <c r="R42" s="6">
        <f t="shared" si="16"/>
        <v>1.225398068168525E-3</v>
      </c>
      <c r="S42" s="2"/>
      <c r="T42" s="7">
        <v>1389.5057925000001</v>
      </c>
      <c r="U42" s="2"/>
      <c r="V42" s="6">
        <f t="shared" si="17"/>
        <v>1.01394546280452E-3</v>
      </c>
      <c r="W42" s="2"/>
      <c r="X42" s="7">
        <f t="shared" si="18"/>
        <v>-14.085792500000025</v>
      </c>
      <c r="Y42" s="2"/>
      <c r="Z42" s="6">
        <f t="shared" si="19"/>
        <v>-1.0137267923624021E-2</v>
      </c>
    </row>
    <row r="43" spans="1:26" s="24" customFormat="1" hidden="1" outlineLevel="2" x14ac:dyDescent="0.3">
      <c r="A43" s="27"/>
      <c r="B43" s="11" t="str">
        <f>CONCATENATE("          ", "6119", " - ", "SICK LEAVE")</f>
        <v xml:space="preserve">          6119 - SICK LEAVE</v>
      </c>
      <c r="C43" s="11"/>
      <c r="D43" s="7">
        <v>494.25</v>
      </c>
      <c r="E43" s="2"/>
      <c r="F43" s="6">
        <f t="shared" si="12"/>
        <v>3.1727986041611964E-3</v>
      </c>
      <c r="G43" s="2"/>
      <c r="H43" s="7">
        <v>362.74582500000002</v>
      </c>
      <c r="I43" s="2"/>
      <c r="J43" s="6">
        <f t="shared" si="13"/>
        <v>1.9837677802873287E-3</v>
      </c>
      <c r="K43" s="2"/>
      <c r="L43" s="7">
        <f t="shared" si="14"/>
        <v>131.50417499999998</v>
      </c>
      <c r="M43" s="2"/>
      <c r="N43" s="6">
        <f t="shared" si="15"/>
        <v>0.36252429645468687</v>
      </c>
      <c r="O43" s="11"/>
      <c r="P43" s="7">
        <v>1541.16</v>
      </c>
      <c r="Q43" s="2"/>
      <c r="R43" s="6">
        <f t="shared" si="16"/>
        <v>1.373060219233837E-3</v>
      </c>
      <c r="S43" s="2"/>
      <c r="T43" s="7">
        <v>1996.9537949999999</v>
      </c>
      <c r="U43" s="2"/>
      <c r="V43" s="6">
        <f t="shared" si="17"/>
        <v>1.4572103627056431E-3</v>
      </c>
      <c r="W43" s="2"/>
      <c r="X43" s="7">
        <f t="shared" si="18"/>
        <v>-455.79379499999982</v>
      </c>
      <c r="Y43" s="2"/>
      <c r="Z43" s="6">
        <f t="shared" si="19"/>
        <v>-0.22824453732541161</v>
      </c>
    </row>
    <row r="44" spans="1:26" s="24" customFormat="1" hidden="1" outlineLevel="2" x14ac:dyDescent="0.3">
      <c r="A44" s="27"/>
      <c r="B44" s="11" t="str">
        <f>CONCATENATE("          ", "6156", " - ", "EMPLOYEE MEALS")</f>
        <v xml:space="preserve">          6156 - EMPLOYEE MEALS</v>
      </c>
      <c r="C44" s="11"/>
      <c r="D44" s="7">
        <v>225.84</v>
      </c>
      <c r="E44" s="2"/>
      <c r="F44" s="6">
        <f t="shared" si="12"/>
        <v>1.4497619357891039E-3</v>
      </c>
      <c r="G44" s="2"/>
      <c r="H44" s="7">
        <v>350</v>
      </c>
      <c r="I44" s="2"/>
      <c r="J44" s="6">
        <f t="shared" si="13"/>
        <v>1.9140639953624963E-3</v>
      </c>
      <c r="K44" s="2"/>
      <c r="L44" s="7">
        <f t="shared" si="14"/>
        <v>-124.16</v>
      </c>
      <c r="M44" s="2"/>
      <c r="N44" s="6">
        <f t="shared" si="15"/>
        <v>-0.35474285714285714</v>
      </c>
      <c r="O44" s="11"/>
      <c r="P44" s="7">
        <v>1110.99</v>
      </c>
      <c r="Q44" s="2"/>
      <c r="R44" s="6">
        <f t="shared" si="16"/>
        <v>9.898103850129777E-4</v>
      </c>
      <c r="S44" s="2"/>
      <c r="T44" s="7">
        <v>2450</v>
      </c>
      <c r="U44" s="2"/>
      <c r="V44" s="6">
        <f t="shared" si="17"/>
        <v>1.7878057056542093E-3</v>
      </c>
      <c r="W44" s="2"/>
      <c r="X44" s="7">
        <f t="shared" si="18"/>
        <v>-1339.01</v>
      </c>
      <c r="Y44" s="2"/>
      <c r="Z44" s="6">
        <f t="shared" si="19"/>
        <v>-0.54653469387755105</v>
      </c>
    </row>
    <row r="45" spans="1:26" s="28" customFormat="1" outlineLevel="1" collapsed="1" x14ac:dyDescent="0.3">
      <c r="A45" s="29"/>
      <c r="B45" s="14" t="str">
        <f>CONCATENATE("     ","*Payroll                                          ")</f>
        <v xml:space="preserve">     *Payroll                                          </v>
      </c>
      <c r="C45" s="14"/>
      <c r="D45" s="1">
        <f>SUM(OSRRefD22_1x_0)</f>
        <v>10489.11</v>
      </c>
      <c r="E45" s="1"/>
      <c r="F45" s="5">
        <f t="shared" ref="F45:F55" si="20">IF(D$12=0,0,D45/D$12)</f>
        <v>6.7334008228413247E-2</v>
      </c>
      <c r="G45" s="1"/>
      <c r="H45" s="1">
        <f>SUM(OSRRefH22_1x_0)</f>
        <v>14208.158187500001</v>
      </c>
      <c r="I45" s="1"/>
      <c r="J45" s="5">
        <f t="shared" ref="J45:J55" si="21">IF(H$12=0,0,H45/H$12)</f>
        <v>7.7700925791738901E-2</v>
      </c>
      <c r="K45" s="1"/>
      <c r="L45" s="1">
        <f t="shared" ref="L45:L55" si="22">+D45-H45</f>
        <v>-3719.0481875000005</v>
      </c>
      <c r="M45" s="1"/>
      <c r="N45" s="5">
        <f t="shared" ref="N45:N55" si="23">IF(H45=0,0,L45/H45)</f>
        <v>-0.26175441872345778</v>
      </c>
      <c r="O45" s="14"/>
      <c r="P45" s="1">
        <f>SUM(OSRRefP22_1x_0)</f>
        <v>71461.740000000005</v>
      </c>
      <c r="Q45" s="1"/>
      <c r="R45" s="5">
        <f t="shared" ref="R45:R55" si="24">IF(P$12=0,0,P45/P$12)</f>
        <v>6.3667154864667827E-2</v>
      </c>
      <c r="S45" s="1"/>
      <c r="T45" s="1">
        <f>SUM(OSRRefT22_1x_0)</f>
        <v>79688.236762500004</v>
      </c>
      <c r="U45" s="1"/>
      <c r="V45" s="5">
        <f t="shared" ref="V45:V55" si="25">IF(T$12=0,0,T45/T$12)</f>
        <v>5.8149830350008577E-2</v>
      </c>
      <c r="W45" s="1"/>
      <c r="X45" s="1">
        <f t="shared" ref="X45:X55" si="26">+P45-T45</f>
        <v>-8226.496762499999</v>
      </c>
      <c r="Y45" s="1"/>
      <c r="Z45" s="5">
        <f t="shared" ref="Z45:Z55" si="27">IF(T45=0,0,X45/T45)</f>
        <v>-0.10323351471582887</v>
      </c>
    </row>
    <row r="46" spans="1:26" s="24" customFormat="1" hidden="1" outlineLevel="2" x14ac:dyDescent="0.3">
      <c r="A46" s="27"/>
      <c r="B46" s="11" t="str">
        <f>CONCATENATE("          ", "6001", " - ", "ADMINISTRATIVE SALARIES")</f>
        <v xml:space="preserve">          6001 - ADMINISTRATIVE SALARIES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3">
      <c r="A47" s="27"/>
      <c r="B47" s="11" t="str">
        <f>CONCATENATE("          ", "6002", " - ", "STAFF SALARIES")</f>
        <v xml:space="preserve">          6002 - STAFF SALARIES</v>
      </c>
      <c r="C47" s="11"/>
      <c r="D47" s="7">
        <v>1700</v>
      </c>
      <c r="E47" s="2"/>
      <c r="F47" s="6">
        <f t="shared" si="20"/>
        <v>1.0913014925794707E-2</v>
      </c>
      <c r="G47" s="2"/>
      <c r="H47" s="7">
        <v>2791.5381874999998</v>
      </c>
      <c r="I47" s="2"/>
      <c r="J47" s="6">
        <f t="shared" si="21"/>
        <v>1.5266236389637804E-2</v>
      </c>
      <c r="K47" s="2"/>
      <c r="L47" s="7">
        <f t="shared" si="22"/>
        <v>-1091.5381874999998</v>
      </c>
      <c r="M47" s="2"/>
      <c r="N47" s="6">
        <f t="shared" si="23"/>
        <v>-0.39101674925591534</v>
      </c>
      <c r="O47" s="11"/>
      <c r="P47" s="7">
        <v>13252.94</v>
      </c>
      <c r="Q47" s="2"/>
      <c r="R47" s="6">
        <f t="shared" si="24"/>
        <v>1.1807394885601032E-2</v>
      </c>
      <c r="S47" s="2"/>
      <c r="T47" s="7">
        <v>17307.5367625</v>
      </c>
      <c r="U47" s="2"/>
      <c r="V47" s="6">
        <f t="shared" si="25"/>
        <v>1.2629597132578564E-2</v>
      </c>
      <c r="W47" s="2"/>
      <c r="X47" s="7">
        <f t="shared" si="26"/>
        <v>-4054.5967624999994</v>
      </c>
      <c r="Y47" s="2"/>
      <c r="Z47" s="6">
        <f t="shared" si="27"/>
        <v>-0.2342676960990219</v>
      </c>
    </row>
    <row r="48" spans="1:26" s="24" customFormat="1" hidden="1" outlineLevel="2" x14ac:dyDescent="0.3">
      <c r="A48" s="27"/>
      <c r="B48" s="11" t="str">
        <f>CONCATENATE("          ", "6003", " - ", "STAFF HOURLY-9 MONTH")</f>
        <v xml:space="preserve">          6003 - STAFF HOURLY-9 MONTH</v>
      </c>
      <c r="C48" s="11"/>
      <c r="D48" s="7"/>
      <c r="E48" s="2"/>
      <c r="F48" s="6">
        <f t="shared" si="20"/>
        <v>0</v>
      </c>
      <c r="G48" s="2"/>
      <c r="H48" s="7">
        <v>0</v>
      </c>
      <c r="I48" s="2"/>
      <c r="J48" s="6">
        <f t="shared" si="21"/>
        <v>0</v>
      </c>
      <c r="K48" s="2"/>
      <c r="L48" s="7">
        <f t="shared" si="22"/>
        <v>0</v>
      </c>
      <c r="M48" s="2"/>
      <c r="N48" s="6">
        <f t="shared" si="23"/>
        <v>0</v>
      </c>
      <c r="O48" s="11"/>
      <c r="P48" s="7"/>
      <c r="Q48" s="2"/>
      <c r="R48" s="6">
        <f t="shared" si="24"/>
        <v>0</v>
      </c>
      <c r="S48" s="2"/>
      <c r="T48" s="7">
        <v>0</v>
      </c>
      <c r="U48" s="2"/>
      <c r="V48" s="6">
        <f t="shared" si="25"/>
        <v>0</v>
      </c>
      <c r="W48" s="2"/>
      <c r="X48" s="7">
        <f t="shared" si="26"/>
        <v>0</v>
      </c>
      <c r="Y48" s="2"/>
      <c r="Z48" s="6">
        <f t="shared" si="27"/>
        <v>0</v>
      </c>
    </row>
    <row r="49" spans="1:26" s="24" customFormat="1" hidden="1" outlineLevel="2" x14ac:dyDescent="0.3">
      <c r="A49" s="27"/>
      <c r="B49" s="11" t="str">
        <f>CONCATENATE("          ", "6004", " - ", "STAFF HOURLY")</f>
        <v xml:space="preserve">          6004 - STAFF HOURLY</v>
      </c>
      <c r="C49" s="11"/>
      <c r="D49" s="7">
        <v>3151.23</v>
      </c>
      <c r="E49" s="2"/>
      <c r="F49" s="6">
        <f t="shared" si="20"/>
        <v>2.0229070602712975E-2</v>
      </c>
      <c r="G49" s="2"/>
      <c r="H49" s="7">
        <v>4305.3999999999996</v>
      </c>
      <c r="I49" s="2"/>
      <c r="J49" s="6">
        <f t="shared" si="21"/>
        <v>2.3545174644667689E-2</v>
      </c>
      <c r="K49" s="2"/>
      <c r="L49" s="7">
        <f t="shared" si="22"/>
        <v>-1154.1699999999996</v>
      </c>
      <c r="M49" s="2"/>
      <c r="N49" s="6">
        <f t="shared" si="23"/>
        <v>-0.26807497561202204</v>
      </c>
      <c r="O49" s="11"/>
      <c r="P49" s="7">
        <v>20893.46</v>
      </c>
      <c r="Q49" s="2"/>
      <c r="R49" s="6">
        <f t="shared" si="24"/>
        <v>1.8614536302624909E-2</v>
      </c>
      <c r="S49" s="2"/>
      <c r="T49" s="7">
        <v>26693.48</v>
      </c>
      <c r="U49" s="2"/>
      <c r="V49" s="6">
        <f t="shared" si="25"/>
        <v>1.9478675856231233E-2</v>
      </c>
      <c r="W49" s="2"/>
      <c r="X49" s="7">
        <f t="shared" si="26"/>
        <v>-5800.02</v>
      </c>
      <c r="Y49" s="2"/>
      <c r="Z49" s="6">
        <f t="shared" si="27"/>
        <v>-0.21728227267482547</v>
      </c>
    </row>
    <row r="50" spans="1:26" s="24" customFormat="1" hidden="1" outlineLevel="2" x14ac:dyDescent="0.3">
      <c r="A50" s="27"/>
      <c r="B50" s="11" t="str">
        <f>CONCATENATE("          ", "6005", " - ", "TEMPORARY WAGES-HOURLY")</f>
        <v xml:space="preserve">          6005 - TEMPORARY WAGES-HOURLY</v>
      </c>
      <c r="C50" s="11"/>
      <c r="D50" s="7">
        <v>1354.67</v>
      </c>
      <c r="E50" s="2"/>
      <c r="F50" s="6">
        <f t="shared" si="20"/>
        <v>8.6961964291331281E-3</v>
      </c>
      <c r="G50" s="2"/>
      <c r="H50" s="7">
        <v>0</v>
      </c>
      <c r="I50" s="2"/>
      <c r="J50" s="6">
        <f t="shared" si="21"/>
        <v>0</v>
      </c>
      <c r="K50" s="2"/>
      <c r="L50" s="7">
        <f t="shared" si="22"/>
        <v>1354.67</v>
      </c>
      <c r="M50" s="2"/>
      <c r="N50" s="6">
        <f t="shared" si="23"/>
        <v>0</v>
      </c>
      <c r="O50" s="11"/>
      <c r="P50" s="7">
        <v>8233.81</v>
      </c>
      <c r="Q50" s="2"/>
      <c r="R50" s="6">
        <f t="shared" si="24"/>
        <v>7.3357191749914086E-3</v>
      </c>
      <c r="S50" s="2"/>
      <c r="T50" s="7">
        <v>0</v>
      </c>
      <c r="U50" s="2"/>
      <c r="V50" s="6">
        <f t="shared" si="25"/>
        <v>0</v>
      </c>
      <c r="W50" s="2"/>
      <c r="X50" s="7">
        <f t="shared" si="26"/>
        <v>8233.81</v>
      </c>
      <c r="Y50" s="2"/>
      <c r="Z50" s="6">
        <f t="shared" si="27"/>
        <v>0</v>
      </c>
    </row>
    <row r="51" spans="1:26" s="24" customFormat="1" hidden="1" outlineLevel="2" x14ac:dyDescent="0.3">
      <c r="A51" s="27"/>
      <c r="B51" s="11" t="str">
        <f>CONCATENATE("          ", "6006", " - ", "TEMPORARY PART TIME")</f>
        <v xml:space="preserve">          6006 - TEMPORARY PART TIME</v>
      </c>
      <c r="C51" s="11"/>
      <c r="D51" s="7"/>
      <c r="E51" s="2"/>
      <c r="F51" s="6">
        <f t="shared" si="20"/>
        <v>0</v>
      </c>
      <c r="G51" s="2"/>
      <c r="H51" s="7">
        <v>0</v>
      </c>
      <c r="I51" s="2"/>
      <c r="J51" s="6">
        <f t="shared" si="21"/>
        <v>0</v>
      </c>
      <c r="K51" s="2"/>
      <c r="L51" s="7">
        <f t="shared" si="22"/>
        <v>0</v>
      </c>
      <c r="M51" s="2"/>
      <c r="N51" s="6">
        <f t="shared" si="23"/>
        <v>0</v>
      </c>
      <c r="O51" s="11"/>
      <c r="P51" s="7"/>
      <c r="Q51" s="2"/>
      <c r="R51" s="6">
        <f t="shared" si="24"/>
        <v>0</v>
      </c>
      <c r="S51" s="2"/>
      <c r="T51" s="7">
        <v>0</v>
      </c>
      <c r="U51" s="2"/>
      <c r="V51" s="6">
        <f t="shared" si="25"/>
        <v>0</v>
      </c>
      <c r="W51" s="2"/>
      <c r="X51" s="7">
        <f t="shared" si="26"/>
        <v>0</v>
      </c>
      <c r="Y51" s="2"/>
      <c r="Z51" s="6">
        <f t="shared" si="27"/>
        <v>0</v>
      </c>
    </row>
    <row r="52" spans="1:26" s="24" customFormat="1" hidden="1" outlineLevel="2" x14ac:dyDescent="0.3">
      <c r="A52" s="27"/>
      <c r="B52" s="11" t="str">
        <f>CONCATENATE("          ", "6007", " - ", "STUDENT HOURLY")</f>
        <v xml:space="preserve">          6007 - STUDENT HOURLY</v>
      </c>
      <c r="C52" s="11"/>
      <c r="D52" s="7">
        <v>4283.21</v>
      </c>
      <c r="E52" s="2"/>
      <c r="F52" s="6">
        <f t="shared" si="20"/>
        <v>2.7495726270772441E-2</v>
      </c>
      <c r="G52" s="2"/>
      <c r="H52" s="7">
        <v>0</v>
      </c>
      <c r="I52" s="2"/>
      <c r="J52" s="6">
        <f t="shared" si="21"/>
        <v>0</v>
      </c>
      <c r="K52" s="2"/>
      <c r="L52" s="7">
        <f t="shared" si="22"/>
        <v>4283.21</v>
      </c>
      <c r="M52" s="2"/>
      <c r="N52" s="6">
        <f t="shared" si="23"/>
        <v>0</v>
      </c>
      <c r="O52" s="11"/>
      <c r="P52" s="7">
        <v>22935.9</v>
      </c>
      <c r="Q52" s="2"/>
      <c r="R52" s="6">
        <f t="shared" si="24"/>
        <v>2.0434200136472114E-2</v>
      </c>
      <c r="S52" s="2"/>
      <c r="T52" s="7">
        <v>10176</v>
      </c>
      <c r="U52" s="2"/>
      <c r="V52" s="6">
        <f t="shared" si="25"/>
        <v>7.4255962696886668E-3</v>
      </c>
      <c r="W52" s="2"/>
      <c r="X52" s="7">
        <f t="shared" si="26"/>
        <v>12759.900000000001</v>
      </c>
      <c r="Y52" s="2"/>
      <c r="Z52" s="6">
        <f t="shared" si="27"/>
        <v>1.2539209905660378</v>
      </c>
    </row>
    <row r="53" spans="1:26" s="24" customFormat="1" hidden="1" outlineLevel="2" x14ac:dyDescent="0.3">
      <c r="A53" s="27"/>
      <c r="B53" s="11" t="str">
        <f>CONCATENATE("          ", "6008", " - ", "STUDENT HOURLY-FICA EXEMPT")</f>
        <v xml:space="preserve">          6008 - STUDENT HOURLY-FICA EXEMPT</v>
      </c>
      <c r="C53" s="11"/>
      <c r="D53" s="7"/>
      <c r="E53" s="2"/>
      <c r="F53" s="6">
        <f t="shared" si="20"/>
        <v>0</v>
      </c>
      <c r="G53" s="2"/>
      <c r="H53" s="7">
        <v>7111.22</v>
      </c>
      <c r="I53" s="2"/>
      <c r="J53" s="6">
        <f t="shared" si="21"/>
        <v>3.8889514757433408E-2</v>
      </c>
      <c r="K53" s="2"/>
      <c r="L53" s="7">
        <f t="shared" si="22"/>
        <v>-7111.22</v>
      </c>
      <c r="M53" s="2"/>
      <c r="N53" s="6">
        <f t="shared" si="23"/>
        <v>-1</v>
      </c>
      <c r="O53" s="11"/>
      <c r="P53" s="7">
        <v>6145.63</v>
      </c>
      <c r="Q53" s="2"/>
      <c r="R53" s="6">
        <f t="shared" si="24"/>
        <v>5.4753043649783577E-3</v>
      </c>
      <c r="S53" s="2"/>
      <c r="T53" s="7">
        <v>25511.22</v>
      </c>
      <c r="U53" s="2"/>
      <c r="V53" s="6">
        <f t="shared" si="25"/>
        <v>1.8615961091510112E-2</v>
      </c>
      <c r="W53" s="2"/>
      <c r="X53" s="7">
        <f t="shared" si="26"/>
        <v>-19365.59</v>
      </c>
      <c r="Y53" s="2"/>
      <c r="Z53" s="6">
        <f t="shared" si="27"/>
        <v>-0.7591008975658553</v>
      </c>
    </row>
    <row r="54" spans="1:26" s="24" customFormat="1" hidden="1" outlineLevel="2" x14ac:dyDescent="0.3">
      <c r="A54" s="27"/>
      <c r="B54" s="11" t="str">
        <f>CONCATENATE("          ", "6009", " - ", "TEMPORARY-SEASONAL")</f>
        <v xml:space="preserve">          6009 - TEMPORARY-SEASONAL</v>
      </c>
      <c r="C54" s="11"/>
      <c r="D54" s="7"/>
      <c r="E54" s="2"/>
      <c r="F54" s="6">
        <f t="shared" si="20"/>
        <v>0</v>
      </c>
      <c r="G54" s="2"/>
      <c r="H54" s="7">
        <v>0</v>
      </c>
      <c r="I54" s="2"/>
      <c r="J54" s="6">
        <f t="shared" si="21"/>
        <v>0</v>
      </c>
      <c r="K54" s="2"/>
      <c r="L54" s="7">
        <f t="shared" si="22"/>
        <v>0</v>
      </c>
      <c r="M54" s="2"/>
      <c r="N54" s="6">
        <f t="shared" si="23"/>
        <v>0</v>
      </c>
      <c r="O54" s="11"/>
      <c r="P54" s="7"/>
      <c r="Q54" s="2"/>
      <c r="R54" s="6">
        <f t="shared" si="24"/>
        <v>0</v>
      </c>
      <c r="S54" s="2"/>
      <c r="T54" s="7">
        <v>0</v>
      </c>
      <c r="U54" s="2"/>
      <c r="V54" s="6">
        <f t="shared" si="25"/>
        <v>0</v>
      </c>
      <c r="W54" s="2"/>
      <c r="X54" s="7">
        <f t="shared" si="26"/>
        <v>0</v>
      </c>
      <c r="Y54" s="2"/>
      <c r="Z54" s="6">
        <f t="shared" si="27"/>
        <v>0</v>
      </c>
    </row>
    <row r="55" spans="1:26" s="24" customFormat="1" hidden="1" outlineLevel="2" x14ac:dyDescent="0.3">
      <c r="A55" s="27"/>
      <c r="B55" s="11" t="str">
        <f>CONCATENATE("          ", "6010", " - ", "GRATUITY")</f>
        <v xml:space="preserve">          6010 - GRATUITY</v>
      </c>
      <c r="C55" s="11"/>
      <c r="D55" s="7"/>
      <c r="E55" s="2"/>
      <c r="F55" s="6">
        <f t="shared" si="20"/>
        <v>0</v>
      </c>
      <c r="G55" s="2"/>
      <c r="H55" s="7">
        <v>0</v>
      </c>
      <c r="I55" s="2"/>
      <c r="J55" s="6">
        <f t="shared" si="21"/>
        <v>0</v>
      </c>
      <c r="K55" s="2"/>
      <c r="L55" s="7">
        <f t="shared" si="22"/>
        <v>0</v>
      </c>
      <c r="M55" s="2"/>
      <c r="N55" s="6">
        <f t="shared" si="23"/>
        <v>0</v>
      </c>
      <c r="O55" s="11"/>
      <c r="P55" s="7"/>
      <c r="Q55" s="2"/>
      <c r="R55" s="6">
        <f t="shared" si="24"/>
        <v>0</v>
      </c>
      <c r="S55" s="2"/>
      <c r="T55" s="7">
        <v>0</v>
      </c>
      <c r="U55" s="2"/>
      <c r="V55" s="6">
        <f t="shared" si="25"/>
        <v>0</v>
      </c>
      <c r="W55" s="2"/>
      <c r="X55" s="7">
        <f t="shared" si="26"/>
        <v>0</v>
      </c>
      <c r="Y55" s="2"/>
      <c r="Z55" s="6">
        <f t="shared" si="27"/>
        <v>0</v>
      </c>
    </row>
    <row r="56" spans="1:26" s="28" customFormat="1" outlineLevel="1" collapsed="1" x14ac:dyDescent="0.3">
      <c r="A56" s="29"/>
      <c r="B56" s="14" t="str">
        <f>CONCATENATE("     ","Advertising/Promo                                 ")</f>
        <v xml:space="preserve">     Advertising/Promo                                 </v>
      </c>
      <c r="C56" s="14"/>
      <c r="D56" s="1">
        <f>SUM(OSRRefD22_2x_0)</f>
        <v>28.67</v>
      </c>
      <c r="E56" s="1"/>
      <c r="F56" s="5">
        <f t="shared" ref="F56:F70" si="28">IF(D$12=0,0,D56/D$12)</f>
        <v>1.8404478701325544E-4</v>
      </c>
      <c r="G56" s="1"/>
      <c r="H56" s="1">
        <f>SUM(OSRRefH22_2x_0)</f>
        <v>200</v>
      </c>
      <c r="I56" s="1"/>
      <c r="J56" s="5">
        <f t="shared" ref="J56:J70" si="29">IF(H$12=0,0,H56/H$12)</f>
        <v>1.093750854492855E-3</v>
      </c>
      <c r="K56" s="1"/>
      <c r="L56" s="1">
        <f t="shared" ref="L56:L70" si="30">+D56-H56</f>
        <v>-171.32999999999998</v>
      </c>
      <c r="M56" s="1"/>
      <c r="N56" s="5">
        <f t="shared" ref="N56:N70" si="31">IF(H56=0,0,L56/H56)</f>
        <v>-0.85664999999999991</v>
      </c>
      <c r="O56" s="14"/>
      <c r="P56" s="1">
        <f>SUM(OSRRefP22_2x_0)</f>
        <v>146.80000000000001</v>
      </c>
      <c r="Q56" s="1"/>
      <c r="R56" s="5">
        <f t="shared" ref="R56:R70" si="32">IF(P$12=0,0,P56/P$12)</f>
        <v>1.307880039603463E-4</v>
      </c>
      <c r="S56" s="1"/>
      <c r="T56" s="1">
        <f>SUM(OSRRefT22_2x_0)</f>
        <v>1400</v>
      </c>
      <c r="U56" s="1"/>
      <c r="V56" s="5">
        <f t="shared" ref="V56:V70" si="33">IF(T$12=0,0,T56/T$12)</f>
        <v>1.0216032603738339E-3</v>
      </c>
      <c r="W56" s="1"/>
      <c r="X56" s="1">
        <f t="shared" ref="X56:X70" si="34">+P56-T56</f>
        <v>-1253.2</v>
      </c>
      <c r="Y56" s="1"/>
      <c r="Z56" s="5">
        <f t="shared" ref="Z56:Z70" si="35">IF(T56=0,0,X56/T56)</f>
        <v>-0.89514285714285713</v>
      </c>
    </row>
    <row r="57" spans="1:26" s="24" customFormat="1" hidden="1" outlineLevel="2" x14ac:dyDescent="0.3">
      <c r="A57" s="27"/>
      <c r="B57" s="11" t="str">
        <f>CONCATENATE("          ", "6362", " - ", "ADVERTISING EXPENSE")</f>
        <v xml:space="preserve">          6362 - ADVERTISING EXPENSE</v>
      </c>
      <c r="C57" s="11"/>
      <c r="D57" s="7">
        <v>28.67</v>
      </c>
      <c r="E57" s="2"/>
      <c r="F57" s="6">
        <f t="shared" si="28"/>
        <v>1.8404478701325544E-4</v>
      </c>
      <c r="G57" s="2"/>
      <c r="H57" s="7">
        <v>200</v>
      </c>
      <c r="I57" s="2"/>
      <c r="J57" s="6">
        <f t="shared" si="29"/>
        <v>1.093750854492855E-3</v>
      </c>
      <c r="K57" s="2"/>
      <c r="L57" s="7">
        <f t="shared" si="30"/>
        <v>-171.32999999999998</v>
      </c>
      <c r="M57" s="2"/>
      <c r="N57" s="6">
        <f t="shared" si="31"/>
        <v>-0.85664999999999991</v>
      </c>
      <c r="O57" s="11"/>
      <c r="P57" s="7">
        <v>146.80000000000001</v>
      </c>
      <c r="Q57" s="2"/>
      <c r="R57" s="6">
        <f t="shared" si="32"/>
        <v>1.307880039603463E-4</v>
      </c>
      <c r="S57" s="2"/>
      <c r="T57" s="7">
        <v>1400</v>
      </c>
      <c r="U57" s="2"/>
      <c r="V57" s="6">
        <f t="shared" si="33"/>
        <v>1.0216032603738339E-3</v>
      </c>
      <c r="W57" s="2"/>
      <c r="X57" s="7">
        <f t="shared" si="34"/>
        <v>-1253.2</v>
      </c>
      <c r="Y57" s="2"/>
      <c r="Z57" s="6">
        <f t="shared" si="35"/>
        <v>-0.89514285714285713</v>
      </c>
    </row>
    <row r="58" spans="1:26" s="28" customFormat="1" outlineLevel="1" collapsed="1" x14ac:dyDescent="0.3">
      <c r="A58" s="29"/>
      <c r="B58" s="14" t="str">
        <f>CONCATENATE("     ","Depreciation                                      ")</f>
        <v xml:space="preserve">     Depreciation                                      </v>
      </c>
      <c r="C58" s="14"/>
      <c r="D58" s="1">
        <f>SUM(OSRRefD22_3x_0)</f>
        <v>280.44</v>
      </c>
      <c r="E58" s="1"/>
      <c r="F58" s="5">
        <f t="shared" si="28"/>
        <v>1.8002622975234516E-3</v>
      </c>
      <c r="G58" s="1"/>
      <c r="H58" s="1">
        <f>SUM(OSRRefH22_3x_0)</f>
        <v>0</v>
      </c>
      <c r="I58" s="1"/>
      <c r="J58" s="5">
        <f t="shared" si="29"/>
        <v>0</v>
      </c>
      <c r="K58" s="1"/>
      <c r="L58" s="1">
        <f t="shared" si="30"/>
        <v>280.44</v>
      </c>
      <c r="M58" s="1"/>
      <c r="N58" s="5">
        <f t="shared" si="31"/>
        <v>0</v>
      </c>
      <c r="O58" s="14"/>
      <c r="P58" s="1">
        <f>SUM(OSRRefP22_3x_0)</f>
        <v>1963.08</v>
      </c>
      <c r="Q58" s="1"/>
      <c r="R58" s="5">
        <f t="shared" si="32"/>
        <v>1.748959910180358E-3</v>
      </c>
      <c r="S58" s="1"/>
      <c r="T58" s="1">
        <f>SUM(OSRRefT22_3x_0)</f>
        <v>0</v>
      </c>
      <c r="U58" s="1"/>
      <c r="V58" s="5">
        <f t="shared" si="33"/>
        <v>0</v>
      </c>
      <c r="W58" s="1"/>
      <c r="X58" s="1">
        <f t="shared" si="34"/>
        <v>1963.08</v>
      </c>
      <c r="Y58" s="1"/>
      <c r="Z58" s="5">
        <f t="shared" si="35"/>
        <v>0</v>
      </c>
    </row>
    <row r="59" spans="1:26" s="24" customFormat="1" hidden="1" outlineLevel="2" x14ac:dyDescent="0.3">
      <c r="A59" s="27"/>
      <c r="B59" s="11" t="str">
        <f>CONCATENATE("          ", "6322", " - ", "EQUIPMENT DEPRECIATION EXPENSE")</f>
        <v xml:space="preserve">          6322 - EQUIPMENT DEPRECIATION EXPENSE</v>
      </c>
      <c r="C59" s="11"/>
      <c r="D59" s="7">
        <v>280.44</v>
      </c>
      <c r="E59" s="2"/>
      <c r="F59" s="6">
        <f t="shared" si="28"/>
        <v>1.8002622975234516E-3</v>
      </c>
      <c r="G59" s="2"/>
      <c r="H59" s="7"/>
      <c r="I59" s="2"/>
      <c r="J59" s="6">
        <f t="shared" si="29"/>
        <v>0</v>
      </c>
      <c r="K59" s="2"/>
      <c r="L59" s="7">
        <f t="shared" si="30"/>
        <v>280.44</v>
      </c>
      <c r="M59" s="2"/>
      <c r="N59" s="6">
        <f t="shared" si="31"/>
        <v>0</v>
      </c>
      <c r="O59" s="11"/>
      <c r="P59" s="7">
        <v>1963.08</v>
      </c>
      <c r="Q59" s="2"/>
      <c r="R59" s="6">
        <f t="shared" si="32"/>
        <v>1.748959910180358E-3</v>
      </c>
      <c r="S59" s="2"/>
      <c r="T59" s="7"/>
      <c r="U59" s="2"/>
      <c r="V59" s="6">
        <f t="shared" si="33"/>
        <v>0</v>
      </c>
      <c r="W59" s="2"/>
      <c r="X59" s="7">
        <f t="shared" si="34"/>
        <v>1963.08</v>
      </c>
      <c r="Y59" s="2"/>
      <c r="Z59" s="6">
        <f t="shared" si="35"/>
        <v>0</v>
      </c>
    </row>
    <row r="60" spans="1:26" s="28" customFormat="1" outlineLevel="1" collapsed="1" x14ac:dyDescent="0.3">
      <c r="A60" s="29"/>
      <c r="B60" s="14" t="str">
        <f>CONCATENATE("     ","Employees' Appreciation                           ")</f>
        <v xml:space="preserve">     Employees' Appreciation                           </v>
      </c>
      <c r="C60" s="14"/>
      <c r="D60" s="1">
        <f>SUM(OSRRefD22_4x_0)</f>
        <v>0</v>
      </c>
      <c r="E60" s="1"/>
      <c r="F60" s="5">
        <f t="shared" si="28"/>
        <v>0</v>
      </c>
      <c r="G60" s="1"/>
      <c r="H60" s="1">
        <f>SUM(OSRRefH22_4x_0)</f>
        <v>20</v>
      </c>
      <c r="I60" s="1"/>
      <c r="J60" s="5">
        <f t="shared" si="29"/>
        <v>1.0937508544928551E-4</v>
      </c>
      <c r="K60" s="1"/>
      <c r="L60" s="1">
        <f t="shared" si="30"/>
        <v>-20</v>
      </c>
      <c r="M60" s="1"/>
      <c r="N60" s="5">
        <f t="shared" si="31"/>
        <v>-1</v>
      </c>
      <c r="O60" s="14"/>
      <c r="P60" s="1">
        <f>SUM(OSRRefP22_4x_0)</f>
        <v>0</v>
      </c>
      <c r="Q60" s="1"/>
      <c r="R60" s="5">
        <f t="shared" si="32"/>
        <v>0</v>
      </c>
      <c r="S60" s="1"/>
      <c r="T60" s="1">
        <f>SUM(OSRRefT22_4x_0)</f>
        <v>140</v>
      </c>
      <c r="U60" s="1"/>
      <c r="V60" s="5">
        <f t="shared" si="33"/>
        <v>1.0216032603738338E-4</v>
      </c>
      <c r="W60" s="1"/>
      <c r="X60" s="1">
        <f t="shared" si="34"/>
        <v>-140</v>
      </c>
      <c r="Y60" s="1"/>
      <c r="Z60" s="5">
        <f t="shared" si="35"/>
        <v>-1</v>
      </c>
    </row>
    <row r="61" spans="1:26" s="24" customFormat="1" hidden="1" outlineLevel="2" x14ac:dyDescent="0.3">
      <c r="A61" s="27"/>
      <c r="B61" s="11" t="str">
        <f>CONCATENATE("          ", "6277", " - ", "EMPLOYEE APPRECIATION")</f>
        <v xml:space="preserve">          6277 - EMPLOYEE APPRECIATION</v>
      </c>
      <c r="C61" s="11"/>
      <c r="D61" s="7"/>
      <c r="E61" s="2"/>
      <c r="F61" s="6">
        <f t="shared" si="28"/>
        <v>0</v>
      </c>
      <c r="G61" s="2"/>
      <c r="H61" s="7">
        <v>20</v>
      </c>
      <c r="I61" s="2"/>
      <c r="J61" s="6">
        <f t="shared" si="29"/>
        <v>1.0937508544928551E-4</v>
      </c>
      <c r="K61" s="2"/>
      <c r="L61" s="7">
        <f t="shared" si="30"/>
        <v>-20</v>
      </c>
      <c r="M61" s="2"/>
      <c r="N61" s="6">
        <f t="shared" si="31"/>
        <v>-1</v>
      </c>
      <c r="O61" s="11"/>
      <c r="P61" s="7"/>
      <c r="Q61" s="2"/>
      <c r="R61" s="6">
        <f t="shared" si="32"/>
        <v>0</v>
      </c>
      <c r="S61" s="2"/>
      <c r="T61" s="7">
        <v>140</v>
      </c>
      <c r="U61" s="2"/>
      <c r="V61" s="6">
        <f t="shared" si="33"/>
        <v>1.0216032603738338E-4</v>
      </c>
      <c r="W61" s="2"/>
      <c r="X61" s="7">
        <f t="shared" si="34"/>
        <v>-140</v>
      </c>
      <c r="Y61" s="2"/>
      <c r="Z61" s="6">
        <f t="shared" si="35"/>
        <v>-1</v>
      </c>
    </row>
    <row r="62" spans="1:26" s="28" customFormat="1" outlineLevel="1" collapsed="1" x14ac:dyDescent="0.3">
      <c r="A62" s="29"/>
      <c r="B62" s="14" t="str">
        <f>CONCATENATE("     ","Freight out/Postage                               ")</f>
        <v xml:space="preserve">     Freight out/Postage                               </v>
      </c>
      <c r="C62" s="14"/>
      <c r="D62" s="1">
        <f>SUM(OSRRefD22_5x_0)</f>
        <v>0</v>
      </c>
      <c r="E62" s="1"/>
      <c r="F62" s="5">
        <f t="shared" si="28"/>
        <v>0</v>
      </c>
      <c r="G62" s="1"/>
      <c r="H62" s="1">
        <f>SUM(OSRRefH22_5x_0)</f>
        <v>15</v>
      </c>
      <c r="I62" s="1"/>
      <c r="J62" s="5">
        <f t="shared" si="29"/>
        <v>8.2031314086964134E-5</v>
      </c>
      <c r="K62" s="1"/>
      <c r="L62" s="1">
        <f t="shared" si="30"/>
        <v>-15</v>
      </c>
      <c r="M62" s="1"/>
      <c r="N62" s="5">
        <f t="shared" si="31"/>
        <v>-1</v>
      </c>
      <c r="O62" s="14"/>
      <c r="P62" s="1">
        <f>SUM(OSRRefP22_5x_0)</f>
        <v>122.13</v>
      </c>
      <c r="Q62" s="1"/>
      <c r="R62" s="5">
        <f t="shared" si="32"/>
        <v>1.0880884825393113E-4</v>
      </c>
      <c r="S62" s="1"/>
      <c r="T62" s="1">
        <f>SUM(OSRRefT22_5x_0)</f>
        <v>105</v>
      </c>
      <c r="U62" s="1"/>
      <c r="V62" s="5">
        <f t="shared" si="33"/>
        <v>7.6620244528037543E-5</v>
      </c>
      <c r="W62" s="1"/>
      <c r="X62" s="1">
        <f t="shared" si="34"/>
        <v>17.129999999999995</v>
      </c>
      <c r="Y62" s="1"/>
      <c r="Z62" s="5">
        <f t="shared" si="35"/>
        <v>0.16314285714285709</v>
      </c>
    </row>
    <row r="63" spans="1:26" s="24" customFormat="1" hidden="1" outlineLevel="2" x14ac:dyDescent="0.3">
      <c r="A63" s="27"/>
      <c r="B63" s="11" t="str">
        <f>CONCATENATE("          ", "6305", " - ", "FREIGHT OUT")</f>
        <v xml:space="preserve">          6305 - FREIGHT OUT</v>
      </c>
      <c r="C63" s="11"/>
      <c r="D63" s="7"/>
      <c r="E63" s="2"/>
      <c r="F63" s="6">
        <f t="shared" si="28"/>
        <v>0</v>
      </c>
      <c r="G63" s="2"/>
      <c r="H63" s="7">
        <v>15</v>
      </c>
      <c r="I63" s="2"/>
      <c r="J63" s="6">
        <f t="shared" si="29"/>
        <v>8.2031314086964134E-5</v>
      </c>
      <c r="K63" s="2"/>
      <c r="L63" s="7">
        <f t="shared" si="30"/>
        <v>-15</v>
      </c>
      <c r="M63" s="2"/>
      <c r="N63" s="6">
        <f t="shared" si="31"/>
        <v>-1</v>
      </c>
      <c r="O63" s="11"/>
      <c r="P63" s="7">
        <v>122.13</v>
      </c>
      <c r="Q63" s="2"/>
      <c r="R63" s="6">
        <f t="shared" si="32"/>
        <v>1.0880884825393113E-4</v>
      </c>
      <c r="S63" s="2"/>
      <c r="T63" s="7">
        <v>105</v>
      </c>
      <c r="U63" s="2"/>
      <c r="V63" s="6">
        <f t="shared" si="33"/>
        <v>7.6620244528037543E-5</v>
      </c>
      <c r="W63" s="2"/>
      <c r="X63" s="7">
        <f t="shared" si="34"/>
        <v>17.129999999999995</v>
      </c>
      <c r="Y63" s="2"/>
      <c r="Z63" s="6">
        <f t="shared" si="35"/>
        <v>0.16314285714285709</v>
      </c>
    </row>
    <row r="64" spans="1:26" s="28" customFormat="1" outlineLevel="1" collapsed="1" x14ac:dyDescent="0.3">
      <c r="A64" s="29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SUM(OSRRefD22_6x_0)</f>
        <v>0</v>
      </c>
      <c r="E64" s="1"/>
      <c r="F64" s="5">
        <f t="shared" si="28"/>
        <v>0</v>
      </c>
      <c r="G64" s="1"/>
      <c r="H64" s="1">
        <f>SUM(OSRRefH22_6x_0)</f>
        <v>30</v>
      </c>
      <c r="I64" s="1"/>
      <c r="J64" s="5">
        <f t="shared" si="29"/>
        <v>1.6406262817392827E-4</v>
      </c>
      <c r="K64" s="1"/>
      <c r="L64" s="1">
        <f t="shared" si="30"/>
        <v>-30</v>
      </c>
      <c r="M64" s="1"/>
      <c r="N64" s="5">
        <f t="shared" si="31"/>
        <v>-1</v>
      </c>
      <c r="O64" s="14"/>
      <c r="P64" s="1">
        <f>SUM(OSRRefP22_6x_0)</f>
        <v>0</v>
      </c>
      <c r="Q64" s="1"/>
      <c r="R64" s="5">
        <f t="shared" si="32"/>
        <v>0</v>
      </c>
      <c r="S64" s="1"/>
      <c r="T64" s="1">
        <f>SUM(OSRRefT22_6x_0)</f>
        <v>210</v>
      </c>
      <c r="U64" s="1"/>
      <c r="V64" s="5">
        <f t="shared" si="33"/>
        <v>1.5324048905607509E-4</v>
      </c>
      <c r="W64" s="1"/>
      <c r="X64" s="1">
        <f t="shared" si="34"/>
        <v>-210</v>
      </c>
      <c r="Y64" s="1"/>
      <c r="Z64" s="5">
        <f t="shared" si="35"/>
        <v>-1</v>
      </c>
    </row>
    <row r="65" spans="1:26" s="24" customFormat="1" hidden="1" outlineLevel="2" x14ac:dyDescent="0.3">
      <c r="A65" s="27"/>
      <c r="B65" s="11" t="str">
        <f>CONCATENATE("          ", "6279", " - ", "GENERAL EXPENSE")</f>
        <v xml:space="preserve">          6279 - GENERAL EXPENSE</v>
      </c>
      <c r="C65" s="11"/>
      <c r="D65" s="7"/>
      <c r="E65" s="2"/>
      <c r="F65" s="6">
        <f t="shared" si="28"/>
        <v>0</v>
      </c>
      <c r="G65" s="2"/>
      <c r="H65" s="7">
        <v>30</v>
      </c>
      <c r="I65" s="2"/>
      <c r="J65" s="6">
        <f t="shared" si="29"/>
        <v>1.6406262817392827E-4</v>
      </c>
      <c r="K65" s="2"/>
      <c r="L65" s="7">
        <f t="shared" si="30"/>
        <v>-30</v>
      </c>
      <c r="M65" s="2"/>
      <c r="N65" s="6">
        <f t="shared" si="31"/>
        <v>-1</v>
      </c>
      <c r="O65" s="11"/>
      <c r="P65" s="7"/>
      <c r="Q65" s="2"/>
      <c r="R65" s="6">
        <f t="shared" si="32"/>
        <v>0</v>
      </c>
      <c r="S65" s="2"/>
      <c r="T65" s="7">
        <v>210</v>
      </c>
      <c r="U65" s="2"/>
      <c r="V65" s="6">
        <f t="shared" si="33"/>
        <v>1.5324048905607509E-4</v>
      </c>
      <c r="W65" s="2"/>
      <c r="X65" s="7">
        <f t="shared" si="34"/>
        <v>-210</v>
      </c>
      <c r="Y65" s="2"/>
      <c r="Z65" s="6">
        <f t="shared" si="35"/>
        <v>-1</v>
      </c>
    </row>
    <row r="66" spans="1:26" s="28" customFormat="1" outlineLevel="1" collapsed="1" x14ac:dyDescent="0.3">
      <c r="A66" s="29"/>
      <c r="B66" s="14" t="str">
        <f>CONCATENATE("     ","Inventory Adjustment                              ")</f>
        <v xml:space="preserve">     Inventory Adjustment                              </v>
      </c>
      <c r="C66" s="14"/>
      <c r="D66" s="1">
        <f>SUM(OSRRefD22_7x_0)</f>
        <v>970</v>
      </c>
      <c r="E66" s="1"/>
      <c r="F66" s="5">
        <f t="shared" si="28"/>
        <v>6.226837928247568E-3</v>
      </c>
      <c r="G66" s="1"/>
      <c r="H66" s="1">
        <f>SUM(OSRRefH22_7x_0)</f>
        <v>970</v>
      </c>
      <c r="I66" s="1"/>
      <c r="J66" s="5">
        <f t="shared" si="29"/>
        <v>5.304691644290347E-3</v>
      </c>
      <c r="K66" s="1"/>
      <c r="L66" s="1">
        <f t="shared" si="30"/>
        <v>0</v>
      </c>
      <c r="M66" s="1"/>
      <c r="N66" s="5">
        <f t="shared" si="31"/>
        <v>0</v>
      </c>
      <c r="O66" s="14"/>
      <c r="P66" s="1">
        <f>SUM(OSRRefP22_7x_0)</f>
        <v>6610</v>
      </c>
      <c r="Q66" s="1"/>
      <c r="R66" s="5">
        <f t="shared" si="32"/>
        <v>5.8890238840455644E-3</v>
      </c>
      <c r="S66" s="1"/>
      <c r="T66" s="1">
        <f>SUM(OSRRefT22_7x_0)</f>
        <v>7320</v>
      </c>
      <c r="U66" s="1"/>
      <c r="V66" s="5">
        <f t="shared" si="33"/>
        <v>5.3415256185260452E-3</v>
      </c>
      <c r="W66" s="1"/>
      <c r="X66" s="1">
        <f t="shared" si="34"/>
        <v>-710</v>
      </c>
      <c r="Y66" s="1"/>
      <c r="Z66" s="5">
        <f t="shared" si="35"/>
        <v>-9.699453551912568E-2</v>
      </c>
    </row>
    <row r="67" spans="1:26" s="24" customFormat="1" hidden="1" outlineLevel="2" x14ac:dyDescent="0.3">
      <c r="A67" s="27"/>
      <c r="B67" s="11" t="str">
        <f>CONCATENATE("          ", "6408", " - ", "INVENTORY ADJUSTMENT")</f>
        <v xml:space="preserve">          6408 - INVENTORY ADJUSTMENT</v>
      </c>
      <c r="C67" s="11"/>
      <c r="D67" s="7">
        <v>970</v>
      </c>
      <c r="E67" s="2"/>
      <c r="F67" s="6">
        <f t="shared" si="28"/>
        <v>6.226837928247568E-3</v>
      </c>
      <c r="G67" s="2"/>
      <c r="H67" s="7">
        <v>970</v>
      </c>
      <c r="I67" s="2"/>
      <c r="J67" s="6">
        <f t="shared" si="29"/>
        <v>5.304691644290347E-3</v>
      </c>
      <c r="K67" s="2"/>
      <c r="L67" s="7">
        <f t="shared" si="30"/>
        <v>0</v>
      </c>
      <c r="M67" s="2"/>
      <c r="N67" s="6">
        <f t="shared" si="31"/>
        <v>0</v>
      </c>
      <c r="O67" s="11"/>
      <c r="P67" s="7">
        <v>6610</v>
      </c>
      <c r="Q67" s="2"/>
      <c r="R67" s="6">
        <f t="shared" si="32"/>
        <v>5.8890238840455644E-3</v>
      </c>
      <c r="S67" s="2"/>
      <c r="T67" s="7">
        <v>7320</v>
      </c>
      <c r="U67" s="2"/>
      <c r="V67" s="6">
        <f t="shared" si="33"/>
        <v>5.3415256185260452E-3</v>
      </c>
      <c r="W67" s="2"/>
      <c r="X67" s="7">
        <f t="shared" si="34"/>
        <v>-710</v>
      </c>
      <c r="Y67" s="2"/>
      <c r="Z67" s="6">
        <f t="shared" si="35"/>
        <v>-9.699453551912568E-2</v>
      </c>
    </row>
    <row r="68" spans="1:26" s="28" customFormat="1" outlineLevel="1" collapsed="1" x14ac:dyDescent="0.3">
      <c r="A68" s="29"/>
      <c r="B68" s="14" t="str">
        <f>CONCATENATE("     ","Supplies                                          ")</f>
        <v xml:space="preserve">     Supplies                                          </v>
      </c>
      <c r="C68" s="14"/>
      <c r="D68" s="1">
        <f>SUM(OSRRefD22_8x_0)</f>
        <v>11.04</v>
      </c>
      <c r="E68" s="1"/>
      <c r="F68" s="5">
        <f t="shared" si="28"/>
        <v>7.0870402812219741E-5</v>
      </c>
      <c r="G68" s="1"/>
      <c r="H68" s="1">
        <f>SUM(OSRRefH22_8x_0)</f>
        <v>310</v>
      </c>
      <c r="I68" s="1"/>
      <c r="J68" s="5">
        <f t="shared" si="29"/>
        <v>1.6953138244639255E-3</v>
      </c>
      <c r="K68" s="1"/>
      <c r="L68" s="1">
        <f t="shared" si="30"/>
        <v>-298.95999999999998</v>
      </c>
      <c r="M68" s="1"/>
      <c r="N68" s="5">
        <f t="shared" si="31"/>
        <v>-0.96438709677419343</v>
      </c>
      <c r="O68" s="14"/>
      <c r="P68" s="1">
        <f>SUM(OSRRefP22_8x_0)</f>
        <v>3318.5</v>
      </c>
      <c r="Q68" s="1"/>
      <c r="R68" s="5">
        <f t="shared" si="32"/>
        <v>2.9565394491989721E-3</v>
      </c>
      <c r="S68" s="1"/>
      <c r="T68" s="1">
        <f>SUM(OSRRefT22_8x_0)</f>
        <v>2170</v>
      </c>
      <c r="U68" s="1"/>
      <c r="V68" s="5">
        <f t="shared" si="33"/>
        <v>1.5834850535794425E-3</v>
      </c>
      <c r="W68" s="1"/>
      <c r="X68" s="1">
        <f t="shared" si="34"/>
        <v>1148.5</v>
      </c>
      <c r="Y68" s="1"/>
      <c r="Z68" s="5">
        <f t="shared" si="35"/>
        <v>0.52926267281105988</v>
      </c>
    </row>
    <row r="69" spans="1:26" s="24" customFormat="1" hidden="1" outlineLevel="2" x14ac:dyDescent="0.3">
      <c r="A69" s="27"/>
      <c r="B69" s="11" t="str">
        <f>CONCATENATE("          ", "6241", " - ", "OFFICE EXPENSE")</f>
        <v xml:space="preserve">          6241 - OFFICE EXPENSE</v>
      </c>
      <c r="C69" s="11"/>
      <c r="D69" s="7">
        <v>11.04</v>
      </c>
      <c r="E69" s="2"/>
      <c r="F69" s="6">
        <f t="shared" si="28"/>
        <v>7.0870402812219741E-5</v>
      </c>
      <c r="G69" s="2"/>
      <c r="H69" s="7">
        <v>110</v>
      </c>
      <c r="I69" s="2"/>
      <c r="J69" s="6">
        <f t="shared" si="29"/>
        <v>6.015629699710703E-4</v>
      </c>
      <c r="K69" s="2"/>
      <c r="L69" s="7">
        <f t="shared" si="30"/>
        <v>-98.960000000000008</v>
      </c>
      <c r="M69" s="2"/>
      <c r="N69" s="6">
        <f t="shared" si="31"/>
        <v>-0.89963636363636368</v>
      </c>
      <c r="O69" s="11"/>
      <c r="P69" s="7">
        <v>406.5</v>
      </c>
      <c r="Q69" s="2"/>
      <c r="R69" s="6">
        <f t="shared" si="32"/>
        <v>3.6216160497193979E-4</v>
      </c>
      <c r="S69" s="2"/>
      <c r="T69" s="7">
        <v>770</v>
      </c>
      <c r="U69" s="2"/>
      <c r="V69" s="6">
        <f t="shared" si="33"/>
        <v>5.6188179320560859E-4</v>
      </c>
      <c r="W69" s="2"/>
      <c r="X69" s="7">
        <f t="shared" si="34"/>
        <v>-363.5</v>
      </c>
      <c r="Y69" s="2"/>
      <c r="Z69" s="6">
        <f t="shared" si="35"/>
        <v>-0.4720779220779221</v>
      </c>
    </row>
    <row r="70" spans="1:26" s="24" customFormat="1" hidden="1" outlineLevel="2" x14ac:dyDescent="0.3">
      <c r="A70" s="27"/>
      <c r="B70" s="11" t="str">
        <f>CONCATENATE("          ", "6247", " - ", "STORE SUPPLIES")</f>
        <v xml:space="preserve">          6247 - STORE SUPPLIES</v>
      </c>
      <c r="C70" s="11"/>
      <c r="D70" s="7"/>
      <c r="E70" s="2"/>
      <c r="F70" s="6">
        <f t="shared" si="28"/>
        <v>0</v>
      </c>
      <c r="G70" s="2"/>
      <c r="H70" s="7">
        <v>200</v>
      </c>
      <c r="I70" s="2"/>
      <c r="J70" s="6">
        <f t="shared" si="29"/>
        <v>1.093750854492855E-3</v>
      </c>
      <c r="K70" s="2"/>
      <c r="L70" s="7">
        <f t="shared" si="30"/>
        <v>-200</v>
      </c>
      <c r="M70" s="2"/>
      <c r="N70" s="6">
        <f t="shared" si="31"/>
        <v>-1</v>
      </c>
      <c r="O70" s="11"/>
      <c r="P70" s="7">
        <v>2912</v>
      </c>
      <c r="Q70" s="2"/>
      <c r="R70" s="6">
        <f t="shared" si="32"/>
        <v>2.5943778442270326E-3</v>
      </c>
      <c r="S70" s="2"/>
      <c r="T70" s="7">
        <v>1400</v>
      </c>
      <c r="U70" s="2"/>
      <c r="V70" s="6">
        <f t="shared" si="33"/>
        <v>1.0216032603738339E-3</v>
      </c>
      <c r="W70" s="2"/>
      <c r="X70" s="7">
        <f t="shared" si="34"/>
        <v>1512</v>
      </c>
      <c r="Y70" s="2"/>
      <c r="Z70" s="6">
        <f t="shared" si="35"/>
        <v>1.08</v>
      </c>
    </row>
    <row r="71" spans="1:26" s="28" customFormat="1" outlineLevel="1" collapsed="1" x14ac:dyDescent="0.3">
      <c r="A71" s="29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SUM(OSRRefD22_9x_0)</f>
        <v>203.25</v>
      </c>
      <c r="E71" s="1"/>
      <c r="F71" s="5">
        <f t="shared" ref="F71:F72" si="36">IF(D$12=0,0,D71/D$12)</f>
        <v>1.3047472256869259E-3</v>
      </c>
      <c r="G71" s="1"/>
      <c r="H71" s="1">
        <f>SUM(OSRRefH22_9x_0)</f>
        <v>325</v>
      </c>
      <c r="I71" s="1"/>
      <c r="J71" s="5">
        <f t="shared" ref="J71:J72" si="37">IF(H$12=0,0,H71/H$12)</f>
        <v>1.7773451385508896E-3</v>
      </c>
      <c r="K71" s="1"/>
      <c r="L71" s="1">
        <f t="shared" ref="L71:L72" si="38">+D71-H71</f>
        <v>-121.75</v>
      </c>
      <c r="M71" s="1"/>
      <c r="N71" s="5">
        <f t="shared" ref="N71:N72" si="39">IF(H71=0,0,L71/H71)</f>
        <v>-0.37461538461538463</v>
      </c>
      <c r="O71" s="14"/>
      <c r="P71" s="1">
        <f>SUM(OSRRefP22_9x_0)</f>
        <v>1465.6</v>
      </c>
      <c r="Q71" s="1"/>
      <c r="R71" s="5">
        <f t="shared" ref="R71:R72" si="40">IF(P$12=0,0,P71/P$12)</f>
        <v>1.3057418161054734E-3</v>
      </c>
      <c r="S71" s="1"/>
      <c r="T71" s="1">
        <f>SUM(OSRRefT22_9x_0)</f>
        <v>2275</v>
      </c>
      <c r="U71" s="1"/>
      <c r="V71" s="5">
        <f t="shared" ref="V71:V72" si="41">IF(T$12=0,0,T71/T$12)</f>
        <v>1.6601052981074799E-3</v>
      </c>
      <c r="W71" s="1"/>
      <c r="X71" s="1">
        <f t="shared" ref="X71:X72" si="42">+P71-T71</f>
        <v>-809.40000000000009</v>
      </c>
      <c r="Y71" s="1"/>
      <c r="Z71" s="5">
        <f t="shared" ref="Z71:Z72" si="43">IF(T71=0,0,X71/T71)</f>
        <v>-0.35578021978021984</v>
      </c>
    </row>
    <row r="72" spans="1:26" s="24" customFormat="1" hidden="1" outlineLevel="2" x14ac:dyDescent="0.3">
      <c r="A72" s="27"/>
      <c r="B72" s="11" t="str">
        <f>CONCATENATE("          ", "6309", " - ", "TELEPHONE")</f>
        <v xml:space="preserve">          6309 - TELEPHONE</v>
      </c>
      <c r="C72" s="11"/>
      <c r="D72" s="7">
        <v>203.25</v>
      </c>
      <c r="E72" s="2"/>
      <c r="F72" s="6">
        <f t="shared" si="36"/>
        <v>1.3047472256869259E-3</v>
      </c>
      <c r="G72" s="2"/>
      <c r="H72" s="7">
        <v>325</v>
      </c>
      <c r="I72" s="2"/>
      <c r="J72" s="6">
        <f t="shared" si="37"/>
        <v>1.7773451385508896E-3</v>
      </c>
      <c r="K72" s="2"/>
      <c r="L72" s="7">
        <f t="shared" si="38"/>
        <v>-121.75</v>
      </c>
      <c r="M72" s="2"/>
      <c r="N72" s="6">
        <f t="shared" si="39"/>
        <v>-0.37461538461538463</v>
      </c>
      <c r="O72" s="11"/>
      <c r="P72" s="7">
        <v>1465.6</v>
      </c>
      <c r="Q72" s="2"/>
      <c r="R72" s="6">
        <f t="shared" si="40"/>
        <v>1.3057418161054734E-3</v>
      </c>
      <c r="S72" s="2"/>
      <c r="T72" s="7">
        <v>2275</v>
      </c>
      <c r="U72" s="2"/>
      <c r="V72" s="6">
        <f t="shared" si="41"/>
        <v>1.6601052981074799E-3</v>
      </c>
      <c r="W72" s="2"/>
      <c r="X72" s="7">
        <f t="shared" si="42"/>
        <v>-809.40000000000009</v>
      </c>
      <c r="Y72" s="2"/>
      <c r="Z72" s="6">
        <f t="shared" si="43"/>
        <v>-0.35578021978021984</v>
      </c>
    </row>
    <row r="73" spans="1:26" s="55" customFormat="1" x14ac:dyDescent="0.3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collapsed="1" x14ac:dyDescent="0.3">
      <c r="A74" s="10"/>
      <c r="B74" s="25" t="s">
        <v>293</v>
      </c>
      <c r="C74" s="10"/>
      <c r="D74" s="4">
        <f>SUM(OSRRefD25x_0)</f>
        <v>1242.72</v>
      </c>
      <c r="E74" s="4"/>
      <c r="F74" s="12">
        <f t="shared" ref="F74:F77" si="44">IF(D$12=0,0,D74/D$12)</f>
        <v>7.9775422991668222E-3</v>
      </c>
      <c r="G74" s="4"/>
      <c r="H74" s="4">
        <f>SUM(OSRRefH25x_0)</f>
        <v>1540</v>
      </c>
      <c r="I74" s="4"/>
      <c r="J74" s="12">
        <f t="shared" ref="J74:J77" si="45">IF(H$12=0,0,H74/H$12)</f>
        <v>8.421881579594984E-3</v>
      </c>
      <c r="K74" s="4"/>
      <c r="L74" s="4">
        <f t="shared" ref="L74:L77" si="46">+D74-H74</f>
        <v>-297.27999999999997</v>
      </c>
      <c r="M74" s="4"/>
      <c r="N74" s="12">
        <f t="shared" ref="N74:N77" si="47">IF(H74=0,0,L74/H74)</f>
        <v>-0.19303896103896101</v>
      </c>
      <c r="O74" s="10"/>
      <c r="P74" s="4">
        <f>SUM(OSRRefP25x_0)</f>
        <v>3840.75</v>
      </c>
      <c r="Q74" s="4"/>
      <c r="R74" s="12">
        <f t="shared" ref="R74:R77" si="48">IF(P$12=0,0,P74/P$12)</f>
        <v>3.4218257916260215E-3</v>
      </c>
      <c r="S74" s="4"/>
      <c r="T74" s="4">
        <f>SUM(OSRRefT25x_0)</f>
        <v>12874</v>
      </c>
      <c r="U74" s="4"/>
      <c r="V74" s="12">
        <f t="shared" ref="V74:V77" si="49">IF(T$12=0,0,T74/T$12)</f>
        <v>9.3943716957519546E-3</v>
      </c>
      <c r="W74" s="4"/>
      <c r="X74" s="4">
        <f t="shared" ref="X74:X77" si="50">+P74-T74</f>
        <v>-9033.25</v>
      </c>
      <c r="Y74" s="4"/>
      <c r="Z74" s="12">
        <f t="shared" ref="Z74:Z77" si="51">IF(T74=0,0,X74/T74)</f>
        <v>-0.70166614882709333</v>
      </c>
    </row>
    <row r="75" spans="1:26" s="24" customFormat="1" hidden="1" outlineLevel="1" x14ac:dyDescent="0.3">
      <c r="A75" s="44"/>
      <c r="B75" s="11" t="str">
        <f>CONCATENATE("          ", "4187", " - ", "NON-TAXABLE SALES-COMPUTER REP")</f>
        <v xml:space="preserve">          4187 - NON-TAXABLE SALES-COMPUTER REP</v>
      </c>
      <c r="C75" s="11"/>
      <c r="D75" s="2">
        <f>0</f>
        <v>0</v>
      </c>
      <c r="E75" s="2"/>
      <c r="F75" s="19">
        <f t="shared" si="44"/>
        <v>0</v>
      </c>
      <c r="G75" s="2"/>
      <c r="H75" s="2"/>
      <c r="I75" s="2"/>
      <c r="J75" s="19">
        <f t="shared" si="45"/>
        <v>0</v>
      </c>
      <c r="K75" s="2"/>
      <c r="L75" s="2">
        <f t="shared" si="46"/>
        <v>0</v>
      </c>
      <c r="M75" s="2"/>
      <c r="N75" s="19">
        <f t="shared" si="47"/>
        <v>0</v>
      </c>
      <c r="O75" s="11"/>
      <c r="P75" s="2">
        <f>0</f>
        <v>0</v>
      </c>
      <c r="Q75" s="2"/>
      <c r="R75" s="19">
        <f t="shared" si="48"/>
        <v>0</v>
      </c>
      <c r="S75" s="2"/>
      <c r="T75" s="2"/>
      <c r="U75" s="2"/>
      <c r="V75" s="19">
        <f t="shared" si="49"/>
        <v>0</v>
      </c>
      <c r="W75" s="2"/>
      <c r="X75" s="2">
        <f t="shared" si="50"/>
        <v>0</v>
      </c>
      <c r="Y75" s="2"/>
      <c r="Z75" s="19">
        <f t="shared" si="51"/>
        <v>0</v>
      </c>
    </row>
    <row r="76" spans="1:26" s="24" customFormat="1" hidden="1" outlineLevel="1" x14ac:dyDescent="0.3">
      <c r="A76" s="44"/>
      <c r="B76" s="11" t="str">
        <f>CONCATENATE("          ", "9087", " - ", "")</f>
        <v xml:space="preserve">          9087 - </v>
      </c>
      <c r="C76" s="11"/>
      <c r="D76" s="2">
        <f>--1293.31</f>
        <v>1293.31</v>
      </c>
      <c r="E76" s="2"/>
      <c r="F76" s="19">
        <f t="shared" si="44"/>
        <v>8.3023007845173837E-3</v>
      </c>
      <c r="G76" s="2"/>
      <c r="H76" s="2"/>
      <c r="I76" s="2"/>
      <c r="J76" s="19">
        <f t="shared" si="45"/>
        <v>0</v>
      </c>
      <c r="K76" s="2"/>
      <c r="L76" s="2">
        <f t="shared" si="46"/>
        <v>1293.31</v>
      </c>
      <c r="M76" s="2"/>
      <c r="N76" s="19">
        <f t="shared" si="47"/>
        <v>0</v>
      </c>
      <c r="O76" s="11"/>
      <c r="P76" s="2">
        <f>--1631.01</f>
        <v>1631.01</v>
      </c>
      <c r="Q76" s="2"/>
      <c r="R76" s="19">
        <f t="shared" si="48"/>
        <v>1.4531099614398118E-3</v>
      </c>
      <c r="S76" s="2"/>
      <c r="T76" s="2"/>
      <c r="U76" s="2"/>
      <c r="V76" s="19">
        <f t="shared" si="49"/>
        <v>0</v>
      </c>
      <c r="W76" s="2"/>
      <c r="X76" s="2">
        <f t="shared" si="50"/>
        <v>1631.01</v>
      </c>
      <c r="Y76" s="2"/>
      <c r="Z76" s="19">
        <f t="shared" si="51"/>
        <v>0</v>
      </c>
    </row>
    <row r="77" spans="1:26" s="24" customFormat="1" hidden="1" outlineLevel="1" x14ac:dyDescent="0.3">
      <c r="A77" s="44"/>
      <c r="B77" s="11" t="str">
        <f>CONCATENATE("          ", "9150", " - ", "MISC. INCOME")</f>
        <v xml:space="preserve">          9150 - MISC. INCOME</v>
      </c>
      <c r="C77" s="11"/>
      <c r="D77" s="2">
        <f>-50.59</f>
        <v>-50.59</v>
      </c>
      <c r="E77" s="2"/>
      <c r="F77" s="19">
        <f t="shared" si="44"/>
        <v>-3.2475848535056131E-4</v>
      </c>
      <c r="G77" s="2"/>
      <c r="H77" s="2">
        <v>1540</v>
      </c>
      <c r="I77" s="2"/>
      <c r="J77" s="19">
        <f t="shared" si="45"/>
        <v>8.421881579594984E-3</v>
      </c>
      <c r="K77" s="2"/>
      <c r="L77" s="2">
        <f t="shared" si="46"/>
        <v>-1590.59</v>
      </c>
      <c r="M77" s="2"/>
      <c r="N77" s="19">
        <f t="shared" si="47"/>
        <v>-1.0328506493506493</v>
      </c>
      <c r="O77" s="11"/>
      <c r="P77" s="2">
        <f>--2209.74</f>
        <v>2209.7399999999998</v>
      </c>
      <c r="Q77" s="2"/>
      <c r="R77" s="19">
        <f t="shared" si="48"/>
        <v>1.9687158301862095E-3</v>
      </c>
      <c r="S77" s="2"/>
      <c r="T77" s="2">
        <v>12874</v>
      </c>
      <c r="U77" s="2"/>
      <c r="V77" s="19">
        <f t="shared" si="49"/>
        <v>9.3943716957519546E-3</v>
      </c>
      <c r="W77" s="2"/>
      <c r="X77" s="2">
        <f t="shared" si="50"/>
        <v>-10664.26</v>
      </c>
      <c r="Y77" s="2"/>
      <c r="Z77" s="19">
        <f t="shared" si="51"/>
        <v>-0.82835637719434518</v>
      </c>
    </row>
    <row r="78" spans="1:26" x14ac:dyDescent="0.3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3">
      <c r="A79" s="10"/>
      <c r="B79" s="26" t="s">
        <v>277</v>
      </c>
      <c r="C79" s="26"/>
      <c r="D79" s="21">
        <f>+D31-D33+D74</f>
        <v>9715.6400000000158</v>
      </c>
      <c r="E79" s="13"/>
      <c r="F79" s="22">
        <f>IF(D$12=0,0,D79/D$12)</f>
        <v>6.2368779019793097E-2</v>
      </c>
      <c r="G79" s="13"/>
      <c r="H79" s="21">
        <f>+H31-H33+H74</f>
        <v>1546.9643249125002</v>
      </c>
      <c r="I79" s="13"/>
      <c r="J79" s="22">
        <f>IF(H$12=0,0,H79/H$12)</f>
        <v>8.4599677612150481E-3</v>
      </c>
      <c r="K79" s="15"/>
      <c r="L79" s="21">
        <f>+D79-H79</f>
        <v>8168.6756750875156</v>
      </c>
      <c r="M79" s="15"/>
      <c r="N79" s="22">
        <f>IF(H79=0,0,L79/H79)</f>
        <v>5.2804551103979431</v>
      </c>
      <c r="O79" s="25"/>
      <c r="P79" s="21">
        <f>+P31-P33+P74</f>
        <v>72062.690000000061</v>
      </c>
      <c r="Q79" s="13"/>
      <c r="R79" s="22">
        <f>IF(P$12=0,0,P79/P$12)</f>
        <v>6.4202557119299827E-2</v>
      </c>
      <c r="S79" s="13"/>
      <c r="T79" s="21">
        <f>+T31-T33+T74</f>
        <v>43218.145343257507</v>
      </c>
      <c r="U79" s="13"/>
      <c r="V79" s="22">
        <f>IF(T$12=0,0,T79/T$12)</f>
        <v>3.1536998707130066E-2</v>
      </c>
      <c r="W79" s="15"/>
      <c r="X79" s="21">
        <f>+P79-T79</f>
        <v>28844.544656742553</v>
      </c>
      <c r="Y79" s="15"/>
      <c r="Z79" s="22">
        <f>IF(T79=0,0,X79/T79)</f>
        <v>0.66741745689562804</v>
      </c>
    </row>
    <row r="80" spans="1:26" x14ac:dyDescent="0.3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3">
      <c r="A81" s="52"/>
      <c r="B81" s="10" t="s">
        <v>128</v>
      </c>
      <c r="C81" s="10"/>
      <c r="D81" s="4">
        <v>32216.33</v>
      </c>
      <c r="E81" s="4"/>
      <c r="F81" s="12">
        <f>IF(D$12=0,0,D81/D$12)</f>
        <v>0.20681017067313401</v>
      </c>
      <c r="G81" s="4"/>
      <c r="H81" s="4">
        <v>17954</v>
      </c>
      <c r="I81" s="4"/>
      <c r="J81" s="12">
        <f>IF(H$12=0,0,H81/H$12)</f>
        <v>9.8186014207823594E-2</v>
      </c>
      <c r="K81" s="4"/>
      <c r="L81" s="4">
        <f>+D81-H81</f>
        <v>14262.330000000002</v>
      </c>
      <c r="M81" s="4"/>
      <c r="N81" s="12">
        <f>IF(H81=0,0,L81/H81)</f>
        <v>0.79438175336972272</v>
      </c>
      <c r="O81" s="10"/>
      <c r="P81" s="4">
        <v>148572.74</v>
      </c>
      <c r="Q81" s="4"/>
      <c r="R81" s="12">
        <f>IF(P$12=0,0,P81/P$12)</f>
        <v>0.13236738492860692</v>
      </c>
      <c r="S81" s="4"/>
      <c r="T81" s="4">
        <v>171707</v>
      </c>
      <c r="U81" s="4"/>
      <c r="V81" s="12">
        <f>IF(T$12=0,0,T81/T$12)</f>
        <v>0.12529745073500706</v>
      </c>
      <c r="W81" s="4"/>
      <c r="X81" s="4">
        <f>+P81-T81</f>
        <v>-23134.260000000009</v>
      </c>
      <c r="Y81" s="4"/>
      <c r="Z81" s="12">
        <f>IF(T81=0,0,X81/T81)</f>
        <v>-0.13473102436126663</v>
      </c>
    </row>
    <row r="82" spans="1:26" x14ac:dyDescent="0.3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" thickBot="1" x14ac:dyDescent="0.35">
      <c r="A83" s="10"/>
      <c r="B83" s="26" t="s">
        <v>126</v>
      </c>
      <c r="C83" s="26"/>
      <c r="D83" s="32">
        <f>+D79-D81</f>
        <v>-22500.689999999988</v>
      </c>
      <c r="E83" s="13"/>
      <c r="F83" s="31">
        <f>IF(D$12=0,0,D83/D$12)</f>
        <v>-0.14444139165334091</v>
      </c>
      <c r="G83" s="13"/>
      <c r="H83" s="32">
        <f>+H79-H81</f>
        <v>-16407.0356750875</v>
      </c>
      <c r="I83" s="13"/>
      <c r="J83" s="31">
        <f>IF(H$12=0,0,H83/H$12)</f>
        <v>-8.9726046446608546E-2</v>
      </c>
      <c r="K83" s="15"/>
      <c r="L83" s="32">
        <f>D83-H83</f>
        <v>-6093.6543249124879</v>
      </c>
      <c r="M83" s="15"/>
      <c r="N83" s="31">
        <f>IF(H83=0,0,L83/H83)</f>
        <v>0.37140495367881193</v>
      </c>
      <c r="O83" s="25"/>
      <c r="P83" s="32">
        <f>+P79-P81</f>
        <v>-76510.04999999993</v>
      </c>
      <c r="Q83" s="13"/>
      <c r="R83" s="31">
        <f>IF(P$12=0,0,P83/P$12)</f>
        <v>-6.8164827809307105E-2</v>
      </c>
      <c r="S83" s="13"/>
      <c r="T83" s="32">
        <f>+T79-T81</f>
        <v>-128488.85465674249</v>
      </c>
      <c r="U83" s="13"/>
      <c r="V83" s="31">
        <f>IF(T$12=0,0,T83/T$12)</f>
        <v>-9.3760452027877E-2</v>
      </c>
      <c r="W83" s="15"/>
      <c r="X83" s="32">
        <f>P83-T83</f>
        <v>51978.804656742563</v>
      </c>
      <c r="Y83" s="15"/>
      <c r="Z83" s="31">
        <f>IF(T83=0,0,X83/T83)</f>
        <v>-0.4045394037918989</v>
      </c>
    </row>
    <row r="84" spans="1:26" ht="15" thickTop="1" x14ac:dyDescent="0.3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3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" thickBot="1" x14ac:dyDescent="0.35">
      <c r="A86" s="10"/>
      <c r="B86" s="26" t="s">
        <v>294</v>
      </c>
      <c r="C86" s="26"/>
      <c r="D86" s="34">
        <f>SUM(D83:D85)</f>
        <v>-22500.689999999988</v>
      </c>
      <c r="E86" s="13"/>
      <c r="F86" s="35">
        <f>IF(D$12=0,0,D86/D$12)</f>
        <v>-0.14444139165334091</v>
      </c>
      <c r="G86" s="13"/>
      <c r="H86" s="34">
        <f>SUM(H83:H85)</f>
        <v>-16407.0356750875</v>
      </c>
      <c r="I86" s="13"/>
      <c r="J86" s="35">
        <f>IF(H$12=0,0,H86/H$12)</f>
        <v>-8.9726046446608546E-2</v>
      </c>
      <c r="K86" s="15"/>
      <c r="L86" s="34">
        <f>+D86-H86</f>
        <v>-6093.6543249124879</v>
      </c>
      <c r="M86" s="15"/>
      <c r="N86" s="35">
        <f>IF(H86=0,0,L86/H86)</f>
        <v>0.37140495367881193</v>
      </c>
      <c r="O86" s="25"/>
      <c r="P86" s="34">
        <f>SUM(P83:P85)</f>
        <v>-76510.04999999993</v>
      </c>
      <c r="Q86" s="13"/>
      <c r="R86" s="35">
        <f>IF(P$12=0,0,P86/P$12)</f>
        <v>-6.8164827809307105E-2</v>
      </c>
      <c r="S86" s="13"/>
      <c r="T86" s="34">
        <f>SUM(T83:T85)</f>
        <v>-128488.85465674249</v>
      </c>
      <c r="U86" s="13"/>
      <c r="V86" s="35">
        <f>IF(T$12=0,0,T86/T$12)</f>
        <v>-9.3760452027877E-2</v>
      </c>
      <c r="W86" s="15"/>
      <c r="X86" s="34">
        <f>+P86-T86</f>
        <v>51978.804656742563</v>
      </c>
      <c r="Y86" s="15"/>
      <c r="Z86" s="35">
        <f>IF(T86=0,0,X86/T86)</f>
        <v>-0.4045394037918989</v>
      </c>
    </row>
    <row r="87" spans="1:26" ht="15" thickTop="1" x14ac:dyDescent="0.3">
      <c r="A87" s="9"/>
      <c r="C87" s="9"/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3">
      <c r="A88" s="9"/>
      <c r="B88" s="53">
        <v>44604.019987002313</v>
      </c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3">
      <c r="A89" s="9"/>
      <c r="B89" s="63" t="s">
        <v>56</v>
      </c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3">
      <c r="A90" s="9"/>
      <c r="B90" s="58"/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3"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92D050"/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","317", " - ", "Computer Store")</f>
        <v>Department 317 - Computer Store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155777.30000000002</v>
      </c>
      <c r="E12" s="4"/>
      <c r="F12" s="12"/>
      <c r="G12" s="4"/>
      <c r="H12" s="4">
        <f>SUM(OSRRefH13x_0)</f>
        <v>182857</v>
      </c>
      <c r="I12" s="4"/>
      <c r="J12" s="12"/>
      <c r="K12" s="4"/>
      <c r="L12" s="4">
        <f t="shared" ref="L12:L17" si="0">+D12-H12</f>
        <v>-27079.699999999983</v>
      </c>
      <c r="M12" s="4"/>
      <c r="N12" s="12">
        <f t="shared" ref="N12:N17" si="1">IF(H12=0,0,L12/H12)</f>
        <v>-0.14809222507205075</v>
      </c>
      <c r="O12" s="10"/>
      <c r="P12" s="4">
        <f>SUM(OSRRefP13x_0)</f>
        <v>1122427.1000000001</v>
      </c>
      <c r="Q12" s="4"/>
      <c r="R12" s="12"/>
      <c r="S12" s="4"/>
      <c r="T12" s="4">
        <f>SUM(OSRRefT13x_0)</f>
        <v>1370395</v>
      </c>
      <c r="U12" s="4"/>
      <c r="V12" s="12"/>
      <c r="W12" s="4"/>
      <c r="X12" s="4">
        <f t="shared" ref="X12:X17" si="2">+P12-T12</f>
        <v>-247967.89999999991</v>
      </c>
      <c r="Y12" s="4"/>
      <c r="Z12" s="12">
        <f t="shared" ref="Z12:Z17" si="3">IF(T12=0,0,X12/T12)</f>
        <v>-0.18094629650575192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--88232.58</f>
        <v>88232.58</v>
      </c>
      <c r="E13" s="2"/>
      <c r="F13" s="19"/>
      <c r="G13" s="2"/>
      <c r="H13" s="2">
        <v>166280</v>
      </c>
      <c r="I13" s="2"/>
      <c r="J13" s="19"/>
      <c r="K13" s="2"/>
      <c r="L13" s="2">
        <f t="shared" si="0"/>
        <v>-78047.42</v>
      </c>
      <c r="M13" s="2"/>
      <c r="N13" s="19">
        <f t="shared" si="1"/>
        <v>-0.46937346644214578</v>
      </c>
      <c r="O13" s="11"/>
      <c r="P13" s="2">
        <f>--906659.33</f>
        <v>906659.33</v>
      </c>
      <c r="Q13" s="2"/>
      <c r="R13" s="19"/>
      <c r="S13" s="2"/>
      <c r="T13" s="2">
        <v>1287481</v>
      </c>
      <c r="U13" s="2"/>
      <c r="V13" s="19"/>
      <c r="W13" s="2"/>
      <c r="X13" s="2">
        <f t="shared" si="2"/>
        <v>-380821.67000000004</v>
      </c>
      <c r="Y13" s="2"/>
      <c r="Z13" s="19">
        <f t="shared" si="3"/>
        <v>-0.29578818638877002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--75295.63</f>
        <v>75295.63</v>
      </c>
      <c r="E14" s="2"/>
      <c r="F14" s="19"/>
      <c r="G14" s="2"/>
      <c r="H14" s="2">
        <v>16577</v>
      </c>
      <c r="I14" s="2"/>
      <c r="J14" s="19"/>
      <c r="K14" s="2"/>
      <c r="L14" s="2">
        <f t="shared" si="0"/>
        <v>58718.630000000005</v>
      </c>
      <c r="M14" s="2"/>
      <c r="N14" s="19">
        <f t="shared" si="1"/>
        <v>3.5421746998853836</v>
      </c>
      <c r="O14" s="11"/>
      <c r="P14" s="2">
        <f>--415683.21</f>
        <v>415683.21</v>
      </c>
      <c r="Q14" s="2"/>
      <c r="R14" s="19"/>
      <c r="S14" s="2"/>
      <c r="T14" s="2">
        <v>82914</v>
      </c>
      <c r="U14" s="2"/>
      <c r="V14" s="19"/>
      <c r="W14" s="2"/>
      <c r="X14" s="2">
        <f t="shared" si="2"/>
        <v>332769.21000000002</v>
      </c>
      <c r="Y14" s="2"/>
      <c r="Z14" s="19">
        <f t="shared" si="3"/>
        <v>4.0134260800347352</v>
      </c>
    </row>
    <row r="15" spans="1:26" s="24" customFormat="1" hidden="1" outlineLevel="1" x14ac:dyDescent="0.3">
      <c r="A15" s="44"/>
      <c r="B15" s="11" t="str">
        <f>CONCATENATE("          ", "4200", " - ", "TAXABLE RETURNS")</f>
        <v xml:space="preserve">          4200 - TAXABLE RETURNS</v>
      </c>
      <c r="C15" s="11"/>
      <c r="D15" s="2">
        <f>-7468.03</f>
        <v>-7468.03</v>
      </c>
      <c r="E15" s="2"/>
      <c r="F15" s="19"/>
      <c r="G15" s="2"/>
      <c r="H15" s="2"/>
      <c r="I15" s="2"/>
      <c r="J15" s="19"/>
      <c r="K15" s="2"/>
      <c r="L15" s="2">
        <f t="shared" si="0"/>
        <v>-7468.03</v>
      </c>
      <c r="M15" s="2"/>
      <c r="N15" s="19">
        <f t="shared" si="1"/>
        <v>0</v>
      </c>
      <c r="O15" s="11"/>
      <c r="P15" s="2">
        <f>-198450.44</f>
        <v>-198450.44</v>
      </c>
      <c r="Q15" s="2"/>
      <c r="R15" s="19"/>
      <c r="S15" s="2"/>
      <c r="T15" s="2"/>
      <c r="U15" s="2"/>
      <c r="V15" s="19"/>
      <c r="W15" s="2"/>
      <c r="X15" s="2">
        <f t="shared" si="2"/>
        <v>-198450.44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"4300", " - ", "NON-TAX RETURNS")</f>
        <v xml:space="preserve">          4300 - NON-TAX RETURNS</v>
      </c>
      <c r="C16" s="11"/>
      <c r="D16" s="2">
        <f>-19.99</f>
        <v>-19.989999999999998</v>
      </c>
      <c r="E16" s="2"/>
      <c r="F16" s="19"/>
      <c r="G16" s="2"/>
      <c r="H16" s="2"/>
      <c r="I16" s="2"/>
      <c r="J16" s="19"/>
      <c r="K16" s="2"/>
      <c r="L16" s="2">
        <f t="shared" si="0"/>
        <v>-19.989999999999998</v>
      </c>
      <c r="M16" s="2"/>
      <c r="N16" s="19">
        <f t="shared" si="1"/>
        <v>0</v>
      </c>
      <c r="O16" s="11"/>
      <c r="P16" s="2">
        <f>-724.78</f>
        <v>-724.78</v>
      </c>
      <c r="Q16" s="2"/>
      <c r="R16" s="19"/>
      <c r="S16" s="2"/>
      <c r="T16" s="2"/>
      <c r="U16" s="2"/>
      <c r="V16" s="19"/>
      <c r="W16" s="2"/>
      <c r="X16" s="2">
        <f t="shared" si="2"/>
        <v>-724.78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"4500", " - ", "SALES DISCOUNT")</f>
        <v xml:space="preserve">          4500 - SALES DISCOUNT</v>
      </c>
      <c r="C17" s="11"/>
      <c r="D17" s="2">
        <f>-262.89</f>
        <v>-262.89</v>
      </c>
      <c r="E17" s="2"/>
      <c r="F17" s="19"/>
      <c r="G17" s="2"/>
      <c r="H17" s="2"/>
      <c r="I17" s="2"/>
      <c r="J17" s="19"/>
      <c r="K17" s="2"/>
      <c r="L17" s="2">
        <f t="shared" si="0"/>
        <v>-262.89</v>
      </c>
      <c r="M17" s="2"/>
      <c r="N17" s="19">
        <f t="shared" si="1"/>
        <v>0</v>
      </c>
      <c r="O17" s="11"/>
      <c r="P17" s="2">
        <f>-740.22</f>
        <v>-740.22</v>
      </c>
      <c r="Q17" s="2"/>
      <c r="R17" s="19"/>
      <c r="S17" s="2"/>
      <c r="T17" s="2"/>
      <c r="U17" s="2"/>
      <c r="V17" s="19"/>
      <c r="W17" s="2"/>
      <c r="X17" s="2">
        <f t="shared" si="2"/>
        <v>-740.22</v>
      </c>
      <c r="Y17" s="2"/>
      <c r="Z17" s="19">
        <f t="shared" si="3"/>
        <v>0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131815.53</v>
      </c>
      <c r="E19" s="4"/>
      <c r="F19" s="12">
        <f t="shared" ref="F19:F29" si="4">IF(D$12=0,0,D19/D$12)</f>
        <v>0.84617932137737639</v>
      </c>
      <c r="G19" s="4"/>
      <c r="H19" s="4">
        <f>SUM(OSRRefH16x_0)</f>
        <v>163656</v>
      </c>
      <c r="I19" s="4"/>
      <c r="J19" s="12">
        <f t="shared" ref="J19:J29" si="5">IF(H$12=0,0,H19/H$12)</f>
        <v>0.8949944492144134</v>
      </c>
      <c r="K19" s="4"/>
      <c r="L19" s="4">
        <f t="shared" ref="L19:L29" si="6">+D19-H19</f>
        <v>-31840.47</v>
      </c>
      <c r="M19" s="4"/>
      <c r="N19" s="12">
        <f t="shared" ref="N19:N29" si="7">IF(H19=0,0,L19/H19)</f>
        <v>-0.19455730312362518</v>
      </c>
      <c r="O19" s="10"/>
      <c r="P19" s="4">
        <f>SUM(OSRRefP16x_0)</f>
        <v>954307.76</v>
      </c>
      <c r="Q19" s="4"/>
      <c r="R19" s="12">
        <f t="shared" ref="R19:R29" si="8">IF(P$12=0,0,P19/P$12)</f>
        <v>0.8502180319773105</v>
      </c>
      <c r="S19" s="4"/>
      <c r="T19" s="4">
        <f>SUM(OSRRefT16x_0)</f>
        <v>1226501</v>
      </c>
      <c r="U19" s="4"/>
      <c r="V19" s="12">
        <f t="shared" ref="V19:V29" si="9">IF(T$12=0,0,T19/T$12)</f>
        <v>0.89499815746554823</v>
      </c>
      <c r="W19" s="4"/>
      <c r="X19" s="4">
        <f t="shared" ref="X19:X29" si="10">+P19-T19</f>
        <v>-272193.24</v>
      </c>
      <c r="Y19" s="4"/>
      <c r="Z19" s="12">
        <f t="shared" ref="Z19:Z29" si="11">IF(T19=0,0,X19/T19)</f>
        <v>-0.22192663520046049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2">
        <v>98491.18</v>
      </c>
      <c r="E20" s="2"/>
      <c r="F20" s="19">
        <f t="shared" si="4"/>
        <v>0.63225630435243119</v>
      </c>
      <c r="G20" s="2"/>
      <c r="H20" s="2">
        <v>163656</v>
      </c>
      <c r="I20" s="2"/>
      <c r="J20" s="19">
        <f t="shared" si="5"/>
        <v>0.8949944492144134</v>
      </c>
      <c r="K20" s="2"/>
      <c r="L20" s="2">
        <f t="shared" si="6"/>
        <v>-65164.820000000007</v>
      </c>
      <c r="M20" s="2"/>
      <c r="N20" s="19">
        <f t="shared" si="7"/>
        <v>-0.39818167375470503</v>
      </c>
      <c r="O20" s="11"/>
      <c r="P20" s="2">
        <v>1025729.36</v>
      </c>
      <c r="Q20" s="2"/>
      <c r="R20" s="19">
        <f t="shared" si="8"/>
        <v>0.91384942505397448</v>
      </c>
      <c r="S20" s="2"/>
      <c r="T20" s="2">
        <v>1226501</v>
      </c>
      <c r="U20" s="2"/>
      <c r="V20" s="19">
        <f t="shared" si="9"/>
        <v>0.89499815746554823</v>
      </c>
      <c r="W20" s="2"/>
      <c r="X20" s="2">
        <f t="shared" si="10"/>
        <v>-200771.64</v>
      </c>
      <c r="Y20" s="2"/>
      <c r="Z20" s="19">
        <f t="shared" si="11"/>
        <v>-0.16369464028158151</v>
      </c>
    </row>
    <row r="21" spans="1:26" s="24" customFormat="1" hidden="1" outlineLevel="1" x14ac:dyDescent="0.3">
      <c r="A21" s="44"/>
      <c r="B21" s="11" t="str">
        <f>CONCATENATE("          ", "5081", " - ", "PURCHASES @ COST-ELECTRONICS")</f>
        <v xml:space="preserve">          5081 - PURCHASES @ COST-ELECTRONICS</v>
      </c>
      <c r="C21" s="11"/>
      <c r="D21" s="2"/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"5082", " - ", "PURCHASES @ COST-COMPUTER HARD")</f>
        <v xml:space="preserve">          5082 - PURCHASES @ COST-COMPUTER HARD</v>
      </c>
      <c r="C22" s="11"/>
      <c r="D22" s="2">
        <v>-6938.92</v>
      </c>
      <c r="E22" s="2"/>
      <c r="F22" s="19">
        <f t="shared" si="4"/>
        <v>-4.4543845605232592E-2</v>
      </c>
      <c r="G22" s="2"/>
      <c r="H22" s="2"/>
      <c r="I22" s="2"/>
      <c r="J22" s="19">
        <f t="shared" si="5"/>
        <v>0</v>
      </c>
      <c r="K22" s="2"/>
      <c r="L22" s="2">
        <f t="shared" si="6"/>
        <v>-6938.92</v>
      </c>
      <c r="M22" s="2"/>
      <c r="N22" s="19">
        <f t="shared" si="7"/>
        <v>0</v>
      </c>
      <c r="O22" s="11"/>
      <c r="P22" s="2">
        <v>-93808.4</v>
      </c>
      <c r="Q22" s="2"/>
      <c r="R22" s="19">
        <f t="shared" si="8"/>
        <v>-8.3576385495325256E-2</v>
      </c>
      <c r="S22" s="2"/>
      <c r="T22" s="2"/>
      <c r="U22" s="2"/>
      <c r="V22" s="19">
        <f t="shared" si="9"/>
        <v>0</v>
      </c>
      <c r="W22" s="2"/>
      <c r="X22" s="2">
        <f t="shared" si="10"/>
        <v>-93808.4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"5083", " - ", "PURCHASES @ COST-COMPUTER EQUI")</f>
        <v xml:space="preserve">          5083 - PURCHASES @ COST-COMPUTER EQUI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3">
      <c r="A24" s="44"/>
      <c r="B24" s="11" t="str">
        <f>CONCATENATE("          ", "5085", " - ", "PURCHASES @ COST-SOFTWARE")</f>
        <v xml:space="preserve">          5085 - PURCHASES @ COST-SOFTWARE</v>
      </c>
      <c r="C24" s="11"/>
      <c r="D24" s="2"/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3">
      <c r="A25" s="44"/>
      <c r="B25" s="11" t="str">
        <f>CONCATENATE("          ", "5086", " - ", "PURCHASES @ COST-COMPUTER SUPP")</f>
        <v xml:space="preserve">          5086 - PURCHASES @ COST-COMPUTER SUPP</v>
      </c>
      <c r="C25" s="11"/>
      <c r="D25" s="2"/>
      <c r="E25" s="2"/>
      <c r="F25" s="19">
        <f t="shared" si="4"/>
        <v>0</v>
      </c>
      <c r="G25" s="2"/>
      <c r="H25" s="2"/>
      <c r="I25" s="2"/>
      <c r="J25" s="19">
        <f t="shared" si="5"/>
        <v>0</v>
      </c>
      <c r="K25" s="2"/>
      <c r="L25" s="2">
        <f t="shared" si="6"/>
        <v>0</v>
      </c>
      <c r="M25" s="2"/>
      <c r="N25" s="19">
        <f t="shared" si="7"/>
        <v>0</v>
      </c>
      <c r="O25" s="11"/>
      <c r="P25" s="2">
        <v>0</v>
      </c>
      <c r="Q25" s="2"/>
      <c r="R25" s="19">
        <f t="shared" si="8"/>
        <v>0</v>
      </c>
      <c r="S25" s="2"/>
      <c r="T25" s="2"/>
      <c r="U25" s="2"/>
      <c r="V25" s="19">
        <f t="shared" si="9"/>
        <v>0</v>
      </c>
      <c r="W25" s="2"/>
      <c r="X25" s="2">
        <f t="shared" si="10"/>
        <v>0</v>
      </c>
      <c r="Y25" s="2"/>
      <c r="Z25" s="19">
        <f t="shared" si="11"/>
        <v>0</v>
      </c>
    </row>
    <row r="26" spans="1:26" s="24" customFormat="1" hidden="1" outlineLevel="1" x14ac:dyDescent="0.3">
      <c r="A26" s="44"/>
      <c r="B26" s="11" t="str">
        <f>CONCATENATE("          ", "5200", " - ", "PURCHASES OFFSET")</f>
        <v xml:space="preserve">          5200 - PURCHASES OFFSET</v>
      </c>
      <c r="C26" s="11"/>
      <c r="D26" s="2">
        <v>-98515.33</v>
      </c>
      <c r="E26" s="2"/>
      <c r="F26" s="19">
        <f t="shared" si="4"/>
        <v>-0.63241133335858302</v>
      </c>
      <c r="G26" s="2"/>
      <c r="H26" s="2"/>
      <c r="I26" s="2"/>
      <c r="J26" s="19">
        <f t="shared" si="5"/>
        <v>0</v>
      </c>
      <c r="K26" s="2"/>
      <c r="L26" s="2">
        <f t="shared" si="6"/>
        <v>-98515.33</v>
      </c>
      <c r="M26" s="2"/>
      <c r="N26" s="19">
        <f t="shared" si="7"/>
        <v>0</v>
      </c>
      <c r="O26" s="11"/>
      <c r="P26" s="2">
        <v>-1025797.7</v>
      </c>
      <c r="Q26" s="2"/>
      <c r="R26" s="19">
        <f t="shared" si="8"/>
        <v>-0.91391031096807973</v>
      </c>
      <c r="S26" s="2"/>
      <c r="T26" s="2"/>
      <c r="U26" s="2"/>
      <c r="V26" s="19">
        <f t="shared" si="9"/>
        <v>0</v>
      </c>
      <c r="W26" s="2"/>
      <c r="X26" s="2">
        <f t="shared" si="10"/>
        <v>-1025797.7</v>
      </c>
      <c r="Y26" s="2"/>
      <c r="Z26" s="19">
        <f t="shared" si="11"/>
        <v>0</v>
      </c>
    </row>
    <row r="27" spans="1:26" s="24" customFormat="1" hidden="1" outlineLevel="1" x14ac:dyDescent="0.3">
      <c r="A27" s="44"/>
      <c r="B27" s="11" t="str">
        <f>CONCATENATE("          ", "5300", " - ", "COG$ OFFSET")</f>
        <v xml:space="preserve">          5300 - COG$ OFFSET</v>
      </c>
      <c r="C27" s="11"/>
      <c r="D27" s="2">
        <v>138754.45000000001</v>
      </c>
      <c r="E27" s="2"/>
      <c r="F27" s="19">
        <f t="shared" si="4"/>
        <v>0.89072316698260912</v>
      </c>
      <c r="G27" s="2"/>
      <c r="H27" s="2"/>
      <c r="I27" s="2"/>
      <c r="J27" s="19">
        <f t="shared" si="5"/>
        <v>0</v>
      </c>
      <c r="K27" s="2"/>
      <c r="L27" s="2">
        <f t="shared" si="6"/>
        <v>138754.45000000001</v>
      </c>
      <c r="M27" s="2"/>
      <c r="N27" s="19">
        <f t="shared" si="7"/>
        <v>0</v>
      </c>
      <c r="O27" s="11"/>
      <c r="P27" s="2">
        <v>1048116.16</v>
      </c>
      <c r="Q27" s="2"/>
      <c r="R27" s="19">
        <f t="shared" si="8"/>
        <v>0.93379441747263581</v>
      </c>
      <c r="S27" s="2"/>
      <c r="T27" s="2"/>
      <c r="U27" s="2"/>
      <c r="V27" s="19">
        <f t="shared" si="9"/>
        <v>0</v>
      </c>
      <c r="W27" s="2"/>
      <c r="X27" s="2">
        <f t="shared" si="10"/>
        <v>1048116.16</v>
      </c>
      <c r="Y27" s="2"/>
      <c r="Z27" s="19">
        <f t="shared" si="11"/>
        <v>0</v>
      </c>
    </row>
    <row r="28" spans="1:26" s="24" customFormat="1" hidden="1" outlineLevel="1" x14ac:dyDescent="0.3">
      <c r="A28" s="44"/>
      <c r="B28" s="11" t="str">
        <f>CONCATENATE("          ", "5500", " - ", "FREIGHT-IN")</f>
        <v xml:space="preserve">          5500 - FREIGHT-IN</v>
      </c>
      <c r="C28" s="11"/>
      <c r="D28" s="2">
        <v>24.15</v>
      </c>
      <c r="E28" s="2"/>
      <c r="F28" s="19">
        <f t="shared" si="4"/>
        <v>1.5502900615173068E-4</v>
      </c>
      <c r="G28" s="2"/>
      <c r="H28" s="2"/>
      <c r="I28" s="2"/>
      <c r="J28" s="19">
        <f t="shared" si="5"/>
        <v>0</v>
      </c>
      <c r="K28" s="2"/>
      <c r="L28" s="2">
        <f t="shared" si="6"/>
        <v>24.15</v>
      </c>
      <c r="M28" s="2"/>
      <c r="N28" s="19">
        <f t="shared" si="7"/>
        <v>0</v>
      </c>
      <c r="O28" s="11"/>
      <c r="P28" s="2">
        <v>68.34</v>
      </c>
      <c r="Q28" s="2"/>
      <c r="R28" s="19">
        <f t="shared" si="8"/>
        <v>6.0885914105245678E-5</v>
      </c>
      <c r="S28" s="2"/>
      <c r="T28" s="2"/>
      <c r="U28" s="2"/>
      <c r="V28" s="19">
        <f t="shared" si="9"/>
        <v>0</v>
      </c>
      <c r="W28" s="2"/>
      <c r="X28" s="2">
        <f t="shared" si="10"/>
        <v>68.34</v>
      </c>
      <c r="Y28" s="2"/>
      <c r="Z28" s="19">
        <f t="shared" si="11"/>
        <v>0</v>
      </c>
    </row>
    <row r="29" spans="1:26" s="24" customFormat="1" hidden="1" outlineLevel="1" x14ac:dyDescent="0.3">
      <c r="A29" s="44"/>
      <c r="B29" s="11" t="str">
        <f>CONCATENATE("          ", "5583", " - ", "FREIGHT-IN-COMPUTER EQUIPMENT")</f>
        <v xml:space="preserve">          5583 - FREIGHT-IN-COMPUTER EQUIPMENT</v>
      </c>
      <c r="C29" s="11"/>
      <c r="D29" s="2"/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3">
      <c r="A31" s="10"/>
      <c r="B31" s="26" t="s">
        <v>108</v>
      </c>
      <c r="C31" s="26"/>
      <c r="D31" s="21">
        <f>D12-D19</f>
        <v>23961.770000000019</v>
      </c>
      <c r="E31" s="13"/>
      <c r="F31" s="22">
        <f>IF(D$12=0,0,D31/D$12)</f>
        <v>0.15382067862262355</v>
      </c>
      <c r="G31" s="13"/>
      <c r="H31" s="21">
        <f>H12-H19</f>
        <v>19201</v>
      </c>
      <c r="I31" s="13"/>
      <c r="J31" s="22">
        <f>IF(H$12=0,0,H31/H$12)</f>
        <v>0.10500555078558656</v>
      </c>
      <c r="K31" s="15"/>
      <c r="L31" s="21">
        <f>+D31-H31</f>
        <v>4760.7700000000186</v>
      </c>
      <c r="M31" s="15"/>
      <c r="N31" s="22">
        <f>IF(H31=0,0,L31/H31)</f>
        <v>0.24794385709077749</v>
      </c>
      <c r="O31" s="25"/>
      <c r="P31" s="21">
        <f>P12-P19</f>
        <v>168119.34000000008</v>
      </c>
      <c r="Q31" s="13"/>
      <c r="R31" s="22">
        <f>IF(P$12=0,0,P31/P$12)</f>
        <v>0.14978196802268948</v>
      </c>
      <c r="S31" s="13"/>
      <c r="T31" s="21">
        <f>T12-T19</f>
        <v>143894</v>
      </c>
      <c r="U31" s="13"/>
      <c r="V31" s="22">
        <f>IF(T$12=0,0,T31/T$12)</f>
        <v>0.10500184253445174</v>
      </c>
      <c r="W31" s="15"/>
      <c r="X31" s="21">
        <f>+P31-T31</f>
        <v>24225.340000000084</v>
      </c>
      <c r="Y31" s="15"/>
      <c r="Z31" s="22">
        <f>IF(T31=0,0,X31/T31)</f>
        <v>0.16835545609962949</v>
      </c>
    </row>
    <row r="32" spans="1:26" x14ac:dyDescent="0.3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3">
      <c r="A33" s="10"/>
      <c r="B33" s="25" t="s">
        <v>295</v>
      </c>
      <c r="C33" s="10"/>
      <c r="D33" s="20">
        <f>SUM(OSRRefD22x_0)</f>
        <v>15488.850000000002</v>
      </c>
      <c r="E33" s="20"/>
      <c r="F33" s="33">
        <f t="shared" ref="F33:F44" si="12">IF(D$12=0,0,D33/D$12)</f>
        <v>9.9429441901997276E-2</v>
      </c>
      <c r="G33" s="20"/>
      <c r="H33" s="20">
        <f>SUM(OSRRefH22x_0)</f>
        <v>19194.0356750875</v>
      </c>
      <c r="I33" s="20"/>
      <c r="J33" s="33">
        <f t="shared" ref="J33:J44" si="13">IF(H$12=0,0,H33/H$12)</f>
        <v>0.10496746460396648</v>
      </c>
      <c r="K33" s="4"/>
      <c r="L33" s="20">
        <f t="shared" ref="L33:L44" si="14">+D33-H33</f>
        <v>-3705.1856750874977</v>
      </c>
      <c r="M33" s="4"/>
      <c r="N33" s="33">
        <f t="shared" ref="N33:N44" si="15">IF(H33=0,0,L33/H33)</f>
        <v>-0.19303838639294427</v>
      </c>
      <c r="O33" s="10"/>
      <c r="P33" s="20">
        <f>SUM(OSRRefP22x_0)</f>
        <v>99897.400000000023</v>
      </c>
      <c r="Q33" s="20"/>
      <c r="R33" s="33">
        <f t="shared" ref="R33:R44" si="16">IF(P$12=0,0,P33/P$12)</f>
        <v>8.9001236695015667E-2</v>
      </c>
      <c r="S33" s="20"/>
      <c r="T33" s="20">
        <f>SUM(OSRRefT22x_0)</f>
        <v>113549.85465674249</v>
      </c>
      <c r="U33" s="20"/>
      <c r="V33" s="33">
        <f t="shared" ref="V33:V44" si="17">IF(T$12=0,0,T33/T$12)</f>
        <v>8.285921552307364E-2</v>
      </c>
      <c r="W33" s="4"/>
      <c r="X33" s="20">
        <f t="shared" ref="X33:X44" si="18">+P33-T33</f>
        <v>-13652.45465674247</v>
      </c>
      <c r="Y33" s="4"/>
      <c r="Z33" s="33">
        <f t="shared" ref="Z33:Z44" si="19">IF(T33=0,0,X33/T33)</f>
        <v>-0.12023313194026883</v>
      </c>
    </row>
    <row r="34" spans="1:26" s="28" customFormat="1" outlineLevel="1" collapsed="1" x14ac:dyDescent="0.3">
      <c r="A34" s="29"/>
      <c r="B34" s="14" t="str">
        <f>CONCATENATE("     ","*Benefits                                         ")</f>
        <v xml:space="preserve">     *Benefits                                         </v>
      </c>
      <c r="C34" s="14"/>
      <c r="D34" s="1">
        <f>SUM(OSRRefD22_0x_0)</f>
        <v>3506.3399999999997</v>
      </c>
      <c r="E34" s="1"/>
      <c r="F34" s="5">
        <f t="shared" si="12"/>
        <v>2.2508671032300594E-2</v>
      </c>
      <c r="G34" s="1"/>
      <c r="H34" s="1">
        <f>SUM(OSRRefH22_0x_0)</f>
        <v>3115.8774875875001</v>
      </c>
      <c r="I34" s="1"/>
      <c r="J34" s="5">
        <f t="shared" si="13"/>
        <v>1.7039968322719392E-2</v>
      </c>
      <c r="K34" s="1"/>
      <c r="L34" s="1">
        <f t="shared" si="14"/>
        <v>390.46251241249956</v>
      </c>
      <c r="M34" s="1"/>
      <c r="N34" s="5">
        <f t="shared" si="15"/>
        <v>0.12531382057476823</v>
      </c>
      <c r="O34" s="14"/>
      <c r="P34" s="1">
        <f>SUM(OSRRefP22_0x_0)</f>
        <v>14809.55</v>
      </c>
      <c r="Q34" s="1"/>
      <c r="R34" s="5">
        <f t="shared" si="16"/>
        <v>1.3194219918603175E-2</v>
      </c>
      <c r="S34" s="1"/>
      <c r="T34" s="1">
        <f>SUM(OSRRefT22_0x_0)</f>
        <v>20241.617894242499</v>
      </c>
      <c r="U34" s="1"/>
      <c r="V34" s="5">
        <f t="shared" si="17"/>
        <v>1.4770644882856768E-2</v>
      </c>
      <c r="W34" s="1"/>
      <c r="X34" s="1">
        <f t="shared" si="18"/>
        <v>-5432.0678942425002</v>
      </c>
      <c r="Y34" s="1"/>
      <c r="Z34" s="5">
        <f t="shared" si="19"/>
        <v>-0.26836134950396384</v>
      </c>
    </row>
    <row r="35" spans="1:26" s="24" customFormat="1" hidden="1" outlineLevel="2" x14ac:dyDescent="0.3">
      <c r="A35" s="27"/>
      <c r="B35" s="11" t="str">
        <f>CONCATENATE("          ", "6111", " - ", "F.I.C.A.")</f>
        <v xml:space="preserve">          6111 - F.I.C.A.</v>
      </c>
      <c r="C35" s="11"/>
      <c r="D35" s="7">
        <v>460.4</v>
      </c>
      <c r="E35" s="2"/>
      <c r="F35" s="6">
        <f t="shared" si="12"/>
        <v>2.9555012187269898E-3</v>
      </c>
      <c r="G35" s="2"/>
      <c r="H35" s="7">
        <v>571.71439946249996</v>
      </c>
      <c r="I35" s="2"/>
      <c r="J35" s="6">
        <f t="shared" si="13"/>
        <v>3.1265655646898942E-3</v>
      </c>
      <c r="K35" s="2"/>
      <c r="L35" s="7">
        <f t="shared" si="14"/>
        <v>-111.31439946249998</v>
      </c>
      <c r="M35" s="2"/>
      <c r="N35" s="6">
        <f t="shared" si="15"/>
        <v>-0.19470280889750677</v>
      </c>
      <c r="O35" s="11"/>
      <c r="P35" s="7">
        <v>3764.31</v>
      </c>
      <c r="Q35" s="2"/>
      <c r="R35" s="6">
        <f t="shared" si="16"/>
        <v>3.353723373215062E-3</v>
      </c>
      <c r="S35" s="2"/>
      <c r="T35" s="7">
        <v>4323.3985566675001</v>
      </c>
      <c r="U35" s="2"/>
      <c r="V35" s="6">
        <f t="shared" si="17"/>
        <v>3.1548557581336039E-3</v>
      </c>
      <c r="W35" s="2"/>
      <c r="X35" s="7">
        <f t="shared" si="18"/>
        <v>-559.08855666750014</v>
      </c>
      <c r="Y35" s="2"/>
      <c r="Z35" s="6">
        <f t="shared" si="19"/>
        <v>-0.12931691338178378</v>
      </c>
    </row>
    <row r="36" spans="1:26" s="24" customFormat="1" hidden="1" outlineLevel="2" x14ac:dyDescent="0.3">
      <c r="A36" s="27"/>
      <c r="B36" s="11" t="str">
        <f>CONCATENATE("          ", "6112", " - ", "COMPENSATION INSURANCE")</f>
        <v xml:space="preserve">          6112 - COMPENSATION INSURANCE</v>
      </c>
      <c r="C36" s="11"/>
      <c r="D36" s="7">
        <v>122.11</v>
      </c>
      <c r="E36" s="2"/>
      <c r="F36" s="6">
        <f t="shared" si="12"/>
        <v>7.8387544269928919E-4</v>
      </c>
      <c r="G36" s="2"/>
      <c r="H36" s="7">
        <v>227.47422750000001</v>
      </c>
      <c r="I36" s="2"/>
      <c r="J36" s="6">
        <f t="shared" si="13"/>
        <v>1.2440006535161356E-3</v>
      </c>
      <c r="K36" s="2"/>
      <c r="L36" s="7">
        <f t="shared" si="14"/>
        <v>-105.36422750000001</v>
      </c>
      <c r="M36" s="2"/>
      <c r="N36" s="6">
        <f t="shared" si="15"/>
        <v>-0.46319193456762042</v>
      </c>
      <c r="O36" s="11"/>
      <c r="P36" s="7">
        <v>999.03</v>
      </c>
      <c r="Q36" s="2"/>
      <c r="R36" s="6">
        <f t="shared" si="16"/>
        <v>8.9006225883177617E-4</v>
      </c>
      <c r="S36" s="2"/>
      <c r="T36" s="7">
        <v>1279.2636441</v>
      </c>
      <c r="U36" s="2"/>
      <c r="V36" s="6">
        <f t="shared" si="17"/>
        <v>9.3349993549305126E-4</v>
      </c>
      <c r="W36" s="2"/>
      <c r="X36" s="7">
        <f t="shared" si="18"/>
        <v>-280.23364409999999</v>
      </c>
      <c r="Y36" s="2"/>
      <c r="Z36" s="6">
        <f t="shared" si="19"/>
        <v>-0.21905855403023877</v>
      </c>
    </row>
    <row r="37" spans="1:26" s="24" customFormat="1" hidden="1" outlineLevel="2" x14ac:dyDescent="0.3">
      <c r="A37" s="27"/>
      <c r="B37" s="11" t="str">
        <f>CONCATENATE("          ", "6113", " - ", "GROUP INSURANCE")</f>
        <v xml:space="preserve">          6113 - GROUP INSURANCE</v>
      </c>
      <c r="C37" s="11"/>
      <c r="D37" s="7">
        <v>1539.12</v>
      </c>
      <c r="E37" s="2"/>
      <c r="F37" s="6">
        <f t="shared" si="12"/>
        <v>9.8802585485818512E-3</v>
      </c>
      <c r="G37" s="2"/>
      <c r="H37" s="7">
        <v>1096.5</v>
      </c>
      <c r="I37" s="2"/>
      <c r="J37" s="6">
        <f t="shared" si="13"/>
        <v>5.9964890597570776E-3</v>
      </c>
      <c r="K37" s="2"/>
      <c r="L37" s="7">
        <f t="shared" si="14"/>
        <v>442.61999999999989</v>
      </c>
      <c r="M37" s="2"/>
      <c r="N37" s="6">
        <f t="shared" si="15"/>
        <v>0.40366621067031455</v>
      </c>
      <c r="O37" s="11"/>
      <c r="P37" s="7">
        <v>5289.53</v>
      </c>
      <c r="Q37" s="2"/>
      <c r="R37" s="6">
        <f t="shared" si="16"/>
        <v>4.7125822247164198E-3</v>
      </c>
      <c r="S37" s="2"/>
      <c r="T37" s="7">
        <v>7063.5</v>
      </c>
      <c r="U37" s="2"/>
      <c r="V37" s="6">
        <f t="shared" si="17"/>
        <v>5.1543533068932681E-3</v>
      </c>
      <c r="W37" s="2"/>
      <c r="X37" s="7">
        <f t="shared" si="18"/>
        <v>-1773.9700000000003</v>
      </c>
      <c r="Y37" s="2"/>
      <c r="Z37" s="6">
        <f t="shared" si="19"/>
        <v>-0.25114603242018835</v>
      </c>
    </row>
    <row r="38" spans="1:26" s="24" customFormat="1" hidden="1" outlineLevel="2" x14ac:dyDescent="0.3">
      <c r="A38" s="27"/>
      <c r="B38" s="11" t="str">
        <f>CONCATENATE("          ", "6114", " - ", "STATE UNEMPLOYMENT INSURANCE")</f>
        <v xml:space="preserve">          6114 - STATE UNEMPLOYMENT INSURANCE</v>
      </c>
      <c r="C38" s="11"/>
      <c r="D38" s="7">
        <v>21.45</v>
      </c>
      <c r="E38" s="2"/>
      <c r="F38" s="6">
        <f t="shared" si="12"/>
        <v>1.3769657068135087E-4</v>
      </c>
      <c r="G38" s="2"/>
      <c r="H38" s="7">
        <v>30.621530624999998</v>
      </c>
      <c r="I38" s="2"/>
      <c r="J38" s="6">
        <f t="shared" si="13"/>
        <v>1.6746162643486439E-4</v>
      </c>
      <c r="K38" s="2"/>
      <c r="L38" s="7">
        <f t="shared" si="14"/>
        <v>-9.171530624999999</v>
      </c>
      <c r="M38" s="2"/>
      <c r="N38" s="6">
        <f t="shared" si="15"/>
        <v>-0.299512481505813</v>
      </c>
      <c r="O38" s="11"/>
      <c r="P38" s="7">
        <v>175.51</v>
      </c>
      <c r="Q38" s="2"/>
      <c r="R38" s="6">
        <f t="shared" si="16"/>
        <v>1.5636650255504341E-4</v>
      </c>
      <c r="S38" s="2"/>
      <c r="T38" s="7">
        <v>172.208567475</v>
      </c>
      <c r="U38" s="2"/>
      <c r="V38" s="6">
        <f t="shared" si="17"/>
        <v>1.2566345285483383E-4</v>
      </c>
      <c r="W38" s="2"/>
      <c r="X38" s="7">
        <f t="shared" si="18"/>
        <v>3.3014325249999956</v>
      </c>
      <c r="Y38" s="2"/>
      <c r="Z38" s="6">
        <f t="shared" si="19"/>
        <v>1.9171128204636356E-2</v>
      </c>
    </row>
    <row r="39" spans="1:26" s="24" customFormat="1" hidden="1" outlineLevel="2" x14ac:dyDescent="0.3">
      <c r="A39" s="27"/>
      <c r="B39" s="11" t="str">
        <f>CONCATENATE("          ", "6115", " - ", "P.E.R.S.")</f>
        <v xml:space="preserve">          6115 - P.E.R.S.</v>
      </c>
      <c r="C39" s="11"/>
      <c r="D39" s="7">
        <v>103.22</v>
      </c>
      <c r="E39" s="2"/>
      <c r="F39" s="6">
        <f t="shared" si="12"/>
        <v>6.6261258861207621E-4</v>
      </c>
      <c r="G39" s="2"/>
      <c r="H39" s="7">
        <v>252.70766750000001</v>
      </c>
      <c r="I39" s="2"/>
      <c r="J39" s="6">
        <f t="shared" si="13"/>
        <v>1.3819961363251065E-3</v>
      </c>
      <c r="K39" s="2"/>
      <c r="L39" s="7">
        <f t="shared" si="14"/>
        <v>-149.48766750000001</v>
      </c>
      <c r="M39" s="2"/>
      <c r="N39" s="6">
        <f t="shared" si="15"/>
        <v>-0.59154385372972507</v>
      </c>
      <c r="O39" s="11"/>
      <c r="P39" s="7">
        <v>790.94</v>
      </c>
      <c r="Q39" s="2"/>
      <c r="R39" s="6">
        <f t="shared" si="16"/>
        <v>7.046693722915279E-4</v>
      </c>
      <c r="S39" s="2"/>
      <c r="T39" s="7">
        <v>1566.7875385</v>
      </c>
      <c r="U39" s="2"/>
      <c r="V39" s="6">
        <f t="shared" si="17"/>
        <v>1.1433108983176384E-3</v>
      </c>
      <c r="W39" s="2"/>
      <c r="X39" s="7">
        <f t="shared" si="18"/>
        <v>-775.84753849999993</v>
      </c>
      <c r="Y39" s="2"/>
      <c r="Z39" s="6">
        <f t="shared" si="19"/>
        <v>-0.49518362856190151</v>
      </c>
    </row>
    <row r="40" spans="1:26" s="24" customFormat="1" hidden="1" outlineLevel="2" x14ac:dyDescent="0.3">
      <c r="A40" s="27"/>
      <c r="B40" s="11" t="str">
        <f>CONCATENATE("          ", "6116", " - ", "EDUCATIONAL BENEFITS")</f>
        <v xml:space="preserve">          6116 - EDUCATIONAL BENEFITS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3">
      <c r="A41" s="27"/>
      <c r="B41" s="11" t="str">
        <f>CONCATENATE("          ", "6117", " - ", "RETIREMENT STAFF HOURLY")</f>
        <v xml:space="preserve">          6117 - RETIREMENT STAFF HOURLY</v>
      </c>
      <c r="C41" s="11"/>
      <c r="D41" s="7">
        <v>180</v>
      </c>
      <c r="E41" s="2"/>
      <c r="F41" s="6">
        <f t="shared" si="12"/>
        <v>1.1554956980253219E-3</v>
      </c>
      <c r="G41" s="2"/>
      <c r="H41" s="7"/>
      <c r="I41" s="2"/>
      <c r="J41" s="6">
        <f t="shared" si="13"/>
        <v>0</v>
      </c>
      <c r="K41" s="2"/>
      <c r="L41" s="7">
        <f t="shared" si="14"/>
        <v>180</v>
      </c>
      <c r="M41" s="2"/>
      <c r="N41" s="6">
        <f t="shared" si="15"/>
        <v>0</v>
      </c>
      <c r="O41" s="11"/>
      <c r="P41" s="7">
        <v>-237.34</v>
      </c>
      <c r="Q41" s="2"/>
      <c r="R41" s="6">
        <f t="shared" si="16"/>
        <v>-2.114524854219931E-4</v>
      </c>
      <c r="S41" s="2"/>
      <c r="T41" s="7"/>
      <c r="U41" s="2"/>
      <c r="V41" s="6">
        <f t="shared" si="17"/>
        <v>0</v>
      </c>
      <c r="W41" s="2"/>
      <c r="X41" s="7">
        <f t="shared" si="18"/>
        <v>-237.34</v>
      </c>
      <c r="Y41" s="2"/>
      <c r="Z41" s="6">
        <f t="shared" si="19"/>
        <v>0</v>
      </c>
    </row>
    <row r="42" spans="1:26" s="24" customFormat="1" hidden="1" outlineLevel="2" x14ac:dyDescent="0.3">
      <c r="A42" s="27"/>
      <c r="B42" s="11" t="str">
        <f>CONCATENATE("          ", "6118", " - ", "VACATION")</f>
        <v xml:space="preserve">          6118 - VACATION</v>
      </c>
      <c r="C42" s="11"/>
      <c r="D42" s="7">
        <v>359.95</v>
      </c>
      <c r="E42" s="2"/>
      <c r="F42" s="6">
        <f t="shared" si="12"/>
        <v>2.3106704250234144E-3</v>
      </c>
      <c r="G42" s="2"/>
      <c r="H42" s="7">
        <v>224.11383749999999</v>
      </c>
      <c r="I42" s="2"/>
      <c r="J42" s="6">
        <f t="shared" si="13"/>
        <v>1.2256235063464892E-3</v>
      </c>
      <c r="K42" s="2"/>
      <c r="L42" s="7">
        <f t="shared" si="14"/>
        <v>135.8361625</v>
      </c>
      <c r="M42" s="2"/>
      <c r="N42" s="6">
        <f t="shared" si="15"/>
        <v>0.60610341608201679</v>
      </c>
      <c r="O42" s="11"/>
      <c r="P42" s="7">
        <v>1375.42</v>
      </c>
      <c r="Q42" s="2"/>
      <c r="R42" s="6">
        <f t="shared" si="16"/>
        <v>1.225398068168525E-3</v>
      </c>
      <c r="S42" s="2"/>
      <c r="T42" s="7">
        <v>1389.5057925000001</v>
      </c>
      <c r="U42" s="2"/>
      <c r="V42" s="6">
        <f t="shared" si="17"/>
        <v>1.01394546280452E-3</v>
      </c>
      <c r="W42" s="2"/>
      <c r="X42" s="7">
        <f t="shared" si="18"/>
        <v>-14.085792500000025</v>
      </c>
      <c r="Y42" s="2"/>
      <c r="Z42" s="6">
        <f t="shared" si="19"/>
        <v>-1.0137267923624021E-2</v>
      </c>
    </row>
    <row r="43" spans="1:26" s="24" customFormat="1" hidden="1" outlineLevel="2" x14ac:dyDescent="0.3">
      <c r="A43" s="27"/>
      <c r="B43" s="11" t="str">
        <f>CONCATENATE("          ", "6119", " - ", "SICK LEAVE")</f>
        <v xml:space="preserve">          6119 - SICK LEAVE</v>
      </c>
      <c r="C43" s="11"/>
      <c r="D43" s="7">
        <v>494.25</v>
      </c>
      <c r="E43" s="2"/>
      <c r="F43" s="6">
        <f t="shared" si="12"/>
        <v>3.1727986041611964E-3</v>
      </c>
      <c r="G43" s="2"/>
      <c r="H43" s="7">
        <v>362.74582500000002</v>
      </c>
      <c r="I43" s="2"/>
      <c r="J43" s="6">
        <f t="shared" si="13"/>
        <v>1.9837677802873287E-3</v>
      </c>
      <c r="K43" s="2"/>
      <c r="L43" s="7">
        <f t="shared" si="14"/>
        <v>131.50417499999998</v>
      </c>
      <c r="M43" s="2"/>
      <c r="N43" s="6">
        <f t="shared" si="15"/>
        <v>0.36252429645468687</v>
      </c>
      <c r="O43" s="11"/>
      <c r="P43" s="7">
        <v>1541.16</v>
      </c>
      <c r="Q43" s="2"/>
      <c r="R43" s="6">
        <f t="shared" si="16"/>
        <v>1.373060219233837E-3</v>
      </c>
      <c r="S43" s="2"/>
      <c r="T43" s="7">
        <v>1996.9537949999999</v>
      </c>
      <c r="U43" s="2"/>
      <c r="V43" s="6">
        <f t="shared" si="17"/>
        <v>1.4572103627056431E-3</v>
      </c>
      <c r="W43" s="2"/>
      <c r="X43" s="7">
        <f t="shared" si="18"/>
        <v>-455.79379499999982</v>
      </c>
      <c r="Y43" s="2"/>
      <c r="Z43" s="6">
        <f t="shared" si="19"/>
        <v>-0.22824453732541161</v>
      </c>
    </row>
    <row r="44" spans="1:26" s="24" customFormat="1" hidden="1" outlineLevel="2" x14ac:dyDescent="0.3">
      <c r="A44" s="27"/>
      <c r="B44" s="11" t="str">
        <f>CONCATENATE("          ", "6156", " - ", "EMPLOYEE MEALS")</f>
        <v xml:space="preserve">          6156 - EMPLOYEE MEALS</v>
      </c>
      <c r="C44" s="11"/>
      <c r="D44" s="7">
        <v>225.84</v>
      </c>
      <c r="E44" s="2"/>
      <c r="F44" s="6">
        <f t="shared" si="12"/>
        <v>1.4497619357891039E-3</v>
      </c>
      <c r="G44" s="2"/>
      <c r="H44" s="7">
        <v>350</v>
      </c>
      <c r="I44" s="2"/>
      <c r="J44" s="6">
        <f t="shared" si="13"/>
        <v>1.9140639953624963E-3</v>
      </c>
      <c r="K44" s="2"/>
      <c r="L44" s="7">
        <f t="shared" si="14"/>
        <v>-124.16</v>
      </c>
      <c r="M44" s="2"/>
      <c r="N44" s="6">
        <f t="shared" si="15"/>
        <v>-0.35474285714285714</v>
      </c>
      <c r="O44" s="11"/>
      <c r="P44" s="7">
        <v>1110.99</v>
      </c>
      <c r="Q44" s="2"/>
      <c r="R44" s="6">
        <f t="shared" si="16"/>
        <v>9.898103850129777E-4</v>
      </c>
      <c r="S44" s="2"/>
      <c r="T44" s="7">
        <v>2450</v>
      </c>
      <c r="U44" s="2"/>
      <c r="V44" s="6">
        <f t="shared" si="17"/>
        <v>1.7878057056542093E-3</v>
      </c>
      <c r="W44" s="2"/>
      <c r="X44" s="7">
        <f t="shared" si="18"/>
        <v>-1339.01</v>
      </c>
      <c r="Y44" s="2"/>
      <c r="Z44" s="6">
        <f t="shared" si="19"/>
        <v>-0.54653469387755105</v>
      </c>
    </row>
    <row r="45" spans="1:26" s="28" customFormat="1" outlineLevel="1" collapsed="1" x14ac:dyDescent="0.3">
      <c r="A45" s="29"/>
      <c r="B45" s="14" t="str">
        <f>CONCATENATE("     ","*Payroll                                          ")</f>
        <v xml:space="preserve">     *Payroll                                          </v>
      </c>
      <c r="C45" s="14"/>
      <c r="D45" s="1">
        <f>SUM(OSRRefD22_1x_0)</f>
        <v>10489.11</v>
      </c>
      <c r="E45" s="1"/>
      <c r="F45" s="5">
        <f t="shared" ref="F45:F55" si="20">IF(D$12=0,0,D45/D$12)</f>
        <v>6.7334008228413247E-2</v>
      </c>
      <c r="G45" s="1"/>
      <c r="H45" s="1">
        <f>SUM(OSRRefH22_1x_0)</f>
        <v>14208.158187500001</v>
      </c>
      <c r="I45" s="1"/>
      <c r="J45" s="5">
        <f t="shared" ref="J45:J55" si="21">IF(H$12=0,0,H45/H$12)</f>
        <v>7.7700925791738901E-2</v>
      </c>
      <c r="K45" s="1"/>
      <c r="L45" s="1">
        <f t="shared" ref="L45:L55" si="22">+D45-H45</f>
        <v>-3719.0481875000005</v>
      </c>
      <c r="M45" s="1"/>
      <c r="N45" s="5">
        <f t="shared" ref="N45:N55" si="23">IF(H45=0,0,L45/H45)</f>
        <v>-0.26175441872345778</v>
      </c>
      <c r="O45" s="14"/>
      <c r="P45" s="1">
        <f>SUM(OSRRefP22_1x_0)</f>
        <v>71461.740000000005</v>
      </c>
      <c r="Q45" s="1"/>
      <c r="R45" s="5">
        <f t="shared" ref="R45:R55" si="24">IF(P$12=0,0,P45/P$12)</f>
        <v>6.3667154864667827E-2</v>
      </c>
      <c r="S45" s="1"/>
      <c r="T45" s="1">
        <f>SUM(OSRRefT22_1x_0)</f>
        <v>79688.236762500004</v>
      </c>
      <c r="U45" s="1"/>
      <c r="V45" s="5">
        <f t="shared" ref="V45:V55" si="25">IF(T$12=0,0,T45/T$12)</f>
        <v>5.8149830350008577E-2</v>
      </c>
      <c r="W45" s="1"/>
      <c r="X45" s="1">
        <f t="shared" ref="X45:X55" si="26">+P45-T45</f>
        <v>-8226.496762499999</v>
      </c>
      <c r="Y45" s="1"/>
      <c r="Z45" s="5">
        <f t="shared" ref="Z45:Z55" si="27">IF(T45=0,0,X45/T45)</f>
        <v>-0.10323351471582887</v>
      </c>
    </row>
    <row r="46" spans="1:26" s="24" customFormat="1" hidden="1" outlineLevel="2" x14ac:dyDescent="0.3">
      <c r="A46" s="27"/>
      <c r="B46" s="11" t="str">
        <f>CONCATENATE("          ", "6001", " - ", "ADMINISTRATIVE SALARIES")</f>
        <v xml:space="preserve">          6001 - ADMINISTRATIVE SALARIES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3">
      <c r="A47" s="27"/>
      <c r="B47" s="11" t="str">
        <f>CONCATENATE("          ", "6002", " - ", "STAFF SALARIES")</f>
        <v xml:space="preserve">          6002 - STAFF SALARIES</v>
      </c>
      <c r="C47" s="11"/>
      <c r="D47" s="7">
        <v>1700</v>
      </c>
      <c r="E47" s="2"/>
      <c r="F47" s="6">
        <f t="shared" si="20"/>
        <v>1.0913014925794707E-2</v>
      </c>
      <c r="G47" s="2"/>
      <c r="H47" s="7">
        <v>2791.5381874999998</v>
      </c>
      <c r="I47" s="2"/>
      <c r="J47" s="6">
        <f t="shared" si="21"/>
        <v>1.5266236389637804E-2</v>
      </c>
      <c r="K47" s="2"/>
      <c r="L47" s="7">
        <f t="shared" si="22"/>
        <v>-1091.5381874999998</v>
      </c>
      <c r="M47" s="2"/>
      <c r="N47" s="6">
        <f t="shared" si="23"/>
        <v>-0.39101674925591534</v>
      </c>
      <c r="O47" s="11"/>
      <c r="P47" s="7">
        <v>13252.94</v>
      </c>
      <c r="Q47" s="2"/>
      <c r="R47" s="6">
        <f t="shared" si="24"/>
        <v>1.1807394885601032E-2</v>
      </c>
      <c r="S47" s="2"/>
      <c r="T47" s="7">
        <v>17307.5367625</v>
      </c>
      <c r="U47" s="2"/>
      <c r="V47" s="6">
        <f t="shared" si="25"/>
        <v>1.2629597132578564E-2</v>
      </c>
      <c r="W47" s="2"/>
      <c r="X47" s="7">
        <f t="shared" si="26"/>
        <v>-4054.5967624999994</v>
      </c>
      <c r="Y47" s="2"/>
      <c r="Z47" s="6">
        <f t="shared" si="27"/>
        <v>-0.2342676960990219</v>
      </c>
    </row>
    <row r="48" spans="1:26" s="24" customFormat="1" hidden="1" outlineLevel="2" x14ac:dyDescent="0.3">
      <c r="A48" s="27"/>
      <c r="B48" s="11" t="str">
        <f>CONCATENATE("          ", "6003", " - ", "STAFF HOURLY-9 MONTH")</f>
        <v xml:space="preserve">          6003 - STAFF HOURLY-9 MONTH</v>
      </c>
      <c r="C48" s="11"/>
      <c r="D48" s="7"/>
      <c r="E48" s="2"/>
      <c r="F48" s="6">
        <f t="shared" si="20"/>
        <v>0</v>
      </c>
      <c r="G48" s="2"/>
      <c r="H48" s="7">
        <v>0</v>
      </c>
      <c r="I48" s="2"/>
      <c r="J48" s="6">
        <f t="shared" si="21"/>
        <v>0</v>
      </c>
      <c r="K48" s="2"/>
      <c r="L48" s="7">
        <f t="shared" si="22"/>
        <v>0</v>
      </c>
      <c r="M48" s="2"/>
      <c r="N48" s="6">
        <f t="shared" si="23"/>
        <v>0</v>
      </c>
      <c r="O48" s="11"/>
      <c r="P48" s="7"/>
      <c r="Q48" s="2"/>
      <c r="R48" s="6">
        <f t="shared" si="24"/>
        <v>0</v>
      </c>
      <c r="S48" s="2"/>
      <c r="T48" s="7">
        <v>0</v>
      </c>
      <c r="U48" s="2"/>
      <c r="V48" s="6">
        <f t="shared" si="25"/>
        <v>0</v>
      </c>
      <c r="W48" s="2"/>
      <c r="X48" s="7">
        <f t="shared" si="26"/>
        <v>0</v>
      </c>
      <c r="Y48" s="2"/>
      <c r="Z48" s="6">
        <f t="shared" si="27"/>
        <v>0</v>
      </c>
    </row>
    <row r="49" spans="1:26" s="24" customFormat="1" hidden="1" outlineLevel="2" x14ac:dyDescent="0.3">
      <c r="A49" s="27"/>
      <c r="B49" s="11" t="str">
        <f>CONCATENATE("          ", "6004", " - ", "STAFF HOURLY")</f>
        <v xml:space="preserve">          6004 - STAFF HOURLY</v>
      </c>
      <c r="C49" s="11"/>
      <c r="D49" s="7">
        <v>3151.23</v>
      </c>
      <c r="E49" s="2"/>
      <c r="F49" s="6">
        <f t="shared" si="20"/>
        <v>2.0229070602712975E-2</v>
      </c>
      <c r="G49" s="2"/>
      <c r="H49" s="7">
        <v>4305.3999999999996</v>
      </c>
      <c r="I49" s="2"/>
      <c r="J49" s="6">
        <f t="shared" si="21"/>
        <v>2.3545174644667689E-2</v>
      </c>
      <c r="K49" s="2"/>
      <c r="L49" s="7">
        <f t="shared" si="22"/>
        <v>-1154.1699999999996</v>
      </c>
      <c r="M49" s="2"/>
      <c r="N49" s="6">
        <f t="shared" si="23"/>
        <v>-0.26807497561202204</v>
      </c>
      <c r="O49" s="11"/>
      <c r="P49" s="7">
        <v>20893.46</v>
      </c>
      <c r="Q49" s="2"/>
      <c r="R49" s="6">
        <f t="shared" si="24"/>
        <v>1.8614536302624909E-2</v>
      </c>
      <c r="S49" s="2"/>
      <c r="T49" s="7">
        <v>26693.48</v>
      </c>
      <c r="U49" s="2"/>
      <c r="V49" s="6">
        <f t="shared" si="25"/>
        <v>1.9478675856231233E-2</v>
      </c>
      <c r="W49" s="2"/>
      <c r="X49" s="7">
        <f t="shared" si="26"/>
        <v>-5800.02</v>
      </c>
      <c r="Y49" s="2"/>
      <c r="Z49" s="6">
        <f t="shared" si="27"/>
        <v>-0.21728227267482547</v>
      </c>
    </row>
    <row r="50" spans="1:26" s="24" customFormat="1" hidden="1" outlineLevel="2" x14ac:dyDescent="0.3">
      <c r="A50" s="27"/>
      <c r="B50" s="11" t="str">
        <f>CONCATENATE("          ", "6005", " - ", "TEMPORARY WAGES-HOURLY")</f>
        <v xml:space="preserve">          6005 - TEMPORARY WAGES-HOURLY</v>
      </c>
      <c r="C50" s="11"/>
      <c r="D50" s="7">
        <v>1354.67</v>
      </c>
      <c r="E50" s="2"/>
      <c r="F50" s="6">
        <f t="shared" si="20"/>
        <v>8.6961964291331281E-3</v>
      </c>
      <c r="G50" s="2"/>
      <c r="H50" s="7">
        <v>0</v>
      </c>
      <c r="I50" s="2"/>
      <c r="J50" s="6">
        <f t="shared" si="21"/>
        <v>0</v>
      </c>
      <c r="K50" s="2"/>
      <c r="L50" s="7">
        <f t="shared" si="22"/>
        <v>1354.67</v>
      </c>
      <c r="M50" s="2"/>
      <c r="N50" s="6">
        <f t="shared" si="23"/>
        <v>0</v>
      </c>
      <c r="O50" s="11"/>
      <c r="P50" s="7">
        <v>8233.81</v>
      </c>
      <c r="Q50" s="2"/>
      <c r="R50" s="6">
        <f t="shared" si="24"/>
        <v>7.3357191749914086E-3</v>
      </c>
      <c r="S50" s="2"/>
      <c r="T50" s="7">
        <v>0</v>
      </c>
      <c r="U50" s="2"/>
      <c r="V50" s="6">
        <f t="shared" si="25"/>
        <v>0</v>
      </c>
      <c r="W50" s="2"/>
      <c r="X50" s="7">
        <f t="shared" si="26"/>
        <v>8233.81</v>
      </c>
      <c r="Y50" s="2"/>
      <c r="Z50" s="6">
        <f t="shared" si="27"/>
        <v>0</v>
      </c>
    </row>
    <row r="51" spans="1:26" s="24" customFormat="1" hidden="1" outlineLevel="2" x14ac:dyDescent="0.3">
      <c r="A51" s="27"/>
      <c r="B51" s="11" t="str">
        <f>CONCATENATE("          ", "6006", " - ", "TEMPORARY PART TIME")</f>
        <v xml:space="preserve">          6006 - TEMPORARY PART TIME</v>
      </c>
      <c r="C51" s="11"/>
      <c r="D51" s="7"/>
      <c r="E51" s="2"/>
      <c r="F51" s="6">
        <f t="shared" si="20"/>
        <v>0</v>
      </c>
      <c r="G51" s="2"/>
      <c r="H51" s="7">
        <v>0</v>
      </c>
      <c r="I51" s="2"/>
      <c r="J51" s="6">
        <f t="shared" si="21"/>
        <v>0</v>
      </c>
      <c r="K51" s="2"/>
      <c r="L51" s="7">
        <f t="shared" si="22"/>
        <v>0</v>
      </c>
      <c r="M51" s="2"/>
      <c r="N51" s="6">
        <f t="shared" si="23"/>
        <v>0</v>
      </c>
      <c r="O51" s="11"/>
      <c r="P51" s="7"/>
      <c r="Q51" s="2"/>
      <c r="R51" s="6">
        <f t="shared" si="24"/>
        <v>0</v>
      </c>
      <c r="S51" s="2"/>
      <c r="T51" s="7">
        <v>0</v>
      </c>
      <c r="U51" s="2"/>
      <c r="V51" s="6">
        <f t="shared" si="25"/>
        <v>0</v>
      </c>
      <c r="W51" s="2"/>
      <c r="X51" s="7">
        <f t="shared" si="26"/>
        <v>0</v>
      </c>
      <c r="Y51" s="2"/>
      <c r="Z51" s="6">
        <f t="shared" si="27"/>
        <v>0</v>
      </c>
    </row>
    <row r="52" spans="1:26" s="24" customFormat="1" hidden="1" outlineLevel="2" x14ac:dyDescent="0.3">
      <c r="A52" s="27"/>
      <c r="B52" s="11" t="str">
        <f>CONCATENATE("          ", "6007", " - ", "STUDENT HOURLY")</f>
        <v xml:space="preserve">          6007 - STUDENT HOURLY</v>
      </c>
      <c r="C52" s="11"/>
      <c r="D52" s="7">
        <v>4283.21</v>
      </c>
      <c r="E52" s="2"/>
      <c r="F52" s="6">
        <f t="shared" si="20"/>
        <v>2.7495726270772441E-2</v>
      </c>
      <c r="G52" s="2"/>
      <c r="H52" s="7">
        <v>0</v>
      </c>
      <c r="I52" s="2"/>
      <c r="J52" s="6">
        <f t="shared" si="21"/>
        <v>0</v>
      </c>
      <c r="K52" s="2"/>
      <c r="L52" s="7">
        <f t="shared" si="22"/>
        <v>4283.21</v>
      </c>
      <c r="M52" s="2"/>
      <c r="N52" s="6">
        <f t="shared" si="23"/>
        <v>0</v>
      </c>
      <c r="O52" s="11"/>
      <c r="P52" s="7">
        <v>22935.9</v>
      </c>
      <c r="Q52" s="2"/>
      <c r="R52" s="6">
        <f t="shared" si="24"/>
        <v>2.0434200136472114E-2</v>
      </c>
      <c r="S52" s="2"/>
      <c r="T52" s="7">
        <v>10176</v>
      </c>
      <c r="U52" s="2"/>
      <c r="V52" s="6">
        <f t="shared" si="25"/>
        <v>7.4255962696886668E-3</v>
      </c>
      <c r="W52" s="2"/>
      <c r="X52" s="7">
        <f t="shared" si="26"/>
        <v>12759.900000000001</v>
      </c>
      <c r="Y52" s="2"/>
      <c r="Z52" s="6">
        <f t="shared" si="27"/>
        <v>1.2539209905660378</v>
      </c>
    </row>
    <row r="53" spans="1:26" s="24" customFormat="1" hidden="1" outlineLevel="2" x14ac:dyDescent="0.3">
      <c r="A53" s="27"/>
      <c r="B53" s="11" t="str">
        <f>CONCATENATE("          ", "6008", " - ", "STUDENT HOURLY-FICA EXEMPT")</f>
        <v xml:space="preserve">          6008 - STUDENT HOURLY-FICA EXEMPT</v>
      </c>
      <c r="C53" s="11"/>
      <c r="D53" s="7"/>
      <c r="E53" s="2"/>
      <c r="F53" s="6">
        <f t="shared" si="20"/>
        <v>0</v>
      </c>
      <c r="G53" s="2"/>
      <c r="H53" s="7">
        <v>7111.22</v>
      </c>
      <c r="I53" s="2"/>
      <c r="J53" s="6">
        <f t="shared" si="21"/>
        <v>3.8889514757433408E-2</v>
      </c>
      <c r="K53" s="2"/>
      <c r="L53" s="7">
        <f t="shared" si="22"/>
        <v>-7111.22</v>
      </c>
      <c r="M53" s="2"/>
      <c r="N53" s="6">
        <f t="shared" si="23"/>
        <v>-1</v>
      </c>
      <c r="O53" s="11"/>
      <c r="P53" s="7">
        <v>6145.63</v>
      </c>
      <c r="Q53" s="2"/>
      <c r="R53" s="6">
        <f t="shared" si="24"/>
        <v>5.4753043649783577E-3</v>
      </c>
      <c r="S53" s="2"/>
      <c r="T53" s="7">
        <v>25511.22</v>
      </c>
      <c r="U53" s="2"/>
      <c r="V53" s="6">
        <f t="shared" si="25"/>
        <v>1.8615961091510112E-2</v>
      </c>
      <c r="W53" s="2"/>
      <c r="X53" s="7">
        <f t="shared" si="26"/>
        <v>-19365.59</v>
      </c>
      <c r="Y53" s="2"/>
      <c r="Z53" s="6">
        <f t="shared" si="27"/>
        <v>-0.7591008975658553</v>
      </c>
    </row>
    <row r="54" spans="1:26" s="24" customFormat="1" hidden="1" outlineLevel="2" x14ac:dyDescent="0.3">
      <c r="A54" s="27"/>
      <c r="B54" s="11" t="str">
        <f>CONCATENATE("          ", "6009", " - ", "TEMPORARY-SEASONAL")</f>
        <v xml:space="preserve">          6009 - TEMPORARY-SEASONAL</v>
      </c>
      <c r="C54" s="11"/>
      <c r="D54" s="7"/>
      <c r="E54" s="2"/>
      <c r="F54" s="6">
        <f t="shared" si="20"/>
        <v>0</v>
      </c>
      <c r="G54" s="2"/>
      <c r="H54" s="7">
        <v>0</v>
      </c>
      <c r="I54" s="2"/>
      <c r="J54" s="6">
        <f t="shared" si="21"/>
        <v>0</v>
      </c>
      <c r="K54" s="2"/>
      <c r="L54" s="7">
        <f t="shared" si="22"/>
        <v>0</v>
      </c>
      <c r="M54" s="2"/>
      <c r="N54" s="6">
        <f t="shared" si="23"/>
        <v>0</v>
      </c>
      <c r="O54" s="11"/>
      <c r="P54" s="7"/>
      <c r="Q54" s="2"/>
      <c r="R54" s="6">
        <f t="shared" si="24"/>
        <v>0</v>
      </c>
      <c r="S54" s="2"/>
      <c r="T54" s="7">
        <v>0</v>
      </c>
      <c r="U54" s="2"/>
      <c r="V54" s="6">
        <f t="shared" si="25"/>
        <v>0</v>
      </c>
      <c r="W54" s="2"/>
      <c r="X54" s="7">
        <f t="shared" si="26"/>
        <v>0</v>
      </c>
      <c r="Y54" s="2"/>
      <c r="Z54" s="6">
        <f t="shared" si="27"/>
        <v>0</v>
      </c>
    </row>
    <row r="55" spans="1:26" s="24" customFormat="1" hidden="1" outlineLevel="2" x14ac:dyDescent="0.3">
      <c r="A55" s="27"/>
      <c r="B55" s="11" t="str">
        <f>CONCATENATE("          ", "6010", " - ", "GRATUITY")</f>
        <v xml:space="preserve">          6010 - GRATUITY</v>
      </c>
      <c r="C55" s="11"/>
      <c r="D55" s="7"/>
      <c r="E55" s="2"/>
      <c r="F55" s="6">
        <f t="shared" si="20"/>
        <v>0</v>
      </c>
      <c r="G55" s="2"/>
      <c r="H55" s="7">
        <v>0</v>
      </c>
      <c r="I55" s="2"/>
      <c r="J55" s="6">
        <f t="shared" si="21"/>
        <v>0</v>
      </c>
      <c r="K55" s="2"/>
      <c r="L55" s="7">
        <f t="shared" si="22"/>
        <v>0</v>
      </c>
      <c r="M55" s="2"/>
      <c r="N55" s="6">
        <f t="shared" si="23"/>
        <v>0</v>
      </c>
      <c r="O55" s="11"/>
      <c r="P55" s="7"/>
      <c r="Q55" s="2"/>
      <c r="R55" s="6">
        <f t="shared" si="24"/>
        <v>0</v>
      </c>
      <c r="S55" s="2"/>
      <c r="T55" s="7">
        <v>0</v>
      </c>
      <c r="U55" s="2"/>
      <c r="V55" s="6">
        <f t="shared" si="25"/>
        <v>0</v>
      </c>
      <c r="W55" s="2"/>
      <c r="X55" s="7">
        <f t="shared" si="26"/>
        <v>0</v>
      </c>
      <c r="Y55" s="2"/>
      <c r="Z55" s="6">
        <f t="shared" si="27"/>
        <v>0</v>
      </c>
    </row>
    <row r="56" spans="1:26" s="28" customFormat="1" outlineLevel="1" collapsed="1" x14ac:dyDescent="0.3">
      <c r="A56" s="29"/>
      <c r="B56" s="14" t="str">
        <f>CONCATENATE("     ","Advertising/Promo                                 ")</f>
        <v xml:space="preserve">     Advertising/Promo                                 </v>
      </c>
      <c r="C56" s="14"/>
      <c r="D56" s="1">
        <f>SUM(OSRRefD22_2x_0)</f>
        <v>28.67</v>
      </c>
      <c r="E56" s="1"/>
      <c r="F56" s="5">
        <f t="shared" ref="F56:F70" si="28">IF(D$12=0,0,D56/D$12)</f>
        <v>1.8404478701325544E-4</v>
      </c>
      <c r="G56" s="1"/>
      <c r="H56" s="1">
        <f>SUM(OSRRefH22_2x_0)</f>
        <v>200</v>
      </c>
      <c r="I56" s="1"/>
      <c r="J56" s="5">
        <f t="shared" ref="J56:J70" si="29">IF(H$12=0,0,H56/H$12)</f>
        <v>1.093750854492855E-3</v>
      </c>
      <c r="K56" s="1"/>
      <c r="L56" s="1">
        <f t="shared" ref="L56:L70" si="30">+D56-H56</f>
        <v>-171.32999999999998</v>
      </c>
      <c r="M56" s="1"/>
      <c r="N56" s="5">
        <f t="shared" ref="N56:N70" si="31">IF(H56=0,0,L56/H56)</f>
        <v>-0.85664999999999991</v>
      </c>
      <c r="O56" s="14"/>
      <c r="P56" s="1">
        <f>SUM(OSRRefP22_2x_0)</f>
        <v>146.80000000000001</v>
      </c>
      <c r="Q56" s="1"/>
      <c r="R56" s="5">
        <f t="shared" ref="R56:R70" si="32">IF(P$12=0,0,P56/P$12)</f>
        <v>1.307880039603463E-4</v>
      </c>
      <c r="S56" s="1"/>
      <c r="T56" s="1">
        <f>SUM(OSRRefT22_2x_0)</f>
        <v>1400</v>
      </c>
      <c r="U56" s="1"/>
      <c r="V56" s="5">
        <f t="shared" ref="V56:V70" si="33">IF(T$12=0,0,T56/T$12)</f>
        <v>1.0216032603738339E-3</v>
      </c>
      <c r="W56" s="1"/>
      <c r="X56" s="1">
        <f t="shared" ref="X56:X70" si="34">+P56-T56</f>
        <v>-1253.2</v>
      </c>
      <c r="Y56" s="1"/>
      <c r="Z56" s="5">
        <f t="shared" ref="Z56:Z70" si="35">IF(T56=0,0,X56/T56)</f>
        <v>-0.89514285714285713</v>
      </c>
    </row>
    <row r="57" spans="1:26" s="24" customFormat="1" hidden="1" outlineLevel="2" x14ac:dyDescent="0.3">
      <c r="A57" s="27"/>
      <c r="B57" s="11" t="str">
        <f>CONCATENATE("          ", "6362", " - ", "ADVERTISING EXPENSE")</f>
        <v xml:space="preserve">          6362 - ADVERTISING EXPENSE</v>
      </c>
      <c r="C57" s="11"/>
      <c r="D57" s="7">
        <v>28.67</v>
      </c>
      <c r="E57" s="2"/>
      <c r="F57" s="6">
        <f t="shared" si="28"/>
        <v>1.8404478701325544E-4</v>
      </c>
      <c r="G57" s="2"/>
      <c r="H57" s="7">
        <v>200</v>
      </c>
      <c r="I57" s="2"/>
      <c r="J57" s="6">
        <f t="shared" si="29"/>
        <v>1.093750854492855E-3</v>
      </c>
      <c r="K57" s="2"/>
      <c r="L57" s="7">
        <f t="shared" si="30"/>
        <v>-171.32999999999998</v>
      </c>
      <c r="M57" s="2"/>
      <c r="N57" s="6">
        <f t="shared" si="31"/>
        <v>-0.85664999999999991</v>
      </c>
      <c r="O57" s="11"/>
      <c r="P57" s="7">
        <v>146.80000000000001</v>
      </c>
      <c r="Q57" s="2"/>
      <c r="R57" s="6">
        <f t="shared" si="32"/>
        <v>1.307880039603463E-4</v>
      </c>
      <c r="S57" s="2"/>
      <c r="T57" s="7">
        <v>1400</v>
      </c>
      <c r="U57" s="2"/>
      <c r="V57" s="6">
        <f t="shared" si="33"/>
        <v>1.0216032603738339E-3</v>
      </c>
      <c r="W57" s="2"/>
      <c r="X57" s="7">
        <f t="shared" si="34"/>
        <v>-1253.2</v>
      </c>
      <c r="Y57" s="2"/>
      <c r="Z57" s="6">
        <f t="shared" si="35"/>
        <v>-0.89514285714285713</v>
      </c>
    </row>
    <row r="58" spans="1:26" s="28" customFormat="1" outlineLevel="1" collapsed="1" x14ac:dyDescent="0.3">
      <c r="A58" s="29"/>
      <c r="B58" s="14" t="str">
        <f>CONCATENATE("     ","Depreciation                                      ")</f>
        <v xml:space="preserve">     Depreciation                                      </v>
      </c>
      <c r="C58" s="14"/>
      <c r="D58" s="1">
        <f>SUM(OSRRefD22_3x_0)</f>
        <v>280.44</v>
      </c>
      <c r="E58" s="1"/>
      <c r="F58" s="5">
        <f t="shared" si="28"/>
        <v>1.8002622975234516E-3</v>
      </c>
      <c r="G58" s="1"/>
      <c r="H58" s="1">
        <f>SUM(OSRRefH22_3x_0)</f>
        <v>0</v>
      </c>
      <c r="I58" s="1"/>
      <c r="J58" s="5">
        <f t="shared" si="29"/>
        <v>0</v>
      </c>
      <c r="K58" s="1"/>
      <c r="L58" s="1">
        <f t="shared" si="30"/>
        <v>280.44</v>
      </c>
      <c r="M58" s="1"/>
      <c r="N58" s="5">
        <f t="shared" si="31"/>
        <v>0</v>
      </c>
      <c r="O58" s="14"/>
      <c r="P58" s="1">
        <f>SUM(OSRRefP22_3x_0)</f>
        <v>1963.08</v>
      </c>
      <c r="Q58" s="1"/>
      <c r="R58" s="5">
        <f t="shared" si="32"/>
        <v>1.748959910180358E-3</v>
      </c>
      <c r="S58" s="1"/>
      <c r="T58" s="1">
        <f>SUM(OSRRefT22_3x_0)</f>
        <v>0</v>
      </c>
      <c r="U58" s="1"/>
      <c r="V58" s="5">
        <f t="shared" si="33"/>
        <v>0</v>
      </c>
      <c r="W58" s="1"/>
      <c r="X58" s="1">
        <f t="shared" si="34"/>
        <v>1963.08</v>
      </c>
      <c r="Y58" s="1"/>
      <c r="Z58" s="5">
        <f t="shared" si="35"/>
        <v>0</v>
      </c>
    </row>
    <row r="59" spans="1:26" s="24" customFormat="1" hidden="1" outlineLevel="2" x14ac:dyDescent="0.3">
      <c r="A59" s="27"/>
      <c r="B59" s="11" t="str">
        <f>CONCATENATE("          ", "6322", " - ", "EQUIPMENT DEPRECIATION EXPENSE")</f>
        <v xml:space="preserve">          6322 - EQUIPMENT DEPRECIATION EXPENSE</v>
      </c>
      <c r="C59" s="11"/>
      <c r="D59" s="7">
        <v>280.44</v>
      </c>
      <c r="E59" s="2"/>
      <c r="F59" s="6">
        <f t="shared" si="28"/>
        <v>1.8002622975234516E-3</v>
      </c>
      <c r="G59" s="2"/>
      <c r="H59" s="7"/>
      <c r="I59" s="2"/>
      <c r="J59" s="6">
        <f t="shared" si="29"/>
        <v>0</v>
      </c>
      <c r="K59" s="2"/>
      <c r="L59" s="7">
        <f t="shared" si="30"/>
        <v>280.44</v>
      </c>
      <c r="M59" s="2"/>
      <c r="N59" s="6">
        <f t="shared" si="31"/>
        <v>0</v>
      </c>
      <c r="O59" s="11"/>
      <c r="P59" s="7">
        <v>1963.08</v>
      </c>
      <c r="Q59" s="2"/>
      <c r="R59" s="6">
        <f t="shared" si="32"/>
        <v>1.748959910180358E-3</v>
      </c>
      <c r="S59" s="2"/>
      <c r="T59" s="7"/>
      <c r="U59" s="2"/>
      <c r="V59" s="6">
        <f t="shared" si="33"/>
        <v>0</v>
      </c>
      <c r="W59" s="2"/>
      <c r="X59" s="7">
        <f t="shared" si="34"/>
        <v>1963.08</v>
      </c>
      <c r="Y59" s="2"/>
      <c r="Z59" s="6">
        <f t="shared" si="35"/>
        <v>0</v>
      </c>
    </row>
    <row r="60" spans="1:26" s="28" customFormat="1" outlineLevel="1" collapsed="1" x14ac:dyDescent="0.3">
      <c r="A60" s="29"/>
      <c r="B60" s="14" t="str">
        <f>CONCATENATE("     ","Employees' Appreciation                           ")</f>
        <v xml:space="preserve">     Employees' Appreciation                           </v>
      </c>
      <c r="C60" s="14"/>
      <c r="D60" s="1">
        <f>SUM(OSRRefD22_4x_0)</f>
        <v>0</v>
      </c>
      <c r="E60" s="1"/>
      <c r="F60" s="5">
        <f t="shared" si="28"/>
        <v>0</v>
      </c>
      <c r="G60" s="1"/>
      <c r="H60" s="1">
        <f>SUM(OSRRefH22_4x_0)</f>
        <v>20</v>
      </c>
      <c r="I60" s="1"/>
      <c r="J60" s="5">
        <f t="shared" si="29"/>
        <v>1.0937508544928551E-4</v>
      </c>
      <c r="K60" s="1"/>
      <c r="L60" s="1">
        <f t="shared" si="30"/>
        <v>-20</v>
      </c>
      <c r="M60" s="1"/>
      <c r="N60" s="5">
        <f t="shared" si="31"/>
        <v>-1</v>
      </c>
      <c r="O60" s="14"/>
      <c r="P60" s="1">
        <f>SUM(OSRRefP22_4x_0)</f>
        <v>0</v>
      </c>
      <c r="Q60" s="1"/>
      <c r="R60" s="5">
        <f t="shared" si="32"/>
        <v>0</v>
      </c>
      <c r="S60" s="1"/>
      <c r="T60" s="1">
        <f>SUM(OSRRefT22_4x_0)</f>
        <v>140</v>
      </c>
      <c r="U60" s="1"/>
      <c r="V60" s="5">
        <f t="shared" si="33"/>
        <v>1.0216032603738338E-4</v>
      </c>
      <c r="W60" s="1"/>
      <c r="X60" s="1">
        <f t="shared" si="34"/>
        <v>-140</v>
      </c>
      <c r="Y60" s="1"/>
      <c r="Z60" s="5">
        <f t="shared" si="35"/>
        <v>-1</v>
      </c>
    </row>
    <row r="61" spans="1:26" s="24" customFormat="1" hidden="1" outlineLevel="2" x14ac:dyDescent="0.3">
      <c r="A61" s="27"/>
      <c r="B61" s="11" t="str">
        <f>CONCATENATE("          ", "6277", " - ", "EMPLOYEE APPRECIATION")</f>
        <v xml:space="preserve">          6277 - EMPLOYEE APPRECIATION</v>
      </c>
      <c r="C61" s="11"/>
      <c r="D61" s="7"/>
      <c r="E61" s="2"/>
      <c r="F61" s="6">
        <f t="shared" si="28"/>
        <v>0</v>
      </c>
      <c r="G61" s="2"/>
      <c r="H61" s="7">
        <v>20</v>
      </c>
      <c r="I61" s="2"/>
      <c r="J61" s="6">
        <f t="shared" si="29"/>
        <v>1.0937508544928551E-4</v>
      </c>
      <c r="K61" s="2"/>
      <c r="L61" s="7">
        <f t="shared" si="30"/>
        <v>-20</v>
      </c>
      <c r="M61" s="2"/>
      <c r="N61" s="6">
        <f t="shared" si="31"/>
        <v>-1</v>
      </c>
      <c r="O61" s="11"/>
      <c r="P61" s="7"/>
      <c r="Q61" s="2"/>
      <c r="R61" s="6">
        <f t="shared" si="32"/>
        <v>0</v>
      </c>
      <c r="S61" s="2"/>
      <c r="T61" s="7">
        <v>140</v>
      </c>
      <c r="U61" s="2"/>
      <c r="V61" s="6">
        <f t="shared" si="33"/>
        <v>1.0216032603738338E-4</v>
      </c>
      <c r="W61" s="2"/>
      <c r="X61" s="7">
        <f t="shared" si="34"/>
        <v>-140</v>
      </c>
      <c r="Y61" s="2"/>
      <c r="Z61" s="6">
        <f t="shared" si="35"/>
        <v>-1</v>
      </c>
    </row>
    <row r="62" spans="1:26" s="28" customFormat="1" outlineLevel="1" collapsed="1" x14ac:dyDescent="0.3">
      <c r="A62" s="29"/>
      <c r="B62" s="14" t="str">
        <f>CONCATENATE("     ","Freight out/Postage                               ")</f>
        <v xml:space="preserve">     Freight out/Postage                               </v>
      </c>
      <c r="C62" s="14"/>
      <c r="D62" s="1">
        <f>SUM(OSRRefD22_5x_0)</f>
        <v>0</v>
      </c>
      <c r="E62" s="1"/>
      <c r="F62" s="5">
        <f t="shared" si="28"/>
        <v>0</v>
      </c>
      <c r="G62" s="1"/>
      <c r="H62" s="1">
        <f>SUM(OSRRefH22_5x_0)</f>
        <v>15</v>
      </c>
      <c r="I62" s="1"/>
      <c r="J62" s="5">
        <f t="shared" si="29"/>
        <v>8.2031314086964134E-5</v>
      </c>
      <c r="K62" s="1"/>
      <c r="L62" s="1">
        <f t="shared" si="30"/>
        <v>-15</v>
      </c>
      <c r="M62" s="1"/>
      <c r="N62" s="5">
        <f t="shared" si="31"/>
        <v>-1</v>
      </c>
      <c r="O62" s="14"/>
      <c r="P62" s="1">
        <f>SUM(OSRRefP22_5x_0)</f>
        <v>122.13</v>
      </c>
      <c r="Q62" s="1"/>
      <c r="R62" s="5">
        <f t="shared" si="32"/>
        <v>1.0880884825393113E-4</v>
      </c>
      <c r="S62" s="1"/>
      <c r="T62" s="1">
        <f>SUM(OSRRefT22_5x_0)</f>
        <v>105</v>
      </c>
      <c r="U62" s="1"/>
      <c r="V62" s="5">
        <f t="shared" si="33"/>
        <v>7.6620244528037543E-5</v>
      </c>
      <c r="W62" s="1"/>
      <c r="X62" s="1">
        <f t="shared" si="34"/>
        <v>17.129999999999995</v>
      </c>
      <c r="Y62" s="1"/>
      <c r="Z62" s="5">
        <f t="shared" si="35"/>
        <v>0.16314285714285709</v>
      </c>
    </row>
    <row r="63" spans="1:26" s="24" customFormat="1" hidden="1" outlineLevel="2" x14ac:dyDescent="0.3">
      <c r="A63" s="27"/>
      <c r="B63" s="11" t="str">
        <f>CONCATENATE("          ", "6305", " - ", "FREIGHT OUT")</f>
        <v xml:space="preserve">          6305 - FREIGHT OUT</v>
      </c>
      <c r="C63" s="11"/>
      <c r="D63" s="7"/>
      <c r="E63" s="2"/>
      <c r="F63" s="6">
        <f t="shared" si="28"/>
        <v>0</v>
      </c>
      <c r="G63" s="2"/>
      <c r="H63" s="7">
        <v>15</v>
      </c>
      <c r="I63" s="2"/>
      <c r="J63" s="6">
        <f t="shared" si="29"/>
        <v>8.2031314086964134E-5</v>
      </c>
      <c r="K63" s="2"/>
      <c r="L63" s="7">
        <f t="shared" si="30"/>
        <v>-15</v>
      </c>
      <c r="M63" s="2"/>
      <c r="N63" s="6">
        <f t="shared" si="31"/>
        <v>-1</v>
      </c>
      <c r="O63" s="11"/>
      <c r="P63" s="7">
        <v>122.13</v>
      </c>
      <c r="Q63" s="2"/>
      <c r="R63" s="6">
        <f t="shared" si="32"/>
        <v>1.0880884825393113E-4</v>
      </c>
      <c r="S63" s="2"/>
      <c r="T63" s="7">
        <v>105</v>
      </c>
      <c r="U63" s="2"/>
      <c r="V63" s="6">
        <f t="shared" si="33"/>
        <v>7.6620244528037543E-5</v>
      </c>
      <c r="W63" s="2"/>
      <c r="X63" s="7">
        <f t="shared" si="34"/>
        <v>17.129999999999995</v>
      </c>
      <c r="Y63" s="2"/>
      <c r="Z63" s="6">
        <f t="shared" si="35"/>
        <v>0.16314285714285709</v>
      </c>
    </row>
    <row r="64" spans="1:26" s="28" customFormat="1" outlineLevel="1" collapsed="1" x14ac:dyDescent="0.3">
      <c r="A64" s="29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SUM(OSRRefD22_6x_0)</f>
        <v>0</v>
      </c>
      <c r="E64" s="1"/>
      <c r="F64" s="5">
        <f t="shared" si="28"/>
        <v>0</v>
      </c>
      <c r="G64" s="1"/>
      <c r="H64" s="1">
        <f>SUM(OSRRefH22_6x_0)</f>
        <v>30</v>
      </c>
      <c r="I64" s="1"/>
      <c r="J64" s="5">
        <f t="shared" si="29"/>
        <v>1.6406262817392827E-4</v>
      </c>
      <c r="K64" s="1"/>
      <c r="L64" s="1">
        <f t="shared" si="30"/>
        <v>-30</v>
      </c>
      <c r="M64" s="1"/>
      <c r="N64" s="5">
        <f t="shared" si="31"/>
        <v>-1</v>
      </c>
      <c r="O64" s="14"/>
      <c r="P64" s="1">
        <f>SUM(OSRRefP22_6x_0)</f>
        <v>0</v>
      </c>
      <c r="Q64" s="1"/>
      <c r="R64" s="5">
        <f t="shared" si="32"/>
        <v>0</v>
      </c>
      <c r="S64" s="1"/>
      <c r="T64" s="1">
        <f>SUM(OSRRefT22_6x_0)</f>
        <v>210</v>
      </c>
      <c r="U64" s="1"/>
      <c r="V64" s="5">
        <f t="shared" si="33"/>
        <v>1.5324048905607509E-4</v>
      </c>
      <c r="W64" s="1"/>
      <c r="X64" s="1">
        <f t="shared" si="34"/>
        <v>-210</v>
      </c>
      <c r="Y64" s="1"/>
      <c r="Z64" s="5">
        <f t="shared" si="35"/>
        <v>-1</v>
      </c>
    </row>
    <row r="65" spans="1:26" s="24" customFormat="1" hidden="1" outlineLevel="2" x14ac:dyDescent="0.3">
      <c r="A65" s="27"/>
      <c r="B65" s="11" t="str">
        <f>CONCATENATE("          ", "6279", " - ", "GENERAL EXPENSE")</f>
        <v xml:space="preserve">          6279 - GENERAL EXPENSE</v>
      </c>
      <c r="C65" s="11"/>
      <c r="D65" s="7"/>
      <c r="E65" s="2"/>
      <c r="F65" s="6">
        <f t="shared" si="28"/>
        <v>0</v>
      </c>
      <c r="G65" s="2"/>
      <c r="H65" s="7">
        <v>30</v>
      </c>
      <c r="I65" s="2"/>
      <c r="J65" s="6">
        <f t="shared" si="29"/>
        <v>1.6406262817392827E-4</v>
      </c>
      <c r="K65" s="2"/>
      <c r="L65" s="7">
        <f t="shared" si="30"/>
        <v>-30</v>
      </c>
      <c r="M65" s="2"/>
      <c r="N65" s="6">
        <f t="shared" si="31"/>
        <v>-1</v>
      </c>
      <c r="O65" s="11"/>
      <c r="P65" s="7"/>
      <c r="Q65" s="2"/>
      <c r="R65" s="6">
        <f t="shared" si="32"/>
        <v>0</v>
      </c>
      <c r="S65" s="2"/>
      <c r="T65" s="7">
        <v>210</v>
      </c>
      <c r="U65" s="2"/>
      <c r="V65" s="6">
        <f t="shared" si="33"/>
        <v>1.5324048905607509E-4</v>
      </c>
      <c r="W65" s="2"/>
      <c r="X65" s="7">
        <f t="shared" si="34"/>
        <v>-210</v>
      </c>
      <c r="Y65" s="2"/>
      <c r="Z65" s="6">
        <f t="shared" si="35"/>
        <v>-1</v>
      </c>
    </row>
    <row r="66" spans="1:26" s="28" customFormat="1" outlineLevel="1" collapsed="1" x14ac:dyDescent="0.3">
      <c r="A66" s="29"/>
      <c r="B66" s="14" t="str">
        <f>CONCATENATE("     ","Inventory Adjustment                              ")</f>
        <v xml:space="preserve">     Inventory Adjustment                              </v>
      </c>
      <c r="C66" s="14"/>
      <c r="D66" s="1">
        <f>SUM(OSRRefD22_7x_0)</f>
        <v>970</v>
      </c>
      <c r="E66" s="1"/>
      <c r="F66" s="5">
        <f t="shared" si="28"/>
        <v>6.226837928247568E-3</v>
      </c>
      <c r="G66" s="1"/>
      <c r="H66" s="1">
        <f>SUM(OSRRefH22_7x_0)</f>
        <v>970</v>
      </c>
      <c r="I66" s="1"/>
      <c r="J66" s="5">
        <f t="shared" si="29"/>
        <v>5.304691644290347E-3</v>
      </c>
      <c r="K66" s="1"/>
      <c r="L66" s="1">
        <f t="shared" si="30"/>
        <v>0</v>
      </c>
      <c r="M66" s="1"/>
      <c r="N66" s="5">
        <f t="shared" si="31"/>
        <v>0</v>
      </c>
      <c r="O66" s="14"/>
      <c r="P66" s="1">
        <f>SUM(OSRRefP22_7x_0)</f>
        <v>6610</v>
      </c>
      <c r="Q66" s="1"/>
      <c r="R66" s="5">
        <f t="shared" si="32"/>
        <v>5.8890238840455644E-3</v>
      </c>
      <c r="S66" s="1"/>
      <c r="T66" s="1">
        <f>SUM(OSRRefT22_7x_0)</f>
        <v>7320</v>
      </c>
      <c r="U66" s="1"/>
      <c r="V66" s="5">
        <f t="shared" si="33"/>
        <v>5.3415256185260452E-3</v>
      </c>
      <c r="W66" s="1"/>
      <c r="X66" s="1">
        <f t="shared" si="34"/>
        <v>-710</v>
      </c>
      <c r="Y66" s="1"/>
      <c r="Z66" s="5">
        <f t="shared" si="35"/>
        <v>-9.699453551912568E-2</v>
      </c>
    </row>
    <row r="67" spans="1:26" s="24" customFormat="1" hidden="1" outlineLevel="2" x14ac:dyDescent="0.3">
      <c r="A67" s="27"/>
      <c r="B67" s="11" t="str">
        <f>CONCATENATE("          ", "6408", " - ", "INVENTORY ADJUSTMENT")</f>
        <v xml:space="preserve">          6408 - INVENTORY ADJUSTMENT</v>
      </c>
      <c r="C67" s="11"/>
      <c r="D67" s="7">
        <v>970</v>
      </c>
      <c r="E67" s="2"/>
      <c r="F67" s="6">
        <f t="shared" si="28"/>
        <v>6.226837928247568E-3</v>
      </c>
      <c r="G67" s="2"/>
      <c r="H67" s="7">
        <v>970</v>
      </c>
      <c r="I67" s="2"/>
      <c r="J67" s="6">
        <f t="shared" si="29"/>
        <v>5.304691644290347E-3</v>
      </c>
      <c r="K67" s="2"/>
      <c r="L67" s="7">
        <f t="shared" si="30"/>
        <v>0</v>
      </c>
      <c r="M67" s="2"/>
      <c r="N67" s="6">
        <f t="shared" si="31"/>
        <v>0</v>
      </c>
      <c r="O67" s="11"/>
      <c r="P67" s="7">
        <v>6610</v>
      </c>
      <c r="Q67" s="2"/>
      <c r="R67" s="6">
        <f t="shared" si="32"/>
        <v>5.8890238840455644E-3</v>
      </c>
      <c r="S67" s="2"/>
      <c r="T67" s="7">
        <v>7320</v>
      </c>
      <c r="U67" s="2"/>
      <c r="V67" s="6">
        <f t="shared" si="33"/>
        <v>5.3415256185260452E-3</v>
      </c>
      <c r="W67" s="2"/>
      <c r="X67" s="7">
        <f t="shared" si="34"/>
        <v>-710</v>
      </c>
      <c r="Y67" s="2"/>
      <c r="Z67" s="6">
        <f t="shared" si="35"/>
        <v>-9.699453551912568E-2</v>
      </c>
    </row>
    <row r="68" spans="1:26" s="28" customFormat="1" outlineLevel="1" collapsed="1" x14ac:dyDescent="0.3">
      <c r="A68" s="29"/>
      <c r="B68" s="14" t="str">
        <f>CONCATENATE("     ","Supplies                                          ")</f>
        <v xml:space="preserve">     Supplies                                          </v>
      </c>
      <c r="C68" s="14"/>
      <c r="D68" s="1">
        <f>SUM(OSRRefD22_8x_0)</f>
        <v>11.04</v>
      </c>
      <c r="E68" s="1"/>
      <c r="F68" s="5">
        <f t="shared" si="28"/>
        <v>7.0870402812219741E-5</v>
      </c>
      <c r="G68" s="1"/>
      <c r="H68" s="1">
        <f>SUM(OSRRefH22_8x_0)</f>
        <v>310</v>
      </c>
      <c r="I68" s="1"/>
      <c r="J68" s="5">
        <f t="shared" si="29"/>
        <v>1.6953138244639255E-3</v>
      </c>
      <c r="K68" s="1"/>
      <c r="L68" s="1">
        <f t="shared" si="30"/>
        <v>-298.95999999999998</v>
      </c>
      <c r="M68" s="1"/>
      <c r="N68" s="5">
        <f t="shared" si="31"/>
        <v>-0.96438709677419343</v>
      </c>
      <c r="O68" s="14"/>
      <c r="P68" s="1">
        <f>SUM(OSRRefP22_8x_0)</f>
        <v>3318.5</v>
      </c>
      <c r="Q68" s="1"/>
      <c r="R68" s="5">
        <f t="shared" si="32"/>
        <v>2.9565394491989721E-3</v>
      </c>
      <c r="S68" s="1"/>
      <c r="T68" s="1">
        <f>SUM(OSRRefT22_8x_0)</f>
        <v>2170</v>
      </c>
      <c r="U68" s="1"/>
      <c r="V68" s="5">
        <f t="shared" si="33"/>
        <v>1.5834850535794425E-3</v>
      </c>
      <c r="W68" s="1"/>
      <c r="X68" s="1">
        <f t="shared" si="34"/>
        <v>1148.5</v>
      </c>
      <c r="Y68" s="1"/>
      <c r="Z68" s="5">
        <f t="shared" si="35"/>
        <v>0.52926267281105988</v>
      </c>
    </row>
    <row r="69" spans="1:26" s="24" customFormat="1" hidden="1" outlineLevel="2" x14ac:dyDescent="0.3">
      <c r="A69" s="27"/>
      <c r="B69" s="11" t="str">
        <f>CONCATENATE("          ", "6241", " - ", "OFFICE EXPENSE")</f>
        <v xml:space="preserve">          6241 - OFFICE EXPENSE</v>
      </c>
      <c r="C69" s="11"/>
      <c r="D69" s="7">
        <v>11.04</v>
      </c>
      <c r="E69" s="2"/>
      <c r="F69" s="6">
        <f t="shared" si="28"/>
        <v>7.0870402812219741E-5</v>
      </c>
      <c r="G69" s="2"/>
      <c r="H69" s="7">
        <v>110</v>
      </c>
      <c r="I69" s="2"/>
      <c r="J69" s="6">
        <f t="shared" si="29"/>
        <v>6.015629699710703E-4</v>
      </c>
      <c r="K69" s="2"/>
      <c r="L69" s="7">
        <f t="shared" si="30"/>
        <v>-98.960000000000008</v>
      </c>
      <c r="M69" s="2"/>
      <c r="N69" s="6">
        <f t="shared" si="31"/>
        <v>-0.89963636363636368</v>
      </c>
      <c r="O69" s="11"/>
      <c r="P69" s="7">
        <v>406.5</v>
      </c>
      <c r="Q69" s="2"/>
      <c r="R69" s="6">
        <f t="shared" si="32"/>
        <v>3.6216160497193979E-4</v>
      </c>
      <c r="S69" s="2"/>
      <c r="T69" s="7">
        <v>770</v>
      </c>
      <c r="U69" s="2"/>
      <c r="V69" s="6">
        <f t="shared" si="33"/>
        <v>5.6188179320560859E-4</v>
      </c>
      <c r="W69" s="2"/>
      <c r="X69" s="7">
        <f t="shared" si="34"/>
        <v>-363.5</v>
      </c>
      <c r="Y69" s="2"/>
      <c r="Z69" s="6">
        <f t="shared" si="35"/>
        <v>-0.4720779220779221</v>
      </c>
    </row>
    <row r="70" spans="1:26" s="24" customFormat="1" hidden="1" outlineLevel="2" x14ac:dyDescent="0.3">
      <c r="A70" s="27"/>
      <c r="B70" s="11" t="str">
        <f>CONCATENATE("          ", "6247", " - ", "STORE SUPPLIES")</f>
        <v xml:space="preserve">          6247 - STORE SUPPLIES</v>
      </c>
      <c r="C70" s="11"/>
      <c r="D70" s="7"/>
      <c r="E70" s="2"/>
      <c r="F70" s="6">
        <f t="shared" si="28"/>
        <v>0</v>
      </c>
      <c r="G70" s="2"/>
      <c r="H70" s="7">
        <v>200</v>
      </c>
      <c r="I70" s="2"/>
      <c r="J70" s="6">
        <f t="shared" si="29"/>
        <v>1.093750854492855E-3</v>
      </c>
      <c r="K70" s="2"/>
      <c r="L70" s="7">
        <f t="shared" si="30"/>
        <v>-200</v>
      </c>
      <c r="M70" s="2"/>
      <c r="N70" s="6">
        <f t="shared" si="31"/>
        <v>-1</v>
      </c>
      <c r="O70" s="11"/>
      <c r="P70" s="7">
        <v>2912</v>
      </c>
      <c r="Q70" s="2"/>
      <c r="R70" s="6">
        <f t="shared" si="32"/>
        <v>2.5943778442270326E-3</v>
      </c>
      <c r="S70" s="2"/>
      <c r="T70" s="7">
        <v>1400</v>
      </c>
      <c r="U70" s="2"/>
      <c r="V70" s="6">
        <f t="shared" si="33"/>
        <v>1.0216032603738339E-3</v>
      </c>
      <c r="W70" s="2"/>
      <c r="X70" s="7">
        <f t="shared" si="34"/>
        <v>1512</v>
      </c>
      <c r="Y70" s="2"/>
      <c r="Z70" s="6">
        <f t="shared" si="35"/>
        <v>1.08</v>
      </c>
    </row>
    <row r="71" spans="1:26" s="28" customFormat="1" outlineLevel="1" collapsed="1" x14ac:dyDescent="0.3">
      <c r="A71" s="29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SUM(OSRRefD22_9x_0)</f>
        <v>203.25</v>
      </c>
      <c r="E71" s="1"/>
      <c r="F71" s="5">
        <f t="shared" ref="F71:F72" si="36">IF(D$12=0,0,D71/D$12)</f>
        <v>1.3047472256869259E-3</v>
      </c>
      <c r="G71" s="1"/>
      <c r="H71" s="1">
        <f>SUM(OSRRefH22_9x_0)</f>
        <v>325</v>
      </c>
      <c r="I71" s="1"/>
      <c r="J71" s="5">
        <f t="shared" ref="J71:J72" si="37">IF(H$12=0,0,H71/H$12)</f>
        <v>1.7773451385508896E-3</v>
      </c>
      <c r="K71" s="1"/>
      <c r="L71" s="1">
        <f t="shared" ref="L71:L72" si="38">+D71-H71</f>
        <v>-121.75</v>
      </c>
      <c r="M71" s="1"/>
      <c r="N71" s="5">
        <f t="shared" ref="N71:N72" si="39">IF(H71=0,0,L71/H71)</f>
        <v>-0.37461538461538463</v>
      </c>
      <c r="O71" s="14"/>
      <c r="P71" s="1">
        <f>SUM(OSRRefP22_9x_0)</f>
        <v>1465.6</v>
      </c>
      <c r="Q71" s="1"/>
      <c r="R71" s="5">
        <f t="shared" ref="R71:R72" si="40">IF(P$12=0,0,P71/P$12)</f>
        <v>1.3057418161054734E-3</v>
      </c>
      <c r="S71" s="1"/>
      <c r="T71" s="1">
        <f>SUM(OSRRefT22_9x_0)</f>
        <v>2275</v>
      </c>
      <c r="U71" s="1"/>
      <c r="V71" s="5">
        <f t="shared" ref="V71:V72" si="41">IF(T$12=0,0,T71/T$12)</f>
        <v>1.6601052981074799E-3</v>
      </c>
      <c r="W71" s="1"/>
      <c r="X71" s="1">
        <f t="shared" ref="X71:X72" si="42">+P71-T71</f>
        <v>-809.40000000000009</v>
      </c>
      <c r="Y71" s="1"/>
      <c r="Z71" s="5">
        <f t="shared" ref="Z71:Z72" si="43">IF(T71=0,0,X71/T71)</f>
        <v>-0.35578021978021984</v>
      </c>
    </row>
    <row r="72" spans="1:26" s="24" customFormat="1" hidden="1" outlineLevel="2" x14ac:dyDescent="0.3">
      <c r="A72" s="27"/>
      <c r="B72" s="11" t="str">
        <f>CONCATENATE("          ", "6309", " - ", "TELEPHONE")</f>
        <v xml:space="preserve">          6309 - TELEPHONE</v>
      </c>
      <c r="C72" s="11"/>
      <c r="D72" s="7">
        <v>203.25</v>
      </c>
      <c r="E72" s="2"/>
      <c r="F72" s="6">
        <f t="shared" si="36"/>
        <v>1.3047472256869259E-3</v>
      </c>
      <c r="G72" s="2"/>
      <c r="H72" s="7">
        <v>325</v>
      </c>
      <c r="I72" s="2"/>
      <c r="J72" s="6">
        <f t="shared" si="37"/>
        <v>1.7773451385508896E-3</v>
      </c>
      <c r="K72" s="2"/>
      <c r="L72" s="7">
        <f t="shared" si="38"/>
        <v>-121.75</v>
      </c>
      <c r="M72" s="2"/>
      <c r="N72" s="6">
        <f t="shared" si="39"/>
        <v>-0.37461538461538463</v>
      </c>
      <c r="O72" s="11"/>
      <c r="P72" s="7">
        <v>1465.6</v>
      </c>
      <c r="Q72" s="2"/>
      <c r="R72" s="6">
        <f t="shared" si="40"/>
        <v>1.3057418161054734E-3</v>
      </c>
      <c r="S72" s="2"/>
      <c r="T72" s="7">
        <v>2275</v>
      </c>
      <c r="U72" s="2"/>
      <c r="V72" s="6">
        <f t="shared" si="41"/>
        <v>1.6601052981074799E-3</v>
      </c>
      <c r="W72" s="2"/>
      <c r="X72" s="7">
        <f t="shared" si="42"/>
        <v>-809.40000000000009</v>
      </c>
      <c r="Y72" s="2"/>
      <c r="Z72" s="6">
        <f t="shared" si="43"/>
        <v>-0.35578021978021984</v>
      </c>
    </row>
    <row r="73" spans="1:26" s="55" customFormat="1" x14ac:dyDescent="0.3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collapsed="1" x14ac:dyDescent="0.3">
      <c r="A74" s="10"/>
      <c r="B74" s="25" t="s">
        <v>293</v>
      </c>
      <c r="C74" s="10"/>
      <c r="D74" s="4">
        <f>SUM(OSRRefD25x_0)</f>
        <v>1242.72</v>
      </c>
      <c r="E74" s="4"/>
      <c r="F74" s="12">
        <f t="shared" ref="F74:F77" si="44">IF(D$12=0,0,D74/D$12)</f>
        <v>7.9775422991668222E-3</v>
      </c>
      <c r="G74" s="4"/>
      <c r="H74" s="4">
        <f>SUM(OSRRefH25x_0)</f>
        <v>1540</v>
      </c>
      <c r="I74" s="4"/>
      <c r="J74" s="12">
        <f t="shared" ref="J74:J77" si="45">IF(H$12=0,0,H74/H$12)</f>
        <v>8.421881579594984E-3</v>
      </c>
      <c r="K74" s="4"/>
      <c r="L74" s="4">
        <f t="shared" ref="L74:L77" si="46">+D74-H74</f>
        <v>-297.27999999999997</v>
      </c>
      <c r="M74" s="4"/>
      <c r="N74" s="12">
        <f t="shared" ref="N74:N77" si="47">IF(H74=0,0,L74/H74)</f>
        <v>-0.19303896103896101</v>
      </c>
      <c r="O74" s="10"/>
      <c r="P74" s="4">
        <f>SUM(OSRRefP25x_0)</f>
        <v>3840.75</v>
      </c>
      <c r="Q74" s="4"/>
      <c r="R74" s="12">
        <f t="shared" ref="R74:R77" si="48">IF(P$12=0,0,P74/P$12)</f>
        <v>3.4218257916260215E-3</v>
      </c>
      <c r="S74" s="4"/>
      <c r="T74" s="4">
        <f>SUM(OSRRefT25x_0)</f>
        <v>12874</v>
      </c>
      <c r="U74" s="4"/>
      <c r="V74" s="12">
        <f t="shared" ref="V74:V77" si="49">IF(T$12=0,0,T74/T$12)</f>
        <v>9.3943716957519546E-3</v>
      </c>
      <c r="W74" s="4"/>
      <c r="X74" s="4">
        <f t="shared" ref="X74:X77" si="50">+P74-T74</f>
        <v>-9033.25</v>
      </c>
      <c r="Y74" s="4"/>
      <c r="Z74" s="12">
        <f t="shared" ref="Z74:Z77" si="51">IF(T74=0,0,X74/T74)</f>
        <v>-0.70166614882709333</v>
      </c>
    </row>
    <row r="75" spans="1:26" s="24" customFormat="1" hidden="1" outlineLevel="1" x14ac:dyDescent="0.3">
      <c r="A75" s="44"/>
      <c r="B75" s="11" t="str">
        <f>CONCATENATE("          ", "4187", " - ", "NON-TAXABLE SALES-COMPUTER REP")</f>
        <v xml:space="preserve">          4187 - NON-TAXABLE SALES-COMPUTER REP</v>
      </c>
      <c r="C75" s="11"/>
      <c r="D75" s="2">
        <f>0</f>
        <v>0</v>
      </c>
      <c r="E75" s="2"/>
      <c r="F75" s="19">
        <f t="shared" si="44"/>
        <v>0</v>
      </c>
      <c r="G75" s="2"/>
      <c r="H75" s="2"/>
      <c r="I75" s="2"/>
      <c r="J75" s="19">
        <f t="shared" si="45"/>
        <v>0</v>
      </c>
      <c r="K75" s="2"/>
      <c r="L75" s="2">
        <f t="shared" si="46"/>
        <v>0</v>
      </c>
      <c r="M75" s="2"/>
      <c r="N75" s="19">
        <f t="shared" si="47"/>
        <v>0</v>
      </c>
      <c r="O75" s="11"/>
      <c r="P75" s="2">
        <f>0</f>
        <v>0</v>
      </c>
      <c r="Q75" s="2"/>
      <c r="R75" s="19">
        <f t="shared" si="48"/>
        <v>0</v>
      </c>
      <c r="S75" s="2"/>
      <c r="T75" s="2"/>
      <c r="U75" s="2"/>
      <c r="V75" s="19">
        <f t="shared" si="49"/>
        <v>0</v>
      </c>
      <c r="W75" s="2"/>
      <c r="X75" s="2">
        <f t="shared" si="50"/>
        <v>0</v>
      </c>
      <c r="Y75" s="2"/>
      <c r="Z75" s="19">
        <f t="shared" si="51"/>
        <v>0</v>
      </c>
    </row>
    <row r="76" spans="1:26" s="24" customFormat="1" hidden="1" outlineLevel="1" x14ac:dyDescent="0.3">
      <c r="A76" s="44"/>
      <c r="B76" s="11" t="str">
        <f>CONCATENATE("          ", "9087", " - ", "")</f>
        <v xml:space="preserve">          9087 - </v>
      </c>
      <c r="C76" s="11"/>
      <c r="D76" s="2">
        <f>--1293.31</f>
        <v>1293.31</v>
      </c>
      <c r="E76" s="2"/>
      <c r="F76" s="19">
        <f t="shared" si="44"/>
        <v>8.3023007845173837E-3</v>
      </c>
      <c r="G76" s="2"/>
      <c r="H76" s="2"/>
      <c r="I76" s="2"/>
      <c r="J76" s="19">
        <f t="shared" si="45"/>
        <v>0</v>
      </c>
      <c r="K76" s="2"/>
      <c r="L76" s="2">
        <f t="shared" si="46"/>
        <v>1293.31</v>
      </c>
      <c r="M76" s="2"/>
      <c r="N76" s="19">
        <f t="shared" si="47"/>
        <v>0</v>
      </c>
      <c r="O76" s="11"/>
      <c r="P76" s="2">
        <f>--1631.01</f>
        <v>1631.01</v>
      </c>
      <c r="Q76" s="2"/>
      <c r="R76" s="19">
        <f t="shared" si="48"/>
        <v>1.4531099614398118E-3</v>
      </c>
      <c r="S76" s="2"/>
      <c r="T76" s="2"/>
      <c r="U76" s="2"/>
      <c r="V76" s="19">
        <f t="shared" si="49"/>
        <v>0</v>
      </c>
      <c r="W76" s="2"/>
      <c r="X76" s="2">
        <f t="shared" si="50"/>
        <v>1631.01</v>
      </c>
      <c r="Y76" s="2"/>
      <c r="Z76" s="19">
        <f t="shared" si="51"/>
        <v>0</v>
      </c>
    </row>
    <row r="77" spans="1:26" s="24" customFormat="1" hidden="1" outlineLevel="1" x14ac:dyDescent="0.3">
      <c r="A77" s="44"/>
      <c r="B77" s="11" t="str">
        <f>CONCATENATE("          ", "9150", " - ", "MISC. INCOME")</f>
        <v xml:space="preserve">          9150 - MISC. INCOME</v>
      </c>
      <c r="C77" s="11"/>
      <c r="D77" s="2">
        <f>-50.59</f>
        <v>-50.59</v>
      </c>
      <c r="E77" s="2"/>
      <c r="F77" s="19">
        <f t="shared" si="44"/>
        <v>-3.2475848535056131E-4</v>
      </c>
      <c r="G77" s="2"/>
      <c r="H77" s="2">
        <v>1540</v>
      </c>
      <c r="I77" s="2"/>
      <c r="J77" s="19">
        <f t="shared" si="45"/>
        <v>8.421881579594984E-3</v>
      </c>
      <c r="K77" s="2"/>
      <c r="L77" s="2">
        <f t="shared" si="46"/>
        <v>-1590.59</v>
      </c>
      <c r="M77" s="2"/>
      <c r="N77" s="19">
        <f t="shared" si="47"/>
        <v>-1.0328506493506493</v>
      </c>
      <c r="O77" s="11"/>
      <c r="P77" s="2">
        <f>--2209.74</f>
        <v>2209.7399999999998</v>
      </c>
      <c r="Q77" s="2"/>
      <c r="R77" s="19">
        <f t="shared" si="48"/>
        <v>1.9687158301862095E-3</v>
      </c>
      <c r="S77" s="2"/>
      <c r="T77" s="2">
        <v>12874</v>
      </c>
      <c r="U77" s="2"/>
      <c r="V77" s="19">
        <f t="shared" si="49"/>
        <v>9.3943716957519546E-3</v>
      </c>
      <c r="W77" s="2"/>
      <c r="X77" s="2">
        <f t="shared" si="50"/>
        <v>-10664.26</v>
      </c>
      <c r="Y77" s="2"/>
      <c r="Z77" s="19">
        <f t="shared" si="51"/>
        <v>-0.82835637719434518</v>
      </c>
    </row>
    <row r="78" spans="1:26" x14ac:dyDescent="0.3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3">
      <c r="A79" s="10"/>
      <c r="B79" s="26" t="s">
        <v>277</v>
      </c>
      <c r="C79" s="26"/>
      <c r="D79" s="21">
        <f>+D31-D33+D74</f>
        <v>9715.6400000000158</v>
      </c>
      <c r="E79" s="13"/>
      <c r="F79" s="22">
        <f>IF(D$12=0,0,D79/D$12)</f>
        <v>6.2368779019793097E-2</v>
      </c>
      <c r="G79" s="13"/>
      <c r="H79" s="21">
        <f>+H31-H33+H74</f>
        <v>1546.9643249125002</v>
      </c>
      <c r="I79" s="13"/>
      <c r="J79" s="22">
        <f>IF(H$12=0,0,H79/H$12)</f>
        <v>8.4599677612150481E-3</v>
      </c>
      <c r="K79" s="15"/>
      <c r="L79" s="21">
        <f>+D79-H79</f>
        <v>8168.6756750875156</v>
      </c>
      <c r="M79" s="15"/>
      <c r="N79" s="22">
        <f>IF(H79=0,0,L79/H79)</f>
        <v>5.2804551103979431</v>
      </c>
      <c r="O79" s="25"/>
      <c r="P79" s="21">
        <f>+P31-P33+P74</f>
        <v>72062.690000000061</v>
      </c>
      <c r="Q79" s="13"/>
      <c r="R79" s="22">
        <f>IF(P$12=0,0,P79/P$12)</f>
        <v>6.4202557119299827E-2</v>
      </c>
      <c r="S79" s="13"/>
      <c r="T79" s="21">
        <f>+T31-T33+T74</f>
        <v>43218.145343257507</v>
      </c>
      <c r="U79" s="13"/>
      <c r="V79" s="22">
        <f>IF(T$12=0,0,T79/T$12)</f>
        <v>3.1536998707130066E-2</v>
      </c>
      <c r="W79" s="15"/>
      <c r="X79" s="21">
        <f>+P79-T79</f>
        <v>28844.544656742553</v>
      </c>
      <c r="Y79" s="15"/>
      <c r="Z79" s="22">
        <f>IF(T79=0,0,X79/T79)</f>
        <v>0.66741745689562804</v>
      </c>
    </row>
    <row r="80" spans="1:26" x14ac:dyDescent="0.3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3">
      <c r="A81" s="52"/>
      <c r="B81" s="10" t="s">
        <v>128</v>
      </c>
      <c r="C81" s="10"/>
      <c r="D81" s="4">
        <v>32216.33</v>
      </c>
      <c r="E81" s="4"/>
      <c r="F81" s="12">
        <f>IF(D$12=0,0,D81/D$12)</f>
        <v>0.20681017067313401</v>
      </c>
      <c r="G81" s="4"/>
      <c r="H81" s="4">
        <v>17954</v>
      </c>
      <c r="I81" s="4"/>
      <c r="J81" s="12">
        <f>IF(H$12=0,0,H81/H$12)</f>
        <v>9.8186014207823594E-2</v>
      </c>
      <c r="K81" s="4"/>
      <c r="L81" s="4">
        <f>+D81-H81</f>
        <v>14262.330000000002</v>
      </c>
      <c r="M81" s="4"/>
      <c r="N81" s="12">
        <f>IF(H81=0,0,L81/H81)</f>
        <v>0.79438175336972272</v>
      </c>
      <c r="O81" s="10"/>
      <c r="P81" s="4">
        <v>148572.74</v>
      </c>
      <c r="Q81" s="4"/>
      <c r="R81" s="12">
        <f>IF(P$12=0,0,P81/P$12)</f>
        <v>0.13236738492860692</v>
      </c>
      <c r="S81" s="4"/>
      <c r="T81" s="4">
        <v>171707</v>
      </c>
      <c r="U81" s="4"/>
      <c r="V81" s="12">
        <f>IF(T$12=0,0,T81/T$12)</f>
        <v>0.12529745073500706</v>
      </c>
      <c r="W81" s="4"/>
      <c r="X81" s="4">
        <f>+P81-T81</f>
        <v>-23134.260000000009</v>
      </c>
      <c r="Y81" s="4"/>
      <c r="Z81" s="12">
        <f>IF(T81=0,0,X81/T81)</f>
        <v>-0.13473102436126663</v>
      </c>
    </row>
    <row r="82" spans="1:26" x14ac:dyDescent="0.3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" thickBot="1" x14ac:dyDescent="0.35">
      <c r="A83" s="10"/>
      <c r="B83" s="26" t="s">
        <v>126</v>
      </c>
      <c r="C83" s="26"/>
      <c r="D83" s="32">
        <f>+D79-D81</f>
        <v>-22500.689999999988</v>
      </c>
      <c r="E83" s="13"/>
      <c r="F83" s="31">
        <f>IF(D$12=0,0,D83/D$12)</f>
        <v>-0.14444139165334091</v>
      </c>
      <c r="G83" s="13"/>
      <c r="H83" s="32">
        <f>+H79-H81</f>
        <v>-16407.0356750875</v>
      </c>
      <c r="I83" s="13"/>
      <c r="J83" s="31">
        <f>IF(H$12=0,0,H83/H$12)</f>
        <v>-8.9726046446608546E-2</v>
      </c>
      <c r="K83" s="15"/>
      <c r="L83" s="32">
        <f>D83-H83</f>
        <v>-6093.6543249124879</v>
      </c>
      <c r="M83" s="15"/>
      <c r="N83" s="31">
        <f>IF(H83=0,0,L83/H83)</f>
        <v>0.37140495367881193</v>
      </c>
      <c r="O83" s="25"/>
      <c r="P83" s="32">
        <f>+P79-P81</f>
        <v>-76510.04999999993</v>
      </c>
      <c r="Q83" s="13"/>
      <c r="R83" s="31">
        <f>IF(P$12=0,0,P83/P$12)</f>
        <v>-6.8164827809307105E-2</v>
      </c>
      <c r="S83" s="13"/>
      <c r="T83" s="32">
        <f>+T79-T81</f>
        <v>-128488.85465674249</v>
      </c>
      <c r="U83" s="13"/>
      <c r="V83" s="31">
        <f>IF(T$12=0,0,T83/T$12)</f>
        <v>-9.3760452027877E-2</v>
      </c>
      <c r="W83" s="15"/>
      <c r="X83" s="32">
        <f>P83-T83</f>
        <v>51978.804656742563</v>
      </c>
      <c r="Y83" s="15"/>
      <c r="Z83" s="31">
        <f>IF(T83=0,0,X83/T83)</f>
        <v>-0.4045394037918989</v>
      </c>
    </row>
    <row r="84" spans="1:26" ht="15" thickTop="1" x14ac:dyDescent="0.3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3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" thickBot="1" x14ac:dyDescent="0.35">
      <c r="A86" s="10"/>
      <c r="B86" s="26" t="s">
        <v>294</v>
      </c>
      <c r="C86" s="26"/>
      <c r="D86" s="34">
        <f>SUM(D83:D85)</f>
        <v>-22500.689999999988</v>
      </c>
      <c r="E86" s="13"/>
      <c r="F86" s="35">
        <f>IF(D$12=0,0,D86/D$12)</f>
        <v>-0.14444139165334091</v>
      </c>
      <c r="G86" s="13"/>
      <c r="H86" s="34">
        <f>SUM(H83:H85)</f>
        <v>-16407.0356750875</v>
      </c>
      <c r="I86" s="13"/>
      <c r="J86" s="35">
        <f>IF(H$12=0,0,H86/H$12)</f>
        <v>-8.9726046446608546E-2</v>
      </c>
      <c r="K86" s="15"/>
      <c r="L86" s="34">
        <f>+D86-H86</f>
        <v>-6093.6543249124879</v>
      </c>
      <c r="M86" s="15"/>
      <c r="N86" s="35">
        <f>IF(H86=0,0,L86/H86)</f>
        <v>0.37140495367881193</v>
      </c>
      <c r="O86" s="25"/>
      <c r="P86" s="34">
        <f>SUM(P83:P85)</f>
        <v>-76510.04999999993</v>
      </c>
      <c r="Q86" s="13"/>
      <c r="R86" s="35">
        <f>IF(P$12=0,0,P86/P$12)</f>
        <v>-6.8164827809307105E-2</v>
      </c>
      <c r="S86" s="13"/>
      <c r="T86" s="34">
        <f>SUM(T83:T85)</f>
        <v>-128488.85465674249</v>
      </c>
      <c r="U86" s="13"/>
      <c r="V86" s="35">
        <f>IF(T$12=0,0,T86/T$12)</f>
        <v>-9.3760452027877E-2</v>
      </c>
      <c r="W86" s="15"/>
      <c r="X86" s="34">
        <f>+P86-T86</f>
        <v>51978.804656742563</v>
      </c>
      <c r="Y86" s="15"/>
      <c r="Z86" s="35">
        <f>IF(T86=0,0,X86/T86)</f>
        <v>-0.4045394037918989</v>
      </c>
    </row>
    <row r="87" spans="1:26" ht="15" thickTop="1" x14ac:dyDescent="0.3">
      <c r="A87" s="9"/>
      <c r="C87" s="9"/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3">
      <c r="A88" s="9"/>
      <c r="B88" s="53">
        <v>44604.019995405091</v>
      </c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3">
      <c r="A89" s="9"/>
      <c r="B89" s="63" t="s">
        <v>56</v>
      </c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3">
      <c r="A90" s="9"/>
      <c r="B90" s="58"/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3"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outlinePr summaryBelow="0" summaryRight="0"/>
  </sheetPr>
  <dimension ref="A2:Z10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199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4833.46</v>
      </c>
      <c r="E12" s="4"/>
      <c r="F12" s="12"/>
      <c r="G12" s="4"/>
      <c r="H12" s="4">
        <f>SUM(OSRRefH13x_0)</f>
        <v>35426</v>
      </c>
      <c r="I12" s="4"/>
      <c r="J12" s="12"/>
      <c r="K12" s="4"/>
      <c r="L12" s="4">
        <f t="shared" ref="L12:L16" si="0">+D12-H12</f>
        <v>-30592.54</v>
      </c>
      <c r="M12" s="4"/>
      <c r="N12" s="12">
        <f t="shared" ref="N12:N16" si="1">IF(H12=0,0,L12/H12)</f>
        <v>-0.86356179077513695</v>
      </c>
      <c r="O12" s="10"/>
      <c r="P12" s="4">
        <f>SUM(OSRRefP13x_0)</f>
        <v>81240.959999999992</v>
      </c>
      <c r="Q12" s="4"/>
      <c r="R12" s="12"/>
      <c r="S12" s="4"/>
      <c r="T12" s="4">
        <f>SUM(OSRRefT13x_0)</f>
        <v>188999</v>
      </c>
      <c r="U12" s="4"/>
      <c r="V12" s="12"/>
      <c r="W12" s="4"/>
      <c r="X12" s="4">
        <f t="shared" ref="X12:X16" si="2">+P12-T12</f>
        <v>-107758.04000000001</v>
      </c>
      <c r="Y12" s="4"/>
      <c r="Z12" s="12">
        <f t="shared" ref="Z12:Z16" si="3">IF(T12=0,0,X12/T12)</f>
        <v>-0.5701513764623094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--803.91</f>
        <v>803.91</v>
      </c>
      <c r="E13" s="2"/>
      <c r="F13" s="19"/>
      <c r="G13" s="2"/>
      <c r="H13" s="2">
        <v>6899</v>
      </c>
      <c r="I13" s="2"/>
      <c r="J13" s="19"/>
      <c r="K13" s="2"/>
      <c r="L13" s="2">
        <f t="shared" si="0"/>
        <v>-6095.09</v>
      </c>
      <c r="M13" s="2"/>
      <c r="N13" s="19">
        <f t="shared" si="1"/>
        <v>-0.88347441658211334</v>
      </c>
      <c r="O13" s="11"/>
      <c r="P13" s="2">
        <f>--13554.56</f>
        <v>13554.56</v>
      </c>
      <c r="Q13" s="2"/>
      <c r="R13" s="19"/>
      <c r="S13" s="2"/>
      <c r="T13" s="2">
        <v>36955</v>
      </c>
      <c r="U13" s="2"/>
      <c r="V13" s="19"/>
      <c r="W13" s="2"/>
      <c r="X13" s="2">
        <f t="shared" si="2"/>
        <v>-23400.440000000002</v>
      </c>
      <c r="Y13" s="2"/>
      <c r="Z13" s="19">
        <f t="shared" si="3"/>
        <v>-0.63321445000676502</v>
      </c>
    </row>
    <row r="14" spans="1:26" s="24" customFormat="1" hidden="1" outlineLevel="1" x14ac:dyDescent="0.3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>0</f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--698.72</f>
        <v>698.72</v>
      </c>
      <c r="Q14" s="2"/>
      <c r="R14" s="19"/>
      <c r="S14" s="2"/>
      <c r="T14" s="2"/>
      <c r="U14" s="2"/>
      <c r="V14" s="19"/>
      <c r="W14" s="2"/>
      <c r="X14" s="2">
        <f t="shared" si="2"/>
        <v>698.72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--4029.55</f>
        <v>4029.55</v>
      </c>
      <c r="E15" s="2"/>
      <c r="F15" s="19"/>
      <c r="G15" s="2"/>
      <c r="H15" s="2">
        <v>28527</v>
      </c>
      <c r="I15" s="2"/>
      <c r="J15" s="19"/>
      <c r="K15" s="2"/>
      <c r="L15" s="2">
        <f t="shared" si="0"/>
        <v>-24497.45</v>
      </c>
      <c r="M15" s="2"/>
      <c r="N15" s="19">
        <f t="shared" si="1"/>
        <v>-0.8587461001857889</v>
      </c>
      <c r="O15" s="11"/>
      <c r="P15" s="2">
        <f>--66987.68</f>
        <v>66987.679999999993</v>
      </c>
      <c r="Q15" s="2"/>
      <c r="R15" s="19"/>
      <c r="S15" s="2"/>
      <c r="T15" s="2">
        <v>152044</v>
      </c>
      <c r="U15" s="2"/>
      <c r="V15" s="19"/>
      <c r="W15" s="2"/>
      <c r="X15" s="2">
        <f t="shared" si="2"/>
        <v>-85056.320000000007</v>
      </c>
      <c r="Y15" s="2"/>
      <c r="Z15" s="19">
        <f t="shared" si="3"/>
        <v>-0.55941911551919188</v>
      </c>
    </row>
    <row r="16" spans="1:26" s="24" customFormat="1" hidden="1" outlineLevel="1" x14ac:dyDescent="0.3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/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5887.78</v>
      </c>
      <c r="E18" s="4"/>
      <c r="F18" s="12">
        <f t="shared" ref="F18:F21" si="4">IF(D$12=0,0,D18/D$12)</f>
        <v>1.2181294559177069</v>
      </c>
      <c r="G18" s="4"/>
      <c r="H18" s="4">
        <f>SUM(OSRRefH16x_0)</f>
        <v>17359</v>
      </c>
      <c r="I18" s="4"/>
      <c r="J18" s="12">
        <f t="shared" ref="J18:J21" si="5">IF(H$12=0,0,H18/H$12)</f>
        <v>0.49000733924236439</v>
      </c>
      <c r="K18" s="4"/>
      <c r="L18" s="4">
        <f t="shared" ref="L18:L21" si="6">+D18-H18</f>
        <v>-11471.220000000001</v>
      </c>
      <c r="M18" s="4"/>
      <c r="N18" s="12">
        <f t="shared" ref="N18:N21" si="7">IF(H18=0,0,L18/H18)</f>
        <v>-0.66082262803156866</v>
      </c>
      <c r="O18" s="10"/>
      <c r="P18" s="4">
        <f>SUM(OSRRefP16x_0)</f>
        <v>52345.09</v>
      </c>
      <c r="Q18" s="4"/>
      <c r="R18" s="12">
        <f t="shared" ref="R18:R21" si="8">IF(P$12=0,0,P18/P$12)</f>
        <v>0.64431894945603796</v>
      </c>
      <c r="S18" s="4"/>
      <c r="T18" s="4">
        <f>SUM(OSRRefT16x_0)</f>
        <v>92613</v>
      </c>
      <c r="U18" s="4"/>
      <c r="V18" s="12">
        <f t="shared" ref="V18:V21" si="9">IF(T$12=0,0,T18/T$12)</f>
        <v>0.49001846570616775</v>
      </c>
      <c r="W18" s="4"/>
      <c r="X18" s="4">
        <f t="shared" ref="X18:X21" si="10">+P18-T18</f>
        <v>-40267.910000000003</v>
      </c>
      <c r="Y18" s="4"/>
      <c r="Z18" s="12">
        <f t="shared" ref="Z18:Z21" si="11">IF(T18=0,0,X18/T18)</f>
        <v>-0.43479759860926653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17359</v>
      </c>
      <c r="I19" s="2"/>
      <c r="J19" s="19">
        <f t="shared" si="5"/>
        <v>0.49000733924236439</v>
      </c>
      <c r="K19" s="2"/>
      <c r="L19" s="2">
        <f t="shared" si="6"/>
        <v>-17359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92613</v>
      </c>
      <c r="U19" s="2"/>
      <c r="V19" s="19">
        <f t="shared" si="9"/>
        <v>0.49001846570616775</v>
      </c>
      <c r="W19" s="2"/>
      <c r="X19" s="2">
        <f t="shared" si="10"/>
        <v>-92613</v>
      </c>
      <c r="Y19" s="2"/>
      <c r="Z19" s="19">
        <f t="shared" si="11"/>
        <v>-1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238.42</v>
      </c>
      <c r="E20" s="2"/>
      <c r="F20" s="19">
        <f t="shared" si="4"/>
        <v>4.932698315492421E-2</v>
      </c>
      <c r="G20" s="2"/>
      <c r="H20" s="2"/>
      <c r="I20" s="2"/>
      <c r="J20" s="19">
        <f t="shared" si="5"/>
        <v>0</v>
      </c>
      <c r="K20" s="2"/>
      <c r="L20" s="2">
        <f t="shared" si="6"/>
        <v>238.42</v>
      </c>
      <c r="M20" s="2"/>
      <c r="N20" s="19">
        <f t="shared" si="7"/>
        <v>0</v>
      </c>
      <c r="O20" s="11"/>
      <c r="P20" s="2">
        <v>41937.61</v>
      </c>
      <c r="Q20" s="2"/>
      <c r="R20" s="19">
        <f t="shared" si="8"/>
        <v>0.51621263461190026</v>
      </c>
      <c r="S20" s="2"/>
      <c r="T20" s="2"/>
      <c r="U20" s="2"/>
      <c r="V20" s="19">
        <f t="shared" si="9"/>
        <v>0</v>
      </c>
      <c r="W20" s="2"/>
      <c r="X20" s="2">
        <f t="shared" si="10"/>
        <v>41937.61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5649.36</v>
      </c>
      <c r="E21" s="2"/>
      <c r="F21" s="19">
        <f t="shared" si="4"/>
        <v>1.1688024727627826</v>
      </c>
      <c r="G21" s="2"/>
      <c r="H21" s="2"/>
      <c r="I21" s="2"/>
      <c r="J21" s="19">
        <f t="shared" si="5"/>
        <v>0</v>
      </c>
      <c r="K21" s="2"/>
      <c r="L21" s="2">
        <f t="shared" si="6"/>
        <v>5649.36</v>
      </c>
      <c r="M21" s="2"/>
      <c r="N21" s="19">
        <f t="shared" si="7"/>
        <v>0</v>
      </c>
      <c r="O21" s="11"/>
      <c r="P21" s="2">
        <v>10407.48</v>
      </c>
      <c r="Q21" s="2"/>
      <c r="R21" s="19">
        <f t="shared" si="8"/>
        <v>0.12810631484413773</v>
      </c>
      <c r="S21" s="2"/>
      <c r="T21" s="2"/>
      <c r="U21" s="2"/>
      <c r="V21" s="19">
        <f t="shared" si="9"/>
        <v>0</v>
      </c>
      <c r="W21" s="2"/>
      <c r="X21" s="2">
        <f t="shared" si="10"/>
        <v>10407.48</v>
      </c>
      <c r="Y21" s="2"/>
      <c r="Z21" s="19">
        <f t="shared" si="11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1">
        <f>D12-D18</f>
        <v>-1054.3199999999997</v>
      </c>
      <c r="E23" s="13"/>
      <c r="F23" s="22">
        <f>IF(D$12=0,0,D23/D$12)</f>
        <v>-0.21812945591770691</v>
      </c>
      <c r="G23" s="13"/>
      <c r="H23" s="21">
        <f>H12-H18</f>
        <v>18067</v>
      </c>
      <c r="I23" s="13"/>
      <c r="J23" s="22">
        <f>IF(H$12=0,0,H23/H$12)</f>
        <v>0.50999266075763561</v>
      </c>
      <c r="K23" s="15"/>
      <c r="L23" s="21">
        <f>+D23-H23</f>
        <v>-19121.32</v>
      </c>
      <c r="M23" s="15"/>
      <c r="N23" s="22">
        <f>IF(H23=0,0,L23/H23)</f>
        <v>-1.0583561188907953</v>
      </c>
      <c r="O23" s="25"/>
      <c r="P23" s="21">
        <f>P12-P18</f>
        <v>28895.869999999995</v>
      </c>
      <c r="Q23" s="13"/>
      <c r="R23" s="22">
        <f>IF(P$12=0,0,P23/P$12)</f>
        <v>0.35568105054396204</v>
      </c>
      <c r="S23" s="13"/>
      <c r="T23" s="21">
        <f>T12-T18</f>
        <v>96386</v>
      </c>
      <c r="U23" s="13"/>
      <c r="V23" s="22">
        <f>IF(T$12=0,0,T23/T$12)</f>
        <v>0.50998153429383219</v>
      </c>
      <c r="W23" s="15"/>
      <c r="X23" s="21">
        <f>+P23-T23</f>
        <v>-67490.13</v>
      </c>
      <c r="Y23" s="15"/>
      <c r="Z23" s="22">
        <f>IF(T23=0,0,X23/T23)</f>
        <v>-0.70020677276782939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0">
        <f>SUM(OSRRefD22x_0)</f>
        <v>31687.64</v>
      </c>
      <c r="E25" s="20"/>
      <c r="F25" s="33">
        <f t="shared" ref="F25:F36" si="12">IF(D$12=0,0,D25/D$12)</f>
        <v>6.5558916387018824</v>
      </c>
      <c r="G25" s="20"/>
      <c r="H25" s="20">
        <f>SUM(OSRRefH22x_0)</f>
        <v>34735.808669634614</v>
      </c>
      <c r="I25" s="20"/>
      <c r="J25" s="33">
        <f t="shared" ref="J25:J36" si="13">IF(H$12=0,0,H25/H$12)</f>
        <v>0.98051737903332625</v>
      </c>
      <c r="K25" s="4"/>
      <c r="L25" s="20">
        <f t="shared" ref="L25:L36" si="14">+D25-H25</f>
        <v>-3048.1686696346151</v>
      </c>
      <c r="M25" s="4"/>
      <c r="N25" s="33">
        <f t="shared" ref="N25:N36" si="15">IF(H25=0,0,L25/H25)</f>
        <v>-8.7752920872668963E-2</v>
      </c>
      <c r="O25" s="10"/>
      <c r="P25" s="20">
        <f>SUM(OSRRefP22x_0)</f>
        <v>149540.99000000005</v>
      </c>
      <c r="Q25" s="20"/>
      <c r="R25" s="33">
        <f t="shared" ref="R25:R36" si="16">IF(P$12=0,0,P25/P$12)</f>
        <v>1.8407092924554322</v>
      </c>
      <c r="S25" s="20"/>
      <c r="T25" s="20">
        <f>SUM(OSRRefT22x_0)</f>
        <v>242408.4710996346</v>
      </c>
      <c r="U25" s="20"/>
      <c r="V25" s="33">
        <f t="shared" ref="V25:V36" si="17">IF(T$12=0,0,T25/T$12)</f>
        <v>1.282591289369968</v>
      </c>
      <c r="W25" s="4"/>
      <c r="X25" s="20">
        <f t="shared" ref="X25:X36" si="18">+P25-T25</f>
        <v>-92867.481099634548</v>
      </c>
      <c r="Y25" s="4"/>
      <c r="Z25" s="33">
        <f t="shared" ref="Z25:Z36" si="19">IF(T25=0,0,X25/T25)</f>
        <v>-0.38310328297670837</v>
      </c>
    </row>
    <row r="26" spans="1:26" s="28" customFormat="1" outlineLevel="1" collapsed="1" x14ac:dyDescent="0.3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6243.2500000000009</v>
      </c>
      <c r="E26" s="1"/>
      <c r="F26" s="5">
        <f t="shared" si="12"/>
        <v>1.2916730458098342</v>
      </c>
      <c r="G26" s="1"/>
      <c r="H26" s="1">
        <f>SUM(OSRRefH22_0x_0)</f>
        <v>4545.2334811730771</v>
      </c>
      <c r="I26" s="1"/>
      <c r="J26" s="5">
        <f t="shared" si="13"/>
        <v>0.12830219277290908</v>
      </c>
      <c r="K26" s="1"/>
      <c r="L26" s="1">
        <f t="shared" si="14"/>
        <v>1698.0165188269239</v>
      </c>
      <c r="M26" s="1"/>
      <c r="N26" s="5">
        <f t="shared" si="15"/>
        <v>0.37358180297234889</v>
      </c>
      <c r="O26" s="14"/>
      <c r="P26" s="1">
        <f>SUM(OSRRefP22_0x_0)</f>
        <v>8994.4700000000012</v>
      </c>
      <c r="Q26" s="1"/>
      <c r="R26" s="5">
        <f t="shared" si="16"/>
        <v>0.11071348738370401</v>
      </c>
      <c r="S26" s="1"/>
      <c r="T26" s="1">
        <f>SUM(OSRRefT22_0x_0)</f>
        <v>30777.26591117309</v>
      </c>
      <c r="U26" s="1"/>
      <c r="V26" s="5">
        <f t="shared" si="17"/>
        <v>0.1628435383847168</v>
      </c>
      <c r="W26" s="1"/>
      <c r="X26" s="1">
        <f t="shared" si="18"/>
        <v>-21782.795911173089</v>
      </c>
      <c r="Y26" s="1"/>
      <c r="Z26" s="5">
        <f t="shared" si="19"/>
        <v>-0.7077560422046868</v>
      </c>
    </row>
    <row r="27" spans="1:26" s="24" customFormat="1" hidden="1" outlineLevel="2" x14ac:dyDescent="0.3">
      <c r="A27" s="27"/>
      <c r="B27" s="11" t="str">
        <f>CONCATENATE("          ", "6111", " - ", "F.I.C.A.")</f>
        <v xml:space="preserve">          6111 - F.I.C.A.</v>
      </c>
      <c r="C27" s="11"/>
      <c r="D27" s="7">
        <v>783.1</v>
      </c>
      <c r="E27" s="2"/>
      <c r="F27" s="6">
        <f t="shared" si="12"/>
        <v>0.1620164437069925</v>
      </c>
      <c r="G27" s="2"/>
      <c r="H27" s="7">
        <v>632.41110040384604</v>
      </c>
      <c r="I27" s="2"/>
      <c r="J27" s="6">
        <f t="shared" si="13"/>
        <v>1.7851608999148817E-2</v>
      </c>
      <c r="K27" s="2"/>
      <c r="L27" s="7">
        <f t="shared" si="14"/>
        <v>150.68889959615399</v>
      </c>
      <c r="M27" s="2"/>
      <c r="N27" s="6">
        <f t="shared" si="15"/>
        <v>0.23827680997364981</v>
      </c>
      <c r="O27" s="11"/>
      <c r="P27" s="7">
        <v>2129.4299999999998</v>
      </c>
      <c r="Q27" s="2"/>
      <c r="R27" s="6">
        <f t="shared" si="16"/>
        <v>2.6211285538723324E-2</v>
      </c>
      <c r="S27" s="2"/>
      <c r="T27" s="7">
        <v>4216.3875304038502</v>
      </c>
      <c r="U27" s="2"/>
      <c r="V27" s="6">
        <f t="shared" si="17"/>
        <v>2.2309046769579999E-2</v>
      </c>
      <c r="W27" s="2"/>
      <c r="X27" s="7">
        <f t="shared" si="18"/>
        <v>-2086.9575304038503</v>
      </c>
      <c r="Y27" s="2"/>
      <c r="Z27" s="6">
        <f t="shared" si="19"/>
        <v>-0.49496340536894606</v>
      </c>
    </row>
    <row r="28" spans="1:26" s="24" customFormat="1" hidden="1" outlineLevel="2" x14ac:dyDescent="0.3">
      <c r="A28" s="27"/>
      <c r="B28" s="11" t="str">
        <f>CONCATENATE("          ", "6112", " - ", "COMPENSATION INSURANCE")</f>
        <v xml:space="preserve">          6112 - COMPENSATION INSURANCE</v>
      </c>
      <c r="C28" s="11"/>
      <c r="D28" s="7">
        <v>263.61</v>
      </c>
      <c r="E28" s="2"/>
      <c r="F28" s="6">
        <f t="shared" si="12"/>
        <v>5.4538570713319239E-2</v>
      </c>
      <c r="G28" s="2"/>
      <c r="H28" s="7">
        <v>559.58937473076901</v>
      </c>
      <c r="I28" s="2"/>
      <c r="J28" s="6">
        <f t="shared" si="13"/>
        <v>1.5796007867971799E-2</v>
      </c>
      <c r="K28" s="2"/>
      <c r="L28" s="7">
        <f t="shared" si="14"/>
        <v>-295.979374730769</v>
      </c>
      <c r="M28" s="2"/>
      <c r="N28" s="6">
        <f t="shared" si="15"/>
        <v>-0.52892243508585435</v>
      </c>
      <c r="O28" s="11"/>
      <c r="P28" s="7">
        <v>681.23</v>
      </c>
      <c r="Q28" s="2"/>
      <c r="R28" s="6">
        <f t="shared" si="16"/>
        <v>8.3853021923916225E-3</v>
      </c>
      <c r="S28" s="2"/>
      <c r="T28" s="7">
        <v>3859.1633747307701</v>
      </c>
      <c r="U28" s="2"/>
      <c r="V28" s="6">
        <f t="shared" si="17"/>
        <v>2.0418961871389637E-2</v>
      </c>
      <c r="W28" s="2"/>
      <c r="X28" s="7">
        <f t="shared" si="18"/>
        <v>-3177.9333747307701</v>
      </c>
      <c r="Y28" s="2"/>
      <c r="Z28" s="6">
        <f t="shared" si="19"/>
        <v>-0.82347728410240595</v>
      </c>
    </row>
    <row r="29" spans="1:26" s="24" customFormat="1" hidden="1" outlineLevel="2" x14ac:dyDescent="0.3">
      <c r="A29" s="27"/>
      <c r="B29" s="11" t="str">
        <f>CONCATENATE("          ", "6113", " - ", "GROUP INSURANCE")</f>
        <v xml:space="preserve">          6113 - GROUP INSURANCE</v>
      </c>
      <c r="C29" s="11"/>
      <c r="D29" s="7">
        <v>3036.65</v>
      </c>
      <c r="E29" s="2"/>
      <c r="F29" s="6">
        <f t="shared" si="12"/>
        <v>0.62825594915443594</v>
      </c>
      <c r="G29" s="2"/>
      <c r="H29" s="7">
        <v>1977</v>
      </c>
      <c r="I29" s="2"/>
      <c r="J29" s="6">
        <f t="shared" si="13"/>
        <v>5.5806469824422743E-2</v>
      </c>
      <c r="K29" s="2"/>
      <c r="L29" s="7">
        <f t="shared" si="14"/>
        <v>1059.6500000000001</v>
      </c>
      <c r="M29" s="2"/>
      <c r="N29" s="6">
        <f t="shared" si="15"/>
        <v>0.53598887202832579</v>
      </c>
      <c r="O29" s="11"/>
      <c r="P29" s="7">
        <v>3070.46</v>
      </c>
      <c r="Q29" s="2"/>
      <c r="R29" s="6">
        <f t="shared" si="16"/>
        <v>3.7794481995289078E-2</v>
      </c>
      <c r="S29" s="2"/>
      <c r="T29" s="7">
        <v>13839</v>
      </c>
      <c r="U29" s="2"/>
      <c r="V29" s="6">
        <f t="shared" si="17"/>
        <v>7.322260964343727E-2</v>
      </c>
      <c r="W29" s="2"/>
      <c r="X29" s="7">
        <f t="shared" si="18"/>
        <v>-10768.54</v>
      </c>
      <c r="Y29" s="2"/>
      <c r="Z29" s="6">
        <f t="shared" si="19"/>
        <v>-0.77812992268227477</v>
      </c>
    </row>
    <row r="30" spans="1:26" s="24" customFormat="1" hidden="1" outlineLevel="2" x14ac:dyDescent="0.3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7">
        <v>27.27</v>
      </c>
      <c r="E30" s="2"/>
      <c r="F30" s="6">
        <f t="shared" si="12"/>
        <v>5.6419211082744036E-3</v>
      </c>
      <c r="G30" s="2"/>
      <c r="H30" s="7">
        <v>31.0062714230769</v>
      </c>
      <c r="I30" s="2"/>
      <c r="J30" s="6">
        <f t="shared" si="13"/>
        <v>8.7524054149711787E-4</v>
      </c>
      <c r="K30" s="2"/>
      <c r="L30" s="7">
        <f t="shared" si="14"/>
        <v>-3.7362714230769001</v>
      </c>
      <c r="M30" s="2"/>
      <c r="N30" s="6">
        <f t="shared" si="15"/>
        <v>-0.12050050688442732</v>
      </c>
      <c r="O30" s="11"/>
      <c r="P30" s="7">
        <v>97.25</v>
      </c>
      <c r="Q30" s="2"/>
      <c r="R30" s="6">
        <f t="shared" si="16"/>
        <v>1.1970562632445507E-3</v>
      </c>
      <c r="S30" s="2"/>
      <c r="T30" s="7">
        <v>213.832271423077</v>
      </c>
      <c r="U30" s="2"/>
      <c r="V30" s="6">
        <f t="shared" si="17"/>
        <v>1.1313936656970514E-3</v>
      </c>
      <c r="W30" s="2"/>
      <c r="X30" s="7">
        <f t="shared" si="18"/>
        <v>-116.582271423077</v>
      </c>
      <c r="Y30" s="2"/>
      <c r="Z30" s="6">
        <f t="shared" si="19"/>
        <v>-0.54520428860999004</v>
      </c>
    </row>
    <row r="31" spans="1:26" s="24" customFormat="1" hidden="1" outlineLevel="2" x14ac:dyDescent="0.3">
      <c r="A31" s="27"/>
      <c r="B31" s="11" t="str">
        <f>CONCATENATE("          ", "6115", " - ", "P.E.R.S.")</f>
        <v xml:space="preserve">          6115 - P.E.R.S.</v>
      </c>
      <c r="C31" s="11"/>
      <c r="D31" s="7">
        <v>548.17999999999995</v>
      </c>
      <c r="E31" s="2"/>
      <c r="F31" s="6">
        <f t="shared" si="12"/>
        <v>0.11341357950619224</v>
      </c>
      <c r="G31" s="2"/>
      <c r="H31" s="7">
        <v>497.41076923076901</v>
      </c>
      <c r="I31" s="2"/>
      <c r="J31" s="6">
        <f t="shared" si="13"/>
        <v>1.4040839192422768E-2</v>
      </c>
      <c r="K31" s="2"/>
      <c r="L31" s="7">
        <f t="shared" si="14"/>
        <v>50.769230769230944</v>
      </c>
      <c r="M31" s="2"/>
      <c r="N31" s="6">
        <f t="shared" si="15"/>
        <v>0.10206701163254678</v>
      </c>
      <c r="O31" s="11"/>
      <c r="P31" s="7">
        <v>548.17999999999995</v>
      </c>
      <c r="Q31" s="2"/>
      <c r="R31" s="6">
        <f t="shared" si="16"/>
        <v>6.7475815155310821E-3</v>
      </c>
      <c r="S31" s="2"/>
      <c r="T31" s="7">
        <v>3083.9467692307699</v>
      </c>
      <c r="U31" s="2"/>
      <c r="V31" s="6">
        <f t="shared" si="17"/>
        <v>1.6317265007914167E-2</v>
      </c>
      <c r="W31" s="2"/>
      <c r="X31" s="7">
        <f t="shared" si="18"/>
        <v>-2535.76676923077</v>
      </c>
      <c r="Y31" s="2"/>
      <c r="Z31" s="6">
        <f t="shared" si="19"/>
        <v>-0.82224725618829908</v>
      </c>
    </row>
    <row r="32" spans="1:26" s="24" customFormat="1" hidden="1" outlineLevel="2" x14ac:dyDescent="0.3">
      <c r="A32" s="27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3">
      <c r="A33" s="27"/>
      <c r="B33" s="11" t="str">
        <f>CONCATENATE("          ", "6117", " - ", "RETIREMENT STAFF HOURLY")</f>
        <v xml:space="preserve">          6117 - RETIREMENT STAFF HOURLY</v>
      </c>
      <c r="C33" s="11"/>
      <c r="D33" s="7">
        <v>211.66</v>
      </c>
      <c r="E33" s="2"/>
      <c r="F33" s="6">
        <f t="shared" si="12"/>
        <v>4.3790576522822158E-2</v>
      </c>
      <c r="G33" s="2"/>
      <c r="H33" s="7"/>
      <c r="I33" s="2"/>
      <c r="J33" s="6">
        <f t="shared" si="13"/>
        <v>0</v>
      </c>
      <c r="K33" s="2"/>
      <c r="L33" s="7">
        <f t="shared" si="14"/>
        <v>211.66</v>
      </c>
      <c r="M33" s="2"/>
      <c r="N33" s="6">
        <f t="shared" si="15"/>
        <v>0</v>
      </c>
      <c r="O33" s="11"/>
      <c r="P33" s="7">
        <v>211.66</v>
      </c>
      <c r="Q33" s="2"/>
      <c r="R33" s="6">
        <f t="shared" si="16"/>
        <v>2.6053360275407876E-3</v>
      </c>
      <c r="S33" s="2"/>
      <c r="T33" s="7"/>
      <c r="U33" s="2"/>
      <c r="V33" s="6">
        <f t="shared" si="17"/>
        <v>0</v>
      </c>
      <c r="W33" s="2"/>
      <c r="X33" s="7">
        <f t="shared" si="18"/>
        <v>211.66</v>
      </c>
      <c r="Y33" s="2"/>
      <c r="Z33" s="6">
        <f t="shared" si="19"/>
        <v>0</v>
      </c>
    </row>
    <row r="34" spans="1:26" s="24" customFormat="1" hidden="1" outlineLevel="2" x14ac:dyDescent="0.3">
      <c r="A34" s="27"/>
      <c r="B34" s="11" t="str">
        <f>CONCATENATE("          ", "6118", " - ", "VACATION")</f>
        <v xml:space="preserve">          6118 - VACATION</v>
      </c>
      <c r="C34" s="11"/>
      <c r="D34" s="7">
        <v>531.67999999999995</v>
      </c>
      <c r="E34" s="2"/>
      <c r="F34" s="6">
        <f t="shared" si="12"/>
        <v>0.10999987586532214</v>
      </c>
      <c r="G34" s="2"/>
      <c r="H34" s="7">
        <v>289.19230769230802</v>
      </c>
      <c r="I34" s="2"/>
      <c r="J34" s="6">
        <f t="shared" si="13"/>
        <v>8.1632786002458092E-3</v>
      </c>
      <c r="K34" s="2"/>
      <c r="L34" s="7">
        <f t="shared" si="14"/>
        <v>242.48769230769193</v>
      </c>
      <c r="M34" s="2"/>
      <c r="N34" s="6">
        <f t="shared" si="15"/>
        <v>0.83849980050538409</v>
      </c>
      <c r="O34" s="11"/>
      <c r="P34" s="7">
        <v>776.54</v>
      </c>
      <c r="Q34" s="2"/>
      <c r="R34" s="6">
        <f t="shared" si="16"/>
        <v>9.5584788756804453E-3</v>
      </c>
      <c r="S34" s="2"/>
      <c r="T34" s="7">
        <v>1792.9923076923101</v>
      </c>
      <c r="U34" s="2"/>
      <c r="V34" s="6">
        <f t="shared" si="17"/>
        <v>9.4867819813454577E-3</v>
      </c>
      <c r="W34" s="2"/>
      <c r="X34" s="7">
        <f t="shared" si="18"/>
        <v>-1016.4523076923101</v>
      </c>
      <c r="Y34" s="2"/>
      <c r="Z34" s="6">
        <f t="shared" si="19"/>
        <v>-0.56690277104453723</v>
      </c>
    </row>
    <row r="35" spans="1:26" s="24" customFormat="1" hidden="1" outlineLevel="2" x14ac:dyDescent="0.3">
      <c r="A35" s="27"/>
      <c r="B35" s="11" t="str">
        <f>CONCATENATE("          ", "6119", " - ", "SICK LEAVE")</f>
        <v xml:space="preserve">          6119 - SICK LEAVE</v>
      </c>
      <c r="C35" s="11"/>
      <c r="D35" s="7">
        <v>427.98</v>
      </c>
      <c r="E35" s="2"/>
      <c r="F35" s="6">
        <f t="shared" si="12"/>
        <v>8.8545265710277946E-2</v>
      </c>
      <c r="G35" s="2"/>
      <c r="H35" s="7">
        <v>558.62365769230803</v>
      </c>
      <c r="I35" s="2"/>
      <c r="J35" s="6">
        <f t="shared" si="13"/>
        <v>1.5768747747200024E-2</v>
      </c>
      <c r="K35" s="2"/>
      <c r="L35" s="7">
        <f t="shared" si="14"/>
        <v>-130.64365769230801</v>
      </c>
      <c r="M35" s="2"/>
      <c r="N35" s="6">
        <f t="shared" si="15"/>
        <v>-0.23386703354455321</v>
      </c>
      <c r="O35" s="11"/>
      <c r="P35" s="7">
        <v>721.35</v>
      </c>
      <c r="Q35" s="2"/>
      <c r="R35" s="6">
        <f t="shared" si="16"/>
        <v>8.8791417531255187E-3</v>
      </c>
      <c r="S35" s="2"/>
      <c r="T35" s="7">
        <v>3771.9436576923099</v>
      </c>
      <c r="U35" s="2"/>
      <c r="V35" s="6">
        <f t="shared" si="17"/>
        <v>1.9957479445353202E-2</v>
      </c>
      <c r="W35" s="2"/>
      <c r="X35" s="7">
        <f t="shared" si="18"/>
        <v>-3050.59365769231</v>
      </c>
      <c r="Y35" s="2"/>
      <c r="Z35" s="6">
        <f t="shared" si="19"/>
        <v>-0.80875907344773945</v>
      </c>
    </row>
    <row r="36" spans="1:26" s="24" customFormat="1" hidden="1" outlineLevel="2" x14ac:dyDescent="0.3">
      <c r="A36" s="27"/>
      <c r="B36" s="11" t="str">
        <f>CONCATENATE("          ", "6156", " - ", "EMPLOYEE MEALS")</f>
        <v xml:space="preserve">          6156 - EMPLOYEE MEALS</v>
      </c>
      <c r="C36" s="11"/>
      <c r="D36" s="7">
        <v>413.12</v>
      </c>
      <c r="E36" s="2"/>
      <c r="F36" s="6">
        <f t="shared" si="12"/>
        <v>8.5470863522197349E-2</v>
      </c>
      <c r="G36" s="2"/>
      <c r="H36" s="7"/>
      <c r="I36" s="2"/>
      <c r="J36" s="6">
        <f t="shared" si="13"/>
        <v>0</v>
      </c>
      <c r="K36" s="2"/>
      <c r="L36" s="7">
        <f t="shared" si="14"/>
        <v>413.12</v>
      </c>
      <c r="M36" s="2"/>
      <c r="N36" s="6">
        <f t="shared" si="15"/>
        <v>0</v>
      </c>
      <c r="O36" s="11"/>
      <c r="P36" s="7">
        <v>758.37</v>
      </c>
      <c r="Q36" s="2"/>
      <c r="R36" s="6">
        <f t="shared" si="16"/>
        <v>9.3348232221775827E-3</v>
      </c>
      <c r="S36" s="2"/>
      <c r="T36" s="7"/>
      <c r="U36" s="2"/>
      <c r="V36" s="6">
        <f t="shared" si="17"/>
        <v>0</v>
      </c>
      <c r="W36" s="2"/>
      <c r="X36" s="7">
        <f t="shared" si="18"/>
        <v>758.37</v>
      </c>
      <c r="Y36" s="2"/>
      <c r="Z36" s="6">
        <f t="shared" si="19"/>
        <v>0</v>
      </c>
    </row>
    <row r="37" spans="1:26" s="28" customFormat="1" outlineLevel="1" collapsed="1" x14ac:dyDescent="0.3">
      <c r="A37" s="29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13305.04</v>
      </c>
      <c r="E37" s="1"/>
      <c r="F37" s="5">
        <f t="shared" ref="F37:F47" si="20">IF(D$12=0,0,D37/D$12)</f>
        <v>2.7526947569649902</v>
      </c>
      <c r="G37" s="1"/>
      <c r="H37" s="1">
        <f>SUM(OSRRefH22_1x_0)</f>
        <v>13917.07518846154</v>
      </c>
      <c r="I37" s="1"/>
      <c r="J37" s="5">
        <f t="shared" ref="J37:J47" si="21">IF(H$12=0,0,H37/H$12)</f>
        <v>0.39284918388927736</v>
      </c>
      <c r="K37" s="1"/>
      <c r="L37" s="1">
        <f t="shared" ref="L37:L47" si="22">+D37-H37</f>
        <v>-612.03518846153929</v>
      </c>
      <c r="M37" s="1"/>
      <c r="N37" s="5">
        <f t="shared" ref="N37:N47" si="23">IF(H37=0,0,L37/H37)</f>
        <v>-4.3977285469361367E-2</v>
      </c>
      <c r="O37" s="14"/>
      <c r="P37" s="1">
        <f>SUM(OSRRefP22_1x_0)</f>
        <v>38874.839999999997</v>
      </c>
      <c r="Q37" s="1"/>
      <c r="R37" s="5">
        <f t="shared" ref="R37:R47" si="24">IF(P$12=0,0,P37/P$12)</f>
        <v>0.47851280930210577</v>
      </c>
      <c r="S37" s="1"/>
      <c r="T37" s="1">
        <f>SUM(OSRRefT22_1x_0)</f>
        <v>96259.955188461492</v>
      </c>
      <c r="U37" s="1"/>
      <c r="V37" s="5">
        <f t="shared" ref="V37:V47" si="25">IF(T$12=0,0,T37/T$12)</f>
        <v>0.50931462700046826</v>
      </c>
      <c r="W37" s="1"/>
      <c r="X37" s="1">
        <f t="shared" ref="X37:X47" si="26">+P37-T37</f>
        <v>-57385.115188461496</v>
      </c>
      <c r="Y37" s="1"/>
      <c r="Z37" s="5">
        <f t="shared" ref="Z37:Z47" si="27">IF(T37=0,0,X37/T37)</f>
        <v>-0.59614732913713375</v>
      </c>
    </row>
    <row r="38" spans="1:26" s="24" customFormat="1" hidden="1" outlineLevel="2" x14ac:dyDescent="0.3">
      <c r="A38" s="27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3">
      <c r="A39" s="27"/>
      <c r="B39" s="11" t="str">
        <f>CONCATENATE("          ", "6002", " - ", "STAFF SALARIES")</f>
        <v xml:space="preserve">          6002 - STAFF SALARIES</v>
      </c>
      <c r="C39" s="11"/>
      <c r="D39" s="7">
        <v>6046.54</v>
      </c>
      <c r="E39" s="2"/>
      <c r="F39" s="6">
        <f t="shared" si="20"/>
        <v>1.2509754916767699</v>
      </c>
      <c r="G39" s="2"/>
      <c r="H39" s="7">
        <v>5205.4615384615399</v>
      </c>
      <c r="I39" s="2"/>
      <c r="J39" s="6">
        <f t="shared" si="21"/>
        <v>0.14693901480442442</v>
      </c>
      <c r="K39" s="2"/>
      <c r="L39" s="7">
        <f t="shared" si="22"/>
        <v>841.07846153846003</v>
      </c>
      <c r="M39" s="2"/>
      <c r="N39" s="6">
        <f t="shared" si="23"/>
        <v>0.16157615522158647</v>
      </c>
      <c r="O39" s="11"/>
      <c r="P39" s="7">
        <v>6046.54</v>
      </c>
      <c r="Q39" s="2"/>
      <c r="R39" s="6">
        <f t="shared" si="24"/>
        <v>7.4427234734793887E-2</v>
      </c>
      <c r="S39" s="2"/>
      <c r="T39" s="7">
        <v>32273.8615384615</v>
      </c>
      <c r="U39" s="2"/>
      <c r="V39" s="6">
        <f t="shared" si="25"/>
        <v>0.17076207566421781</v>
      </c>
      <c r="W39" s="2"/>
      <c r="X39" s="7">
        <f t="shared" si="26"/>
        <v>-26227.3215384615</v>
      </c>
      <c r="Y39" s="2"/>
      <c r="Z39" s="6">
        <f t="shared" si="27"/>
        <v>-0.81264900722232447</v>
      </c>
    </row>
    <row r="40" spans="1:26" s="24" customFormat="1" hidden="1" outlineLevel="2" x14ac:dyDescent="0.3">
      <c r="A40" s="27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3">
      <c r="A41" s="27"/>
      <c r="B41" s="11" t="str">
        <f>CONCATENATE("          ", "6004", " - ", "STAFF HOURLY")</f>
        <v xml:space="preserve">          6004 - STAFF HOURLY</v>
      </c>
      <c r="C41" s="11"/>
      <c r="D41" s="7">
        <v>4021.12</v>
      </c>
      <c r="E41" s="2"/>
      <c r="F41" s="6">
        <f t="shared" si="20"/>
        <v>0.83193405965912615</v>
      </c>
      <c r="G41" s="2"/>
      <c r="H41" s="7">
        <v>2405.3332500000001</v>
      </c>
      <c r="I41" s="2"/>
      <c r="J41" s="6">
        <f t="shared" si="21"/>
        <v>6.7897398803138942E-2</v>
      </c>
      <c r="K41" s="2"/>
      <c r="L41" s="7">
        <f t="shared" si="22"/>
        <v>1615.7867499999998</v>
      </c>
      <c r="M41" s="2"/>
      <c r="N41" s="6">
        <f t="shared" si="23"/>
        <v>0.6717517208894026</v>
      </c>
      <c r="O41" s="11"/>
      <c r="P41" s="7">
        <v>7559.93</v>
      </c>
      <c r="Q41" s="2"/>
      <c r="R41" s="6">
        <f t="shared" si="24"/>
        <v>9.3055645822009009E-2</v>
      </c>
      <c r="S41" s="2"/>
      <c r="T41" s="7">
        <v>18657.683249999998</v>
      </c>
      <c r="U41" s="2"/>
      <c r="V41" s="6">
        <f t="shared" si="25"/>
        <v>9.8718423113349801E-2</v>
      </c>
      <c r="W41" s="2"/>
      <c r="X41" s="7">
        <f t="shared" si="26"/>
        <v>-11097.753249999998</v>
      </c>
      <c r="Y41" s="2"/>
      <c r="Z41" s="6">
        <f t="shared" si="27"/>
        <v>-0.59480874990200072</v>
      </c>
    </row>
    <row r="42" spans="1:26" s="24" customFormat="1" hidden="1" outlineLevel="2" x14ac:dyDescent="0.3">
      <c r="A42" s="27"/>
      <c r="B42" s="11" t="str">
        <f>CONCATENATE("          ", "6005", " - ", "TEMPORARY WAGES-HOURLY")</f>
        <v xml:space="preserve">          6005 - TEMPORARY WAGES-HOURLY</v>
      </c>
      <c r="C42" s="11"/>
      <c r="D42" s="7">
        <v>890.08</v>
      </c>
      <c r="E42" s="2"/>
      <c r="F42" s="6">
        <f t="shared" si="20"/>
        <v>0.18414965676761574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890.08</v>
      </c>
      <c r="M42" s="2"/>
      <c r="N42" s="6">
        <f t="shared" si="23"/>
        <v>0</v>
      </c>
      <c r="O42" s="11"/>
      <c r="P42" s="7">
        <v>14095.03</v>
      </c>
      <c r="Q42" s="2"/>
      <c r="R42" s="6">
        <f t="shared" si="24"/>
        <v>0.17349659580585952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14095.03</v>
      </c>
      <c r="Y42" s="2"/>
      <c r="Z42" s="6">
        <f t="shared" si="27"/>
        <v>0</v>
      </c>
    </row>
    <row r="43" spans="1:26" s="24" customFormat="1" hidden="1" outlineLevel="2" x14ac:dyDescent="0.3">
      <c r="A43" s="27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3">
      <c r="A44" s="27"/>
      <c r="B44" s="11" t="str">
        <f>CONCATENATE("          ", "6007", " - ", "STUDENT HOURLY")</f>
        <v xml:space="preserve">          6007 - STUDENT HOURLY</v>
      </c>
      <c r="C44" s="11"/>
      <c r="D44" s="7">
        <v>2347.3000000000002</v>
      </c>
      <c r="E44" s="2"/>
      <c r="F44" s="6">
        <f t="shared" si="20"/>
        <v>0.48563554886147814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2347.3000000000002</v>
      </c>
      <c r="M44" s="2"/>
      <c r="N44" s="6">
        <f t="shared" si="23"/>
        <v>0</v>
      </c>
      <c r="O44" s="11"/>
      <c r="P44" s="7">
        <v>11173.34</v>
      </c>
      <c r="Q44" s="2"/>
      <c r="R44" s="6">
        <f t="shared" si="24"/>
        <v>0.13753333293944336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11173.34</v>
      </c>
      <c r="Y44" s="2"/>
      <c r="Z44" s="6">
        <f t="shared" si="27"/>
        <v>0</v>
      </c>
    </row>
    <row r="45" spans="1:26" s="24" customFormat="1" hidden="1" outlineLevel="2" x14ac:dyDescent="0.3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7"/>
      <c r="E45" s="2"/>
      <c r="F45" s="6">
        <f t="shared" si="20"/>
        <v>0</v>
      </c>
      <c r="G45" s="2"/>
      <c r="H45" s="7">
        <v>6306.2803999999996</v>
      </c>
      <c r="I45" s="2"/>
      <c r="J45" s="6">
        <f t="shared" si="21"/>
        <v>0.17801277028171397</v>
      </c>
      <c r="K45" s="2"/>
      <c r="L45" s="7">
        <f t="shared" si="22"/>
        <v>-6306.2803999999996</v>
      </c>
      <c r="M45" s="2"/>
      <c r="N45" s="6">
        <f t="shared" si="23"/>
        <v>-1</v>
      </c>
      <c r="O45" s="11"/>
      <c r="P45" s="7"/>
      <c r="Q45" s="2"/>
      <c r="R45" s="6">
        <f t="shared" si="24"/>
        <v>0</v>
      </c>
      <c r="S45" s="2"/>
      <c r="T45" s="7">
        <v>45328.410400000001</v>
      </c>
      <c r="U45" s="2"/>
      <c r="V45" s="6">
        <f t="shared" si="25"/>
        <v>0.23983412822290065</v>
      </c>
      <c r="W45" s="2"/>
      <c r="X45" s="7">
        <f t="shared" si="26"/>
        <v>-45328.410400000001</v>
      </c>
      <c r="Y45" s="2"/>
      <c r="Z45" s="6">
        <f t="shared" si="27"/>
        <v>-1</v>
      </c>
    </row>
    <row r="46" spans="1:26" s="24" customFormat="1" hidden="1" outlineLevel="2" x14ac:dyDescent="0.3">
      <c r="A46" s="27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3">
      <c r="A47" s="27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8" customFormat="1" outlineLevel="1" collapsed="1" x14ac:dyDescent="0.3">
      <c r="A48" s="29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0</v>
      </c>
      <c r="E48" s="1"/>
      <c r="F48" s="5">
        <f t="shared" ref="F48:F56" si="28">IF(D$12=0,0,D48/D$12)</f>
        <v>0</v>
      </c>
      <c r="G48" s="1"/>
      <c r="H48" s="1">
        <f>SUM(OSRRefH22_2x_0)</f>
        <v>0</v>
      </c>
      <c r="I48" s="1"/>
      <c r="J48" s="5">
        <f t="shared" ref="J48:J56" si="29">IF(H$12=0,0,H48/H$12)</f>
        <v>0</v>
      </c>
      <c r="K48" s="1"/>
      <c r="L48" s="1">
        <f t="shared" ref="L48:L56" si="30">+D48-H48</f>
        <v>0</v>
      </c>
      <c r="M48" s="1"/>
      <c r="N48" s="5">
        <f t="shared" ref="N48:N56" si="31">IF(H48=0,0,L48/H48)</f>
        <v>0</v>
      </c>
      <c r="O48" s="14"/>
      <c r="P48" s="1">
        <f>SUM(OSRRefP22_2x_0)</f>
        <v>91.22</v>
      </c>
      <c r="Q48" s="1"/>
      <c r="R48" s="5">
        <f t="shared" ref="R48:R56" si="32">IF(P$12=0,0,P48/P$12)</f>
        <v>1.122832620392472E-3</v>
      </c>
      <c r="S48" s="1"/>
      <c r="T48" s="1">
        <f>SUM(OSRRefT22_2x_0)</f>
        <v>0</v>
      </c>
      <c r="U48" s="1"/>
      <c r="V48" s="5">
        <f t="shared" ref="V48:V56" si="33">IF(T$12=0,0,T48/T$12)</f>
        <v>0</v>
      </c>
      <c r="W48" s="1"/>
      <c r="X48" s="1">
        <f t="shared" ref="X48:X56" si="34">+P48-T48</f>
        <v>91.22</v>
      </c>
      <c r="Y48" s="1"/>
      <c r="Z48" s="5">
        <f t="shared" ref="Z48:Z56" si="35">IF(T48=0,0,X48/T48)</f>
        <v>0</v>
      </c>
    </row>
    <row r="49" spans="1:26" s="24" customFormat="1" hidden="1" outlineLevel="2" x14ac:dyDescent="0.3">
      <c r="A49" s="27"/>
      <c r="B49" s="11" t="str">
        <f>CONCATENATE("          ", "6362", " - ", "ADVERTISING EXPENSE")</f>
        <v xml:space="preserve">          6362 - ADVERTISING EXPENSE</v>
      </c>
      <c r="C49" s="11"/>
      <c r="D49" s="7"/>
      <c r="E49" s="2"/>
      <c r="F49" s="6">
        <f t="shared" si="28"/>
        <v>0</v>
      </c>
      <c r="G49" s="2"/>
      <c r="H49" s="7">
        <v>0</v>
      </c>
      <c r="I49" s="2"/>
      <c r="J49" s="6">
        <f t="shared" si="29"/>
        <v>0</v>
      </c>
      <c r="K49" s="2"/>
      <c r="L49" s="7">
        <f t="shared" si="30"/>
        <v>0</v>
      </c>
      <c r="M49" s="2"/>
      <c r="N49" s="6">
        <f t="shared" si="31"/>
        <v>0</v>
      </c>
      <c r="O49" s="11"/>
      <c r="P49" s="7">
        <v>91.22</v>
      </c>
      <c r="Q49" s="2"/>
      <c r="R49" s="6">
        <f t="shared" si="32"/>
        <v>1.122832620392472E-3</v>
      </c>
      <c r="S49" s="2"/>
      <c r="T49" s="7">
        <v>0</v>
      </c>
      <c r="U49" s="2"/>
      <c r="V49" s="6">
        <f t="shared" si="33"/>
        <v>0</v>
      </c>
      <c r="W49" s="2"/>
      <c r="X49" s="7">
        <f t="shared" si="34"/>
        <v>91.22</v>
      </c>
      <c r="Y49" s="2"/>
      <c r="Z49" s="6">
        <f t="shared" si="35"/>
        <v>0</v>
      </c>
    </row>
    <row r="50" spans="1:26" s="28" customFormat="1" outlineLevel="1" collapsed="1" x14ac:dyDescent="0.3">
      <c r="A50" s="29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-19.52</v>
      </c>
      <c r="E50" s="1"/>
      <c r="F50" s="5">
        <f t="shared" si="28"/>
        <v>-4.0385148527142048E-3</v>
      </c>
      <c r="G50" s="1"/>
      <c r="H50" s="1">
        <f>SUM(OSRRefH22_3x_0)</f>
        <v>0</v>
      </c>
      <c r="I50" s="1"/>
      <c r="J50" s="5">
        <f t="shared" si="29"/>
        <v>0</v>
      </c>
      <c r="K50" s="1"/>
      <c r="L50" s="1">
        <f t="shared" si="30"/>
        <v>-19.52</v>
      </c>
      <c r="M50" s="1"/>
      <c r="N50" s="5">
        <f t="shared" si="31"/>
        <v>0</v>
      </c>
      <c r="O50" s="14"/>
      <c r="P50" s="1">
        <f>SUM(OSRRefP22_3x_0)</f>
        <v>9.32</v>
      </c>
      <c r="Q50" s="1"/>
      <c r="R50" s="5">
        <f t="shared" si="32"/>
        <v>1.1472045628215129E-4</v>
      </c>
      <c r="S50" s="1"/>
      <c r="T50" s="1">
        <f>SUM(OSRRefT22_3x_0)</f>
        <v>0</v>
      </c>
      <c r="U50" s="1"/>
      <c r="V50" s="5">
        <f t="shared" si="33"/>
        <v>0</v>
      </c>
      <c r="W50" s="1"/>
      <c r="X50" s="1">
        <f t="shared" si="34"/>
        <v>9.32</v>
      </c>
      <c r="Y50" s="1"/>
      <c r="Z50" s="5">
        <f t="shared" si="35"/>
        <v>0</v>
      </c>
    </row>
    <row r="51" spans="1:26" s="24" customFormat="1" hidden="1" outlineLevel="2" x14ac:dyDescent="0.3">
      <c r="A51" s="27"/>
      <c r="B51" s="11" t="str">
        <f>CONCATENATE("          ", "6272", " - ", "CASH (OVER/SHORT)")</f>
        <v xml:space="preserve">          6272 - CASH (OVER/SHORT)</v>
      </c>
      <c r="C51" s="11"/>
      <c r="D51" s="7">
        <v>-19.52</v>
      </c>
      <c r="E51" s="2"/>
      <c r="F51" s="6">
        <f t="shared" si="28"/>
        <v>-4.0385148527142048E-3</v>
      </c>
      <c r="G51" s="2"/>
      <c r="H51" s="7">
        <v>0</v>
      </c>
      <c r="I51" s="2"/>
      <c r="J51" s="6">
        <f t="shared" si="29"/>
        <v>0</v>
      </c>
      <c r="K51" s="2"/>
      <c r="L51" s="7">
        <f t="shared" si="30"/>
        <v>-19.52</v>
      </c>
      <c r="M51" s="2"/>
      <c r="N51" s="6">
        <f t="shared" si="31"/>
        <v>0</v>
      </c>
      <c r="O51" s="11"/>
      <c r="P51" s="7">
        <v>9.32</v>
      </c>
      <c r="Q51" s="2"/>
      <c r="R51" s="6">
        <f t="shared" si="32"/>
        <v>1.1472045628215129E-4</v>
      </c>
      <c r="S51" s="2"/>
      <c r="T51" s="7">
        <v>0</v>
      </c>
      <c r="U51" s="2"/>
      <c r="V51" s="6">
        <f t="shared" si="33"/>
        <v>0</v>
      </c>
      <c r="W51" s="2"/>
      <c r="X51" s="7">
        <f t="shared" si="34"/>
        <v>9.32</v>
      </c>
      <c r="Y51" s="2"/>
      <c r="Z51" s="6">
        <f t="shared" si="35"/>
        <v>0</v>
      </c>
    </row>
    <row r="52" spans="1:26" s="28" customFormat="1" outlineLevel="1" collapsed="1" x14ac:dyDescent="0.3">
      <c r="A52" s="29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169.29</v>
      </c>
      <c r="E52" s="1"/>
      <c r="F52" s="5">
        <f t="shared" si="28"/>
        <v>3.5024599355327236E-2</v>
      </c>
      <c r="G52" s="1"/>
      <c r="H52" s="1">
        <f>SUM(OSRRefH22_4x_0)</f>
        <v>1529.5</v>
      </c>
      <c r="I52" s="1"/>
      <c r="J52" s="5">
        <f t="shared" si="29"/>
        <v>4.3174504601140404E-2</v>
      </c>
      <c r="K52" s="1"/>
      <c r="L52" s="1">
        <f t="shared" si="30"/>
        <v>-1360.21</v>
      </c>
      <c r="M52" s="1"/>
      <c r="N52" s="5">
        <f t="shared" si="31"/>
        <v>-0.88931677018633548</v>
      </c>
      <c r="O52" s="14"/>
      <c r="P52" s="1">
        <f>SUM(OSRRefP22_4x_0)</f>
        <v>4139.28</v>
      </c>
      <c r="Q52" s="1"/>
      <c r="R52" s="5">
        <f t="shared" si="32"/>
        <v>5.0950653463474584E-2</v>
      </c>
      <c r="S52" s="1"/>
      <c r="T52" s="1">
        <f>SUM(OSRRefT22_4x_0)</f>
        <v>8414.25</v>
      </c>
      <c r="U52" s="1"/>
      <c r="V52" s="5">
        <f t="shared" si="33"/>
        <v>4.4520076825803313E-2</v>
      </c>
      <c r="W52" s="1"/>
      <c r="X52" s="1">
        <f t="shared" si="34"/>
        <v>-4274.97</v>
      </c>
      <c r="Y52" s="1"/>
      <c r="Z52" s="5">
        <f t="shared" si="35"/>
        <v>-0.50806310722880832</v>
      </c>
    </row>
    <row r="53" spans="1:26" s="24" customFormat="1" hidden="1" outlineLevel="2" x14ac:dyDescent="0.3">
      <c r="A53" s="27"/>
      <c r="B53" s="11" t="str">
        <f>CONCATENATE("          ", "6381", " - ", "BANK/CREDIT CARD FEES")</f>
        <v xml:space="preserve">          6381 - BANK/CREDIT CARD FEES</v>
      </c>
      <c r="C53" s="11"/>
      <c r="D53" s="7">
        <v>169.29</v>
      </c>
      <c r="E53" s="2"/>
      <c r="F53" s="6">
        <f t="shared" si="28"/>
        <v>3.5024599355327236E-2</v>
      </c>
      <c r="G53" s="2"/>
      <c r="H53" s="7">
        <v>1529.5</v>
      </c>
      <c r="I53" s="2"/>
      <c r="J53" s="6">
        <f t="shared" si="29"/>
        <v>4.3174504601140404E-2</v>
      </c>
      <c r="K53" s="2"/>
      <c r="L53" s="7">
        <f t="shared" si="30"/>
        <v>-1360.21</v>
      </c>
      <c r="M53" s="2"/>
      <c r="N53" s="6">
        <f t="shared" si="31"/>
        <v>-0.88931677018633548</v>
      </c>
      <c r="O53" s="11"/>
      <c r="P53" s="7">
        <v>4139.28</v>
      </c>
      <c r="Q53" s="2"/>
      <c r="R53" s="6">
        <f t="shared" si="32"/>
        <v>5.0950653463474584E-2</v>
      </c>
      <c r="S53" s="2"/>
      <c r="T53" s="7">
        <v>8414.25</v>
      </c>
      <c r="U53" s="2"/>
      <c r="V53" s="6">
        <f t="shared" si="33"/>
        <v>4.4520076825803313E-2</v>
      </c>
      <c r="W53" s="2"/>
      <c r="X53" s="7">
        <f t="shared" si="34"/>
        <v>-4274.97</v>
      </c>
      <c r="Y53" s="2"/>
      <c r="Z53" s="6">
        <f t="shared" si="35"/>
        <v>-0.50806310722880832</v>
      </c>
    </row>
    <row r="54" spans="1:26" s="28" customFormat="1" outlineLevel="1" collapsed="1" x14ac:dyDescent="0.3">
      <c r="A54" s="29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6324.75</v>
      </c>
      <c r="E54" s="1"/>
      <c r="F54" s="5">
        <f t="shared" si="28"/>
        <v>1.3085346728844347</v>
      </c>
      <c r="G54" s="1"/>
      <c r="H54" s="1">
        <f>SUM(OSRRefH22_5x_0)</f>
        <v>6324</v>
      </c>
      <c r="I54" s="1"/>
      <c r="J54" s="5">
        <f t="shared" si="29"/>
        <v>0.17851295658555863</v>
      </c>
      <c r="K54" s="1"/>
      <c r="L54" s="1">
        <f t="shared" si="30"/>
        <v>0.75</v>
      </c>
      <c r="M54" s="1"/>
      <c r="N54" s="5">
        <f t="shared" si="31"/>
        <v>1.1859582542694497E-4</v>
      </c>
      <c r="O54" s="14"/>
      <c r="P54" s="1">
        <f>SUM(OSRRefP22_5x_0)</f>
        <v>46705.61</v>
      </c>
      <c r="Q54" s="1"/>
      <c r="R54" s="5">
        <f t="shared" si="32"/>
        <v>0.57490224143092361</v>
      </c>
      <c r="S54" s="1"/>
      <c r="T54" s="1">
        <f>SUM(OSRRefT22_5x_0)</f>
        <v>46698</v>
      </c>
      <c r="U54" s="1"/>
      <c r="V54" s="5">
        <f t="shared" si="33"/>
        <v>0.24708067238450998</v>
      </c>
      <c r="W54" s="1"/>
      <c r="X54" s="1">
        <f t="shared" si="34"/>
        <v>7.6100000000005821</v>
      </c>
      <c r="Y54" s="1"/>
      <c r="Z54" s="5">
        <f t="shared" si="35"/>
        <v>1.6296201122104978E-4</v>
      </c>
    </row>
    <row r="55" spans="1:26" s="24" customFormat="1" hidden="1" outlineLevel="2" x14ac:dyDescent="0.3">
      <c r="A55" s="27"/>
      <c r="B55" s="11" t="str">
        <f>CONCATENATE("          ", "6321", " - ", "BUILDING DEPRECIATION")</f>
        <v xml:space="preserve">          6321 - BUILDING DEPRECIATION</v>
      </c>
      <c r="C55" s="11"/>
      <c r="D55" s="7">
        <v>5080.51</v>
      </c>
      <c r="E55" s="2"/>
      <c r="F55" s="6">
        <f t="shared" si="28"/>
        <v>1.0511124536046641</v>
      </c>
      <c r="G55" s="2"/>
      <c r="H55" s="7"/>
      <c r="I55" s="2"/>
      <c r="J55" s="6">
        <f t="shared" si="29"/>
        <v>0</v>
      </c>
      <c r="K55" s="2"/>
      <c r="L55" s="7">
        <f t="shared" si="30"/>
        <v>5080.51</v>
      </c>
      <c r="M55" s="2"/>
      <c r="N55" s="6">
        <f t="shared" si="31"/>
        <v>0</v>
      </c>
      <c r="O55" s="11"/>
      <c r="P55" s="7">
        <v>35563.57</v>
      </c>
      <c r="Q55" s="2"/>
      <c r="R55" s="6">
        <f t="shared" si="32"/>
        <v>0.43775418212684836</v>
      </c>
      <c r="S55" s="2"/>
      <c r="T55" s="7"/>
      <c r="U55" s="2"/>
      <c r="V55" s="6">
        <f t="shared" si="33"/>
        <v>0</v>
      </c>
      <c r="W55" s="2"/>
      <c r="X55" s="7">
        <f t="shared" si="34"/>
        <v>35563.57</v>
      </c>
      <c r="Y55" s="2"/>
      <c r="Z55" s="6">
        <f t="shared" si="35"/>
        <v>0</v>
      </c>
    </row>
    <row r="56" spans="1:26" s="24" customFormat="1" hidden="1" outlineLevel="2" x14ac:dyDescent="0.3">
      <c r="A56" s="27"/>
      <c r="B56" s="11" t="str">
        <f>CONCATENATE("          ", "6322", " - ", "EQUIPMENT DEPRECIATION EXPENSE")</f>
        <v xml:space="preserve">          6322 - EQUIPMENT DEPRECIATION EXPENSE</v>
      </c>
      <c r="C56" s="11"/>
      <c r="D56" s="7">
        <v>1244.24</v>
      </c>
      <c r="E56" s="2"/>
      <c r="F56" s="6">
        <f t="shared" si="28"/>
        <v>0.2574222192797706</v>
      </c>
      <c r="G56" s="2"/>
      <c r="H56" s="7">
        <v>6324</v>
      </c>
      <c r="I56" s="2"/>
      <c r="J56" s="6">
        <f t="shared" si="29"/>
        <v>0.17851295658555863</v>
      </c>
      <c r="K56" s="2"/>
      <c r="L56" s="7">
        <f t="shared" si="30"/>
        <v>-5079.76</v>
      </c>
      <c r="M56" s="2"/>
      <c r="N56" s="6">
        <f t="shared" si="31"/>
        <v>-0.80325110689437074</v>
      </c>
      <c r="O56" s="11"/>
      <c r="P56" s="7">
        <v>11142.04</v>
      </c>
      <c r="Q56" s="2"/>
      <c r="R56" s="6">
        <f t="shared" si="32"/>
        <v>0.1371480593040752</v>
      </c>
      <c r="S56" s="2"/>
      <c r="T56" s="7">
        <v>46698</v>
      </c>
      <c r="U56" s="2"/>
      <c r="V56" s="6">
        <f t="shared" si="33"/>
        <v>0.24708067238450998</v>
      </c>
      <c r="W56" s="2"/>
      <c r="X56" s="7">
        <f t="shared" si="34"/>
        <v>-35555.96</v>
      </c>
      <c r="Y56" s="2"/>
      <c r="Z56" s="6">
        <f t="shared" si="35"/>
        <v>-0.761402201379074</v>
      </c>
    </row>
    <row r="57" spans="1:26" s="28" customFormat="1" outlineLevel="1" collapsed="1" x14ac:dyDescent="0.3">
      <c r="A57" s="29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SUM(OSRRefD22_6x_0)</f>
        <v>0</v>
      </c>
      <c r="E57" s="1"/>
      <c r="F57" s="5">
        <f t="shared" ref="F57:F70" si="36">IF(D$12=0,0,D57/D$12)</f>
        <v>0</v>
      </c>
      <c r="G57" s="1"/>
      <c r="H57" s="1">
        <f>SUM(OSRRefH22_6x_0)</f>
        <v>0</v>
      </c>
      <c r="I57" s="1"/>
      <c r="J57" s="5">
        <f t="shared" ref="J57:J70" si="37">IF(H$12=0,0,H57/H$12)</f>
        <v>0</v>
      </c>
      <c r="K57" s="1"/>
      <c r="L57" s="1">
        <f t="shared" ref="L57:L70" si="38">+D57-H57</f>
        <v>0</v>
      </c>
      <c r="M57" s="1"/>
      <c r="N57" s="5">
        <f t="shared" ref="N57:N70" si="39">IF(H57=0,0,L57/H57)</f>
        <v>0</v>
      </c>
      <c r="O57" s="14"/>
      <c r="P57" s="1">
        <f>SUM(OSRRefP22_6x_0)</f>
        <v>0</v>
      </c>
      <c r="Q57" s="1"/>
      <c r="R57" s="5">
        <f t="shared" ref="R57:R70" si="40">IF(P$12=0,0,P57/P$12)</f>
        <v>0</v>
      </c>
      <c r="S57" s="1"/>
      <c r="T57" s="1">
        <f>SUM(OSRRefT22_6x_0)</f>
        <v>50</v>
      </c>
      <c r="U57" s="1"/>
      <c r="V57" s="5">
        <f t="shared" ref="V57:V70" si="41">IF(T$12=0,0,T57/T$12)</f>
        <v>2.6455166429452008E-4</v>
      </c>
      <c r="W57" s="1"/>
      <c r="X57" s="1">
        <f t="shared" ref="X57:X70" si="42">+P57-T57</f>
        <v>-50</v>
      </c>
      <c r="Y57" s="1"/>
      <c r="Z57" s="5">
        <f t="shared" ref="Z57:Z70" si="43">IF(T57=0,0,X57/T57)</f>
        <v>-1</v>
      </c>
    </row>
    <row r="58" spans="1:26" s="24" customFormat="1" hidden="1" outlineLevel="2" x14ac:dyDescent="0.3">
      <c r="A58" s="27"/>
      <c r="B58" s="11" t="str">
        <f>CONCATENATE("          ", "6277", " - ", "EMPLOYEE APPRECIATION")</f>
        <v xml:space="preserve">          6277 - EMPLOYEE APPRECIATION</v>
      </c>
      <c r="C58" s="11"/>
      <c r="D58" s="7"/>
      <c r="E58" s="2"/>
      <c r="F58" s="6">
        <f t="shared" si="36"/>
        <v>0</v>
      </c>
      <c r="G58" s="2"/>
      <c r="H58" s="7"/>
      <c r="I58" s="2"/>
      <c r="J58" s="6">
        <f t="shared" si="37"/>
        <v>0</v>
      </c>
      <c r="K58" s="2"/>
      <c r="L58" s="7">
        <f t="shared" si="38"/>
        <v>0</v>
      </c>
      <c r="M58" s="2"/>
      <c r="N58" s="6">
        <f t="shared" si="39"/>
        <v>0</v>
      </c>
      <c r="O58" s="11"/>
      <c r="P58" s="7"/>
      <c r="Q58" s="2"/>
      <c r="R58" s="6">
        <f t="shared" si="40"/>
        <v>0</v>
      </c>
      <c r="S58" s="2"/>
      <c r="T58" s="7">
        <v>50</v>
      </c>
      <c r="U58" s="2"/>
      <c r="V58" s="6">
        <f t="shared" si="41"/>
        <v>2.6455166429452008E-4</v>
      </c>
      <c r="W58" s="2"/>
      <c r="X58" s="7">
        <f t="shared" si="42"/>
        <v>-50</v>
      </c>
      <c r="Y58" s="2"/>
      <c r="Z58" s="6">
        <f t="shared" si="43"/>
        <v>-1</v>
      </c>
    </row>
    <row r="59" spans="1:26" s="28" customFormat="1" outlineLevel="1" collapsed="1" x14ac:dyDescent="0.3">
      <c r="A59" s="29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SUM(OSRRefD22_7x_0)</f>
        <v>0</v>
      </c>
      <c r="E59" s="1"/>
      <c r="F59" s="5">
        <f t="shared" si="36"/>
        <v>0</v>
      </c>
      <c r="G59" s="1"/>
      <c r="H59" s="1">
        <f>SUM(OSRRefH22_7x_0)</f>
        <v>176</v>
      </c>
      <c r="I59" s="1"/>
      <c r="J59" s="5">
        <f t="shared" si="37"/>
        <v>4.9681025235702595E-3</v>
      </c>
      <c r="K59" s="1"/>
      <c r="L59" s="1">
        <f t="shared" si="38"/>
        <v>-176</v>
      </c>
      <c r="M59" s="1"/>
      <c r="N59" s="5">
        <f t="shared" si="39"/>
        <v>-1</v>
      </c>
      <c r="O59" s="14"/>
      <c r="P59" s="1">
        <f>SUM(OSRRefP22_7x_0)</f>
        <v>30</v>
      </c>
      <c r="Q59" s="1"/>
      <c r="R59" s="5">
        <f t="shared" si="40"/>
        <v>3.6927185498546552E-4</v>
      </c>
      <c r="S59" s="1"/>
      <c r="T59" s="1">
        <f>SUM(OSRRefT22_7x_0)</f>
        <v>1232</v>
      </c>
      <c r="U59" s="1"/>
      <c r="V59" s="5">
        <f t="shared" si="41"/>
        <v>6.5185530082169747E-3</v>
      </c>
      <c r="W59" s="1"/>
      <c r="X59" s="1">
        <f t="shared" si="42"/>
        <v>-1202</v>
      </c>
      <c r="Y59" s="1"/>
      <c r="Z59" s="5">
        <f t="shared" si="43"/>
        <v>-0.97564935064935066</v>
      </c>
    </row>
    <row r="60" spans="1:26" s="24" customFormat="1" hidden="1" outlineLevel="2" x14ac:dyDescent="0.3">
      <c r="A60" s="27"/>
      <c r="B60" s="11" t="str">
        <f>CONCATENATE("          ", "6351", " - ", "EQUIPMENT RENTAL")</f>
        <v xml:space="preserve">          6351 - EQUIPMENT RENTAL</v>
      </c>
      <c r="C60" s="11"/>
      <c r="D60" s="7"/>
      <c r="E60" s="2"/>
      <c r="F60" s="6">
        <f t="shared" si="36"/>
        <v>0</v>
      </c>
      <c r="G60" s="2"/>
      <c r="H60" s="7">
        <v>176</v>
      </c>
      <c r="I60" s="2"/>
      <c r="J60" s="6">
        <f t="shared" si="37"/>
        <v>4.9681025235702595E-3</v>
      </c>
      <c r="K60" s="2"/>
      <c r="L60" s="7">
        <f t="shared" si="38"/>
        <v>-176</v>
      </c>
      <c r="M60" s="2"/>
      <c r="N60" s="6">
        <f t="shared" si="39"/>
        <v>-1</v>
      </c>
      <c r="O60" s="11"/>
      <c r="P60" s="7">
        <v>30</v>
      </c>
      <c r="Q60" s="2"/>
      <c r="R60" s="6">
        <f t="shared" si="40"/>
        <v>3.6927185498546552E-4</v>
      </c>
      <c r="S60" s="2"/>
      <c r="T60" s="7">
        <v>1232</v>
      </c>
      <c r="U60" s="2"/>
      <c r="V60" s="6">
        <f t="shared" si="41"/>
        <v>6.5185530082169747E-3</v>
      </c>
      <c r="W60" s="2"/>
      <c r="X60" s="7">
        <f t="shared" si="42"/>
        <v>-1202</v>
      </c>
      <c r="Y60" s="2"/>
      <c r="Z60" s="6">
        <f t="shared" si="43"/>
        <v>-0.97564935064935066</v>
      </c>
    </row>
    <row r="61" spans="1:26" s="28" customFormat="1" outlineLevel="1" collapsed="1" x14ac:dyDescent="0.3">
      <c r="A61" s="29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SUM(OSRRefD22_8x_0)</f>
        <v>758.88</v>
      </c>
      <c r="E61" s="1"/>
      <c r="F61" s="5">
        <f t="shared" si="36"/>
        <v>0.1570055405444547</v>
      </c>
      <c r="G61" s="1"/>
      <c r="H61" s="1">
        <f>SUM(OSRRefH22_8x_0)</f>
        <v>0</v>
      </c>
      <c r="I61" s="1"/>
      <c r="J61" s="5">
        <f t="shared" si="37"/>
        <v>0</v>
      </c>
      <c r="K61" s="1"/>
      <c r="L61" s="1">
        <f t="shared" si="38"/>
        <v>758.88</v>
      </c>
      <c r="M61" s="1"/>
      <c r="N61" s="5">
        <f t="shared" si="39"/>
        <v>0</v>
      </c>
      <c r="O61" s="14"/>
      <c r="P61" s="1">
        <f>SUM(OSRRefP22_8x_0)</f>
        <v>3350.26</v>
      </c>
      <c r="Q61" s="1"/>
      <c r="R61" s="5">
        <f t="shared" si="40"/>
        <v>4.1238557496120189E-2</v>
      </c>
      <c r="S61" s="1"/>
      <c r="T61" s="1">
        <f>SUM(OSRRefT22_8x_0)</f>
        <v>1210</v>
      </c>
      <c r="U61" s="1"/>
      <c r="V61" s="5">
        <f t="shared" si="41"/>
        <v>6.4021502759273857E-3</v>
      </c>
      <c r="W61" s="1"/>
      <c r="X61" s="1">
        <f t="shared" si="42"/>
        <v>2140.2600000000002</v>
      </c>
      <c r="Y61" s="1"/>
      <c r="Z61" s="5">
        <f t="shared" si="43"/>
        <v>1.7688099173553722</v>
      </c>
    </row>
    <row r="62" spans="1:26" s="24" customFormat="1" hidden="1" outlineLevel="2" x14ac:dyDescent="0.3">
      <c r="A62" s="27"/>
      <c r="B62" s="11" t="str">
        <f>CONCATENATE("          ", "6279", " - ", "GENERAL EXPENSE")</f>
        <v xml:space="preserve">          6279 - GENERAL EXPENSE</v>
      </c>
      <c r="C62" s="11"/>
      <c r="D62" s="7">
        <v>758.88</v>
      </c>
      <c r="E62" s="2"/>
      <c r="F62" s="6">
        <f t="shared" si="36"/>
        <v>0.1570055405444547</v>
      </c>
      <c r="G62" s="2"/>
      <c r="H62" s="7"/>
      <c r="I62" s="2"/>
      <c r="J62" s="6">
        <f t="shared" si="37"/>
        <v>0</v>
      </c>
      <c r="K62" s="2"/>
      <c r="L62" s="7">
        <f t="shared" si="38"/>
        <v>758.88</v>
      </c>
      <c r="M62" s="2"/>
      <c r="N62" s="6">
        <f t="shared" si="39"/>
        <v>0</v>
      </c>
      <c r="O62" s="11"/>
      <c r="P62" s="7">
        <v>3350.26</v>
      </c>
      <c r="Q62" s="2"/>
      <c r="R62" s="6">
        <f t="shared" si="40"/>
        <v>4.1238557496120189E-2</v>
      </c>
      <c r="S62" s="2"/>
      <c r="T62" s="7">
        <v>1210</v>
      </c>
      <c r="U62" s="2"/>
      <c r="V62" s="6">
        <f t="shared" si="41"/>
        <v>6.4021502759273857E-3</v>
      </c>
      <c r="W62" s="2"/>
      <c r="X62" s="7">
        <f t="shared" si="42"/>
        <v>2140.2600000000002</v>
      </c>
      <c r="Y62" s="2"/>
      <c r="Z62" s="6">
        <f t="shared" si="43"/>
        <v>1.7688099173553722</v>
      </c>
    </row>
    <row r="63" spans="1:26" s="28" customFormat="1" outlineLevel="1" collapsed="1" x14ac:dyDescent="0.3">
      <c r="A63" s="29"/>
      <c r="B63" s="14" t="str">
        <f>CONCATENATE("     ","Insurance                                         ")</f>
        <v xml:space="preserve">     Insurance                                         </v>
      </c>
      <c r="C63" s="14"/>
      <c r="D63" s="1">
        <f>SUM(OSRRefD22_9x_0)</f>
        <v>331.01</v>
      </c>
      <c r="E63" s="1"/>
      <c r="F63" s="5">
        <f t="shared" si="36"/>
        <v>6.8483032858449228E-2</v>
      </c>
      <c r="G63" s="1"/>
      <c r="H63" s="1">
        <f>SUM(OSRRefH22_9x_0)</f>
        <v>330</v>
      </c>
      <c r="I63" s="1"/>
      <c r="J63" s="5">
        <f t="shared" si="37"/>
        <v>9.3151922316942366E-3</v>
      </c>
      <c r="K63" s="1"/>
      <c r="L63" s="1">
        <f t="shared" si="38"/>
        <v>1.0099999999999909</v>
      </c>
      <c r="M63" s="1"/>
      <c r="N63" s="5">
        <f t="shared" si="39"/>
        <v>3.0606060606060332E-3</v>
      </c>
      <c r="O63" s="14"/>
      <c r="P63" s="1">
        <f>SUM(OSRRefP22_9x_0)</f>
        <v>2317.0700000000002</v>
      </c>
      <c r="Q63" s="1"/>
      <c r="R63" s="5">
        <f t="shared" si="40"/>
        <v>2.8520957901039087E-2</v>
      </c>
      <c r="S63" s="1"/>
      <c r="T63" s="1">
        <f>SUM(OSRRefT22_9x_0)</f>
        <v>2310</v>
      </c>
      <c r="U63" s="1"/>
      <c r="V63" s="5">
        <f t="shared" si="41"/>
        <v>1.2222286890406827E-2</v>
      </c>
      <c r="W63" s="1"/>
      <c r="X63" s="1">
        <f t="shared" si="42"/>
        <v>7.0700000000001637</v>
      </c>
      <c r="Y63" s="1"/>
      <c r="Z63" s="5">
        <f t="shared" si="43"/>
        <v>3.0606060606061317E-3</v>
      </c>
    </row>
    <row r="64" spans="1:26" s="24" customFormat="1" hidden="1" outlineLevel="2" x14ac:dyDescent="0.3">
      <c r="A64" s="27"/>
      <c r="B64" s="11" t="str">
        <f>CONCATENATE("          ", "6314", " - ", "LIABILITY INSURANCE")</f>
        <v xml:space="preserve">          6314 - LIABILITY INSURANCE</v>
      </c>
      <c r="C64" s="11"/>
      <c r="D64" s="7">
        <v>331.01</v>
      </c>
      <c r="E64" s="2"/>
      <c r="F64" s="6">
        <f t="shared" si="36"/>
        <v>6.8483032858449228E-2</v>
      </c>
      <c r="G64" s="2"/>
      <c r="H64" s="7">
        <v>330</v>
      </c>
      <c r="I64" s="2"/>
      <c r="J64" s="6">
        <f t="shared" si="37"/>
        <v>9.3151922316942366E-3</v>
      </c>
      <c r="K64" s="2"/>
      <c r="L64" s="7">
        <f t="shared" si="38"/>
        <v>1.0099999999999909</v>
      </c>
      <c r="M64" s="2"/>
      <c r="N64" s="6">
        <f t="shared" si="39"/>
        <v>3.0606060606060332E-3</v>
      </c>
      <c r="O64" s="11"/>
      <c r="P64" s="7">
        <v>2317.0700000000002</v>
      </c>
      <c r="Q64" s="2"/>
      <c r="R64" s="6">
        <f t="shared" si="40"/>
        <v>2.8520957901039087E-2</v>
      </c>
      <c r="S64" s="2"/>
      <c r="T64" s="7">
        <v>2310</v>
      </c>
      <c r="U64" s="2"/>
      <c r="V64" s="6">
        <f t="shared" si="41"/>
        <v>1.2222286890406827E-2</v>
      </c>
      <c r="W64" s="2"/>
      <c r="X64" s="7">
        <f t="shared" si="42"/>
        <v>7.0700000000001637</v>
      </c>
      <c r="Y64" s="2"/>
      <c r="Z64" s="6">
        <f t="shared" si="43"/>
        <v>3.0606060606061317E-3</v>
      </c>
    </row>
    <row r="65" spans="1:26" s="28" customFormat="1" outlineLevel="1" collapsed="1" x14ac:dyDescent="0.3">
      <c r="A65" s="29"/>
      <c r="B65" s="14" t="str">
        <f>CONCATENATE("     ","Interest                                          ")</f>
        <v xml:space="preserve">     Interest                                          </v>
      </c>
      <c r="C65" s="14"/>
      <c r="D65" s="1">
        <f>SUM(OSRRefD22_10x_0)</f>
        <v>3905</v>
      </c>
      <c r="E65" s="1"/>
      <c r="F65" s="5">
        <f t="shared" si="36"/>
        <v>0.8079098616725906</v>
      </c>
      <c r="G65" s="1"/>
      <c r="H65" s="1">
        <f>SUM(OSRRefH22_10x_0)</f>
        <v>3905</v>
      </c>
      <c r="I65" s="1"/>
      <c r="J65" s="5">
        <f t="shared" si="37"/>
        <v>0.11022977474171512</v>
      </c>
      <c r="K65" s="1"/>
      <c r="L65" s="1">
        <f t="shared" si="38"/>
        <v>0</v>
      </c>
      <c r="M65" s="1"/>
      <c r="N65" s="5">
        <f t="shared" si="39"/>
        <v>0</v>
      </c>
      <c r="O65" s="14"/>
      <c r="P65" s="1">
        <f>SUM(OSRRefP22_10x_0)</f>
        <v>27059</v>
      </c>
      <c r="Q65" s="1"/>
      <c r="R65" s="5">
        <f t="shared" si="40"/>
        <v>0.33307090413505702</v>
      </c>
      <c r="S65" s="1"/>
      <c r="T65" s="1">
        <f>SUM(OSRRefT22_10x_0)</f>
        <v>27335</v>
      </c>
      <c r="U65" s="1"/>
      <c r="V65" s="5">
        <f t="shared" si="41"/>
        <v>0.14463039486981413</v>
      </c>
      <c r="W65" s="1"/>
      <c r="X65" s="1">
        <f t="shared" si="42"/>
        <v>-276</v>
      </c>
      <c r="Y65" s="1"/>
      <c r="Z65" s="5">
        <f t="shared" si="43"/>
        <v>-1.0096945308212913E-2</v>
      </c>
    </row>
    <row r="66" spans="1:26" s="24" customFormat="1" hidden="1" outlineLevel="2" x14ac:dyDescent="0.3">
      <c r="A66" s="27"/>
      <c r="B66" s="11" t="str">
        <f>CONCATENATE("          ", "6401", " - ", "INTEREST EXPENSE")</f>
        <v xml:space="preserve">          6401 - INTEREST EXPENSE</v>
      </c>
      <c r="C66" s="11"/>
      <c r="D66" s="7">
        <v>3905</v>
      </c>
      <c r="E66" s="2"/>
      <c r="F66" s="6">
        <f t="shared" si="36"/>
        <v>0.8079098616725906</v>
      </c>
      <c r="G66" s="2"/>
      <c r="H66" s="7">
        <v>3905</v>
      </c>
      <c r="I66" s="2"/>
      <c r="J66" s="6">
        <f t="shared" si="37"/>
        <v>0.11022977474171512</v>
      </c>
      <c r="K66" s="2"/>
      <c r="L66" s="7">
        <f t="shared" si="38"/>
        <v>0</v>
      </c>
      <c r="M66" s="2"/>
      <c r="N66" s="6">
        <f t="shared" si="39"/>
        <v>0</v>
      </c>
      <c r="O66" s="11"/>
      <c r="P66" s="7">
        <v>27059</v>
      </c>
      <c r="Q66" s="2"/>
      <c r="R66" s="6">
        <f t="shared" si="40"/>
        <v>0.33307090413505702</v>
      </c>
      <c r="S66" s="2"/>
      <c r="T66" s="7">
        <v>27335</v>
      </c>
      <c r="U66" s="2"/>
      <c r="V66" s="6">
        <f t="shared" si="41"/>
        <v>0.14463039486981413</v>
      </c>
      <c r="W66" s="2"/>
      <c r="X66" s="7">
        <f t="shared" si="42"/>
        <v>-276</v>
      </c>
      <c r="Y66" s="2"/>
      <c r="Z66" s="6">
        <f t="shared" si="43"/>
        <v>-1.0096945308212913E-2</v>
      </c>
    </row>
    <row r="67" spans="1:26" s="28" customFormat="1" outlineLevel="1" collapsed="1" x14ac:dyDescent="0.3">
      <c r="A67" s="29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SUM(OSRRefD22_11x_0)</f>
        <v>324.95</v>
      </c>
      <c r="E67" s="1"/>
      <c r="F67" s="5">
        <f t="shared" si="36"/>
        <v>6.7229272612166019E-2</v>
      </c>
      <c r="G67" s="1"/>
      <c r="H67" s="1">
        <f>SUM(OSRRefH22_11x_0)</f>
        <v>365</v>
      </c>
      <c r="I67" s="1"/>
      <c r="J67" s="5">
        <f t="shared" si="37"/>
        <v>1.0303167165358776E-2</v>
      </c>
      <c r="K67" s="1"/>
      <c r="L67" s="1">
        <f t="shared" si="38"/>
        <v>-40.050000000000011</v>
      </c>
      <c r="M67" s="1"/>
      <c r="N67" s="5">
        <f t="shared" si="39"/>
        <v>-0.10972602739726031</v>
      </c>
      <c r="O67" s="14"/>
      <c r="P67" s="1">
        <f>SUM(OSRRefP22_11x_0)</f>
        <v>3303.2</v>
      </c>
      <c r="Q67" s="1"/>
      <c r="R67" s="5">
        <f t="shared" si="40"/>
        <v>4.0659293046266316E-2</v>
      </c>
      <c r="S67" s="1"/>
      <c r="T67" s="1">
        <f>SUM(OSRRefT22_11x_0)</f>
        <v>6744</v>
      </c>
      <c r="U67" s="1"/>
      <c r="V67" s="5">
        <f t="shared" si="41"/>
        <v>3.5682728480044869E-2</v>
      </c>
      <c r="W67" s="1"/>
      <c r="X67" s="1">
        <f t="shared" si="42"/>
        <v>-3440.8</v>
      </c>
      <c r="Y67" s="1"/>
      <c r="Z67" s="5">
        <f t="shared" si="43"/>
        <v>-0.51020166073546858</v>
      </c>
    </row>
    <row r="68" spans="1:26" s="24" customFormat="1" hidden="1" outlineLevel="2" x14ac:dyDescent="0.3">
      <c r="A68" s="27"/>
      <c r="B68" s="11" t="str">
        <f>CONCATENATE("          ", "6371", " - ", "COMPUTER SOFTWARE MAINTENANCE")</f>
        <v xml:space="preserve">          6371 - COMPUTER SOFTWARE MAINTENANCE</v>
      </c>
      <c r="C68" s="11"/>
      <c r="D68" s="7"/>
      <c r="E68" s="2"/>
      <c r="F68" s="6">
        <f t="shared" si="36"/>
        <v>0</v>
      </c>
      <c r="G68" s="2"/>
      <c r="H68" s="7"/>
      <c r="I68" s="2"/>
      <c r="J68" s="6">
        <f t="shared" si="37"/>
        <v>0</v>
      </c>
      <c r="K68" s="2"/>
      <c r="L68" s="7">
        <f t="shared" si="38"/>
        <v>0</v>
      </c>
      <c r="M68" s="2"/>
      <c r="N68" s="6">
        <f t="shared" si="39"/>
        <v>0</v>
      </c>
      <c r="O68" s="11"/>
      <c r="P68" s="7"/>
      <c r="Q68" s="2"/>
      <c r="R68" s="6">
        <f t="shared" si="40"/>
        <v>0</v>
      </c>
      <c r="S68" s="2"/>
      <c r="T68" s="7">
        <v>2623</v>
      </c>
      <c r="U68" s="2"/>
      <c r="V68" s="6">
        <f t="shared" si="41"/>
        <v>1.3878380308890523E-2</v>
      </c>
      <c r="W68" s="2"/>
      <c r="X68" s="7">
        <f t="shared" si="42"/>
        <v>-2623</v>
      </c>
      <c r="Y68" s="2"/>
      <c r="Z68" s="6">
        <f t="shared" si="43"/>
        <v>-1</v>
      </c>
    </row>
    <row r="69" spans="1:26" s="24" customFormat="1" hidden="1" outlineLevel="2" x14ac:dyDescent="0.3">
      <c r="A69" s="27"/>
      <c r="B69" s="11" t="str">
        <f>CONCATENATE("          ", "6373", " - ", "MAINTENANCE CONTRACTS")</f>
        <v xml:space="preserve">          6373 - MAINTENANCE CONTRACTS</v>
      </c>
      <c r="C69" s="11"/>
      <c r="D69" s="7"/>
      <c r="E69" s="2"/>
      <c r="F69" s="6">
        <f t="shared" si="36"/>
        <v>0</v>
      </c>
      <c r="G69" s="2"/>
      <c r="H69" s="7">
        <v>150</v>
      </c>
      <c r="I69" s="2"/>
      <c r="J69" s="6">
        <f t="shared" si="37"/>
        <v>4.2341782871337438E-3</v>
      </c>
      <c r="K69" s="2"/>
      <c r="L69" s="7">
        <f t="shared" si="38"/>
        <v>-150</v>
      </c>
      <c r="M69" s="2"/>
      <c r="N69" s="6">
        <f t="shared" si="39"/>
        <v>-1</v>
      </c>
      <c r="O69" s="11"/>
      <c r="P69" s="7">
        <v>817</v>
      </c>
      <c r="Q69" s="2"/>
      <c r="R69" s="6">
        <f t="shared" si="40"/>
        <v>1.0056503517437511E-2</v>
      </c>
      <c r="S69" s="2"/>
      <c r="T69" s="7">
        <v>986</v>
      </c>
      <c r="U69" s="2"/>
      <c r="V69" s="6">
        <f t="shared" si="41"/>
        <v>5.216958819887936E-3</v>
      </c>
      <c r="W69" s="2"/>
      <c r="X69" s="7">
        <f t="shared" si="42"/>
        <v>-169</v>
      </c>
      <c r="Y69" s="2"/>
      <c r="Z69" s="6">
        <f t="shared" si="43"/>
        <v>-0.17139959432048682</v>
      </c>
    </row>
    <row r="70" spans="1:26" s="24" customFormat="1" hidden="1" outlineLevel="2" x14ac:dyDescent="0.3">
      <c r="A70" s="27"/>
      <c r="B70" s="11" t="str">
        <f>CONCATENATE("          ", "6375", " - ", "OUTSIDE REPAIRS &amp; MAINTENANCE")</f>
        <v xml:space="preserve">          6375 - OUTSIDE REPAIRS &amp; MAINTENANCE</v>
      </c>
      <c r="C70" s="11"/>
      <c r="D70" s="7">
        <v>324.95</v>
      </c>
      <c r="E70" s="2"/>
      <c r="F70" s="6">
        <f t="shared" si="36"/>
        <v>6.7229272612166019E-2</v>
      </c>
      <c r="G70" s="2"/>
      <c r="H70" s="7">
        <v>215</v>
      </c>
      <c r="I70" s="2"/>
      <c r="J70" s="6">
        <f t="shared" si="37"/>
        <v>6.0689888782250326E-3</v>
      </c>
      <c r="K70" s="2"/>
      <c r="L70" s="7">
        <f t="shared" si="38"/>
        <v>109.94999999999999</v>
      </c>
      <c r="M70" s="2"/>
      <c r="N70" s="6">
        <f t="shared" si="39"/>
        <v>0.51139534883720927</v>
      </c>
      <c r="O70" s="11"/>
      <c r="P70" s="7">
        <v>2486.1999999999998</v>
      </c>
      <c r="Q70" s="2"/>
      <c r="R70" s="6">
        <f t="shared" si="40"/>
        <v>3.0602789528828809E-2</v>
      </c>
      <c r="S70" s="2"/>
      <c r="T70" s="7">
        <v>3135</v>
      </c>
      <c r="U70" s="2"/>
      <c r="V70" s="6">
        <f t="shared" si="41"/>
        <v>1.6587389351266409E-2</v>
      </c>
      <c r="W70" s="2"/>
      <c r="X70" s="7">
        <f t="shared" si="42"/>
        <v>-648.80000000000018</v>
      </c>
      <c r="Y70" s="2"/>
      <c r="Z70" s="6">
        <f t="shared" si="43"/>
        <v>-0.20695374800637964</v>
      </c>
    </row>
    <row r="71" spans="1:26" s="28" customFormat="1" outlineLevel="1" collapsed="1" x14ac:dyDescent="0.3">
      <c r="A71" s="29"/>
      <c r="B71" s="14" t="str">
        <f>CONCATENATE("     ","Royalty &amp; Commissions                             ")</f>
        <v xml:space="preserve">     Royalty &amp; Commissions                             </v>
      </c>
      <c r="C71" s="14"/>
      <c r="D71" s="1">
        <f>SUM(OSRRefD22_12x_0)</f>
        <v>0</v>
      </c>
      <c r="E71" s="1"/>
      <c r="F71" s="5">
        <f t="shared" ref="F71:F76" si="44">IF(D$12=0,0,D71/D$12)</f>
        <v>0</v>
      </c>
      <c r="G71" s="1"/>
      <c r="H71" s="1">
        <f>SUM(OSRRefH22_12x_0)</f>
        <v>949</v>
      </c>
      <c r="I71" s="1"/>
      <c r="J71" s="5">
        <f t="shared" ref="J71:J76" si="45">IF(H$12=0,0,H71/H$12)</f>
        <v>2.6788234629932819E-2</v>
      </c>
      <c r="K71" s="1"/>
      <c r="L71" s="1">
        <f t="shared" ref="L71:L76" si="46">+D71-H71</f>
        <v>-949</v>
      </c>
      <c r="M71" s="1"/>
      <c r="N71" s="5">
        <f t="shared" ref="N71:N76" si="47">IF(H71=0,0,L71/H71)</f>
        <v>-1</v>
      </c>
      <c r="O71" s="14"/>
      <c r="P71" s="1">
        <f>SUM(OSRRefP22_12x_0)</f>
        <v>0</v>
      </c>
      <c r="Q71" s="1"/>
      <c r="R71" s="5">
        <f t="shared" ref="R71:R76" si="48">IF(P$12=0,0,P71/P$12)</f>
        <v>0</v>
      </c>
      <c r="S71" s="1"/>
      <c r="T71" s="1">
        <f>SUM(OSRRefT22_12x_0)</f>
        <v>5221</v>
      </c>
      <c r="U71" s="1"/>
      <c r="V71" s="5">
        <f t="shared" ref="V71:V76" si="49">IF(T$12=0,0,T71/T$12)</f>
        <v>2.7624484785633785E-2</v>
      </c>
      <c r="W71" s="1"/>
      <c r="X71" s="1">
        <f t="shared" ref="X71:X76" si="50">+P71-T71</f>
        <v>-5221</v>
      </c>
      <c r="Y71" s="1"/>
      <c r="Z71" s="5">
        <f t="shared" ref="Z71:Z76" si="51">IF(T71=0,0,X71/T71)</f>
        <v>-1</v>
      </c>
    </row>
    <row r="72" spans="1:26" s="24" customFormat="1" hidden="1" outlineLevel="2" x14ac:dyDescent="0.3">
      <c r="A72" s="27"/>
      <c r="B72" s="11" t="str">
        <f>CONCATENATE("          ", "6259", " - ", "ROYALTY &amp; COMMISSIONS")</f>
        <v xml:space="preserve">          6259 - ROYALTY &amp; COMMISSIONS</v>
      </c>
      <c r="C72" s="11"/>
      <c r="D72" s="7"/>
      <c r="E72" s="2"/>
      <c r="F72" s="6">
        <f t="shared" si="44"/>
        <v>0</v>
      </c>
      <c r="G72" s="2"/>
      <c r="H72" s="7">
        <v>949</v>
      </c>
      <c r="I72" s="2"/>
      <c r="J72" s="6">
        <f t="shared" si="45"/>
        <v>2.6788234629932819E-2</v>
      </c>
      <c r="K72" s="2"/>
      <c r="L72" s="7">
        <f t="shared" si="46"/>
        <v>-949</v>
      </c>
      <c r="M72" s="2"/>
      <c r="N72" s="6">
        <f t="shared" si="47"/>
        <v>-1</v>
      </c>
      <c r="O72" s="11"/>
      <c r="P72" s="7"/>
      <c r="Q72" s="2"/>
      <c r="R72" s="6">
        <f t="shared" si="48"/>
        <v>0</v>
      </c>
      <c r="S72" s="2"/>
      <c r="T72" s="7">
        <v>5221</v>
      </c>
      <c r="U72" s="2"/>
      <c r="V72" s="6">
        <f t="shared" si="49"/>
        <v>2.7624484785633785E-2</v>
      </c>
      <c r="W72" s="2"/>
      <c r="X72" s="7">
        <f t="shared" si="50"/>
        <v>-5221</v>
      </c>
      <c r="Y72" s="2"/>
      <c r="Z72" s="6">
        <f t="shared" si="51"/>
        <v>-1</v>
      </c>
    </row>
    <row r="73" spans="1:26" s="28" customFormat="1" outlineLevel="1" collapsed="1" x14ac:dyDescent="0.3">
      <c r="A73" s="29"/>
      <c r="B73" s="14" t="str">
        <f>CONCATENATE("     ","Services                                          ")</f>
        <v xml:space="preserve">     Services                                          </v>
      </c>
      <c r="C73" s="14"/>
      <c r="D73" s="1">
        <f>SUM(OSRRefD22_13x_0)</f>
        <v>266.01</v>
      </c>
      <c r="E73" s="1"/>
      <c r="F73" s="5">
        <f t="shared" si="44"/>
        <v>5.5035109424718523E-2</v>
      </c>
      <c r="G73" s="1"/>
      <c r="H73" s="1">
        <f>SUM(OSRRefH22_13x_0)</f>
        <v>292</v>
      </c>
      <c r="I73" s="1"/>
      <c r="J73" s="5">
        <f t="shared" si="45"/>
        <v>8.2425337322870208E-3</v>
      </c>
      <c r="K73" s="1"/>
      <c r="L73" s="1">
        <f t="shared" si="46"/>
        <v>-25.990000000000009</v>
      </c>
      <c r="M73" s="1"/>
      <c r="N73" s="5">
        <f t="shared" si="47"/>
        <v>-8.9006849315068526E-2</v>
      </c>
      <c r="O73" s="14"/>
      <c r="P73" s="1">
        <f>SUM(OSRRefP22_13x_0)</f>
        <v>10068.950000000001</v>
      </c>
      <c r="Q73" s="1"/>
      <c r="R73" s="5">
        <f t="shared" si="48"/>
        <v>0.12393932814186344</v>
      </c>
      <c r="S73" s="1"/>
      <c r="T73" s="1">
        <f>SUM(OSRRefT22_13x_0)</f>
        <v>1761</v>
      </c>
      <c r="U73" s="1"/>
      <c r="V73" s="5">
        <f t="shared" si="49"/>
        <v>9.3175096164529979E-3</v>
      </c>
      <c r="W73" s="1"/>
      <c r="X73" s="1">
        <f t="shared" si="50"/>
        <v>8307.9500000000007</v>
      </c>
      <c r="Y73" s="1"/>
      <c r="Z73" s="5">
        <f t="shared" si="51"/>
        <v>4.7177455990914261</v>
      </c>
    </row>
    <row r="74" spans="1:26" s="24" customFormat="1" hidden="1" outlineLevel="2" x14ac:dyDescent="0.3">
      <c r="A74" s="27"/>
      <c r="B74" s="11" t="str">
        <f>CONCATENATE("          ", "6282", " - ", "JANITORIAL/EXTERMINATOR EXPENS")</f>
        <v xml:space="preserve">          6282 - JANITORIAL/EXTERMINATOR EXPENS</v>
      </c>
      <c r="C74" s="11"/>
      <c r="D74" s="7">
        <v>151.85</v>
      </c>
      <c r="E74" s="2"/>
      <c r="F74" s="6">
        <f t="shared" si="44"/>
        <v>3.1416418052492415E-2</v>
      </c>
      <c r="G74" s="2"/>
      <c r="H74" s="7">
        <v>258</v>
      </c>
      <c r="I74" s="2"/>
      <c r="J74" s="6">
        <f t="shared" si="45"/>
        <v>7.2827866538700391E-3</v>
      </c>
      <c r="K74" s="2"/>
      <c r="L74" s="7">
        <f t="shared" si="46"/>
        <v>-106.15</v>
      </c>
      <c r="M74" s="2"/>
      <c r="N74" s="6">
        <f t="shared" si="47"/>
        <v>-0.4114341085271318</v>
      </c>
      <c r="O74" s="11"/>
      <c r="P74" s="7">
        <v>2073.35</v>
      </c>
      <c r="Q74" s="2"/>
      <c r="R74" s="6">
        <f t="shared" si="48"/>
        <v>2.5520993351137163E-2</v>
      </c>
      <c r="S74" s="2"/>
      <c r="T74" s="7">
        <v>1548</v>
      </c>
      <c r="U74" s="2"/>
      <c r="V74" s="6">
        <f t="shared" si="49"/>
        <v>8.1905195265583423E-3</v>
      </c>
      <c r="W74" s="2"/>
      <c r="X74" s="7">
        <f t="shared" si="50"/>
        <v>525.34999999999991</v>
      </c>
      <c r="Y74" s="2"/>
      <c r="Z74" s="6">
        <f t="shared" si="51"/>
        <v>0.33937338501291986</v>
      </c>
    </row>
    <row r="75" spans="1:26" s="24" customFormat="1" hidden="1" outlineLevel="2" x14ac:dyDescent="0.3">
      <c r="A75" s="27"/>
      <c r="B75" s="11" t="str">
        <f>CONCATENATE("          ", "6285", " - ", "JANITORIAL SERVICES")</f>
        <v xml:space="preserve">          6285 - JANITORIAL SERVICES</v>
      </c>
      <c r="C75" s="11"/>
      <c r="D75" s="7"/>
      <c r="E75" s="2"/>
      <c r="F75" s="6">
        <f t="shared" si="44"/>
        <v>0</v>
      </c>
      <c r="G75" s="2"/>
      <c r="H75" s="7"/>
      <c r="I75" s="2"/>
      <c r="J75" s="6">
        <f t="shared" si="45"/>
        <v>0</v>
      </c>
      <c r="K75" s="2"/>
      <c r="L75" s="7">
        <f t="shared" si="46"/>
        <v>0</v>
      </c>
      <c r="M75" s="2"/>
      <c r="N75" s="6">
        <f t="shared" si="47"/>
        <v>0</v>
      </c>
      <c r="O75" s="11"/>
      <c r="P75" s="7">
        <v>7455.64</v>
      </c>
      <c r="Q75" s="2"/>
      <c r="R75" s="6">
        <f t="shared" si="48"/>
        <v>9.1771933763461197E-2</v>
      </c>
      <c r="S75" s="2"/>
      <c r="T75" s="7"/>
      <c r="U75" s="2"/>
      <c r="V75" s="6">
        <f t="shared" si="49"/>
        <v>0</v>
      </c>
      <c r="W75" s="2"/>
      <c r="X75" s="7">
        <f t="shared" si="50"/>
        <v>7455.64</v>
      </c>
      <c r="Y75" s="2"/>
      <c r="Z75" s="6">
        <f t="shared" si="51"/>
        <v>0</v>
      </c>
    </row>
    <row r="76" spans="1:26" s="24" customFormat="1" hidden="1" outlineLevel="2" x14ac:dyDescent="0.3">
      <c r="A76" s="27"/>
      <c r="B76" s="11" t="str">
        <f>CONCATENATE("          ", "6286", " - ", "LAUNDRY EXPENSE")</f>
        <v xml:space="preserve">          6286 - LAUNDRY EXPENSE</v>
      </c>
      <c r="C76" s="11"/>
      <c r="D76" s="7">
        <v>114.16</v>
      </c>
      <c r="E76" s="2"/>
      <c r="F76" s="6">
        <f t="shared" si="44"/>
        <v>2.3618691372226105E-2</v>
      </c>
      <c r="G76" s="2"/>
      <c r="H76" s="7">
        <v>34</v>
      </c>
      <c r="I76" s="2"/>
      <c r="J76" s="6">
        <f t="shared" si="45"/>
        <v>9.5974707841698184E-4</v>
      </c>
      <c r="K76" s="2"/>
      <c r="L76" s="7">
        <f t="shared" si="46"/>
        <v>80.16</v>
      </c>
      <c r="M76" s="2"/>
      <c r="N76" s="6">
        <f t="shared" si="47"/>
        <v>2.3576470588235292</v>
      </c>
      <c r="O76" s="11"/>
      <c r="P76" s="7">
        <v>539.96</v>
      </c>
      <c r="Q76" s="2"/>
      <c r="R76" s="6">
        <f t="shared" si="48"/>
        <v>6.6464010272650658E-3</v>
      </c>
      <c r="S76" s="2"/>
      <c r="T76" s="7">
        <v>213</v>
      </c>
      <c r="U76" s="2"/>
      <c r="V76" s="6">
        <f t="shared" si="49"/>
        <v>1.1269900898946555E-3</v>
      </c>
      <c r="W76" s="2"/>
      <c r="X76" s="7">
        <f t="shared" si="50"/>
        <v>326.96000000000004</v>
      </c>
      <c r="Y76" s="2"/>
      <c r="Z76" s="6">
        <f t="shared" si="51"/>
        <v>1.5350234741784039</v>
      </c>
    </row>
    <row r="77" spans="1:26" s="28" customFormat="1" outlineLevel="1" collapsed="1" x14ac:dyDescent="0.3">
      <c r="A77" s="29"/>
      <c r="B77" s="14" t="str">
        <f>CONCATENATE("     ","Supplies                                          ")</f>
        <v xml:space="preserve">     Supplies                                          </v>
      </c>
      <c r="C77" s="14"/>
      <c r="D77" s="1">
        <f>SUM(OSRRefD22_14x_0)</f>
        <v>322.48</v>
      </c>
      <c r="E77" s="1"/>
      <c r="F77" s="5">
        <f t="shared" ref="F77:F82" si="52">IF(D$12=0,0,D77/D$12)</f>
        <v>6.6718251521684258E-2</v>
      </c>
      <c r="G77" s="1"/>
      <c r="H77" s="1">
        <f>SUM(OSRRefH22_14x_0)</f>
        <v>2150</v>
      </c>
      <c r="I77" s="1"/>
      <c r="J77" s="5">
        <f t="shared" ref="J77:J82" si="53">IF(H$12=0,0,H77/H$12)</f>
        <v>6.0689888782250324E-2</v>
      </c>
      <c r="K77" s="1"/>
      <c r="L77" s="1">
        <f t="shared" ref="L77:L82" si="54">+D77-H77</f>
        <v>-1827.52</v>
      </c>
      <c r="M77" s="1"/>
      <c r="N77" s="5">
        <f t="shared" ref="N77:N82" si="55">IF(H77=0,0,L77/H77)</f>
        <v>-0.85000930232558136</v>
      </c>
      <c r="O77" s="14"/>
      <c r="P77" s="1">
        <f>SUM(OSRRefP22_14x_0)</f>
        <v>3086.7700000000004</v>
      </c>
      <c r="Q77" s="1"/>
      <c r="R77" s="5">
        <f t="shared" ref="R77:R82" si="56">IF(P$12=0,0,P77/P$12)</f>
        <v>3.799524279378285E-2</v>
      </c>
      <c r="S77" s="1"/>
      <c r="T77" s="1">
        <f>SUM(OSRRefT22_14x_0)</f>
        <v>13000</v>
      </c>
      <c r="U77" s="1"/>
      <c r="V77" s="5">
        <f t="shared" ref="V77:V82" si="57">IF(T$12=0,0,T77/T$12)</f>
        <v>6.8783432716575221E-2</v>
      </c>
      <c r="W77" s="1"/>
      <c r="X77" s="1">
        <f t="shared" ref="X77:X82" si="58">+P77-T77</f>
        <v>-9913.23</v>
      </c>
      <c r="Y77" s="1"/>
      <c r="Z77" s="5">
        <f t="shared" ref="Z77:Z82" si="59">IF(T77=0,0,X77/T77)</f>
        <v>-0.76255615384615383</v>
      </c>
    </row>
    <row r="78" spans="1:26" s="24" customFormat="1" hidden="1" outlineLevel="2" x14ac:dyDescent="0.3">
      <c r="A78" s="27"/>
      <c r="B78" s="11" t="str">
        <f>CONCATENATE("          ", "6234", " - ", "EXPENDABLE SUPPLIES &amp; EQUIPMEN")</f>
        <v xml:space="preserve">          6234 - EXPENDABLE SUPPLIES &amp; EQUIPMEN</v>
      </c>
      <c r="C78" s="11"/>
      <c r="D78" s="7"/>
      <c r="E78" s="2"/>
      <c r="F78" s="6">
        <f t="shared" si="52"/>
        <v>0</v>
      </c>
      <c r="G78" s="2"/>
      <c r="H78" s="7">
        <v>200</v>
      </c>
      <c r="I78" s="2"/>
      <c r="J78" s="6">
        <f t="shared" si="53"/>
        <v>5.6455710495116581E-3</v>
      </c>
      <c r="K78" s="2"/>
      <c r="L78" s="7">
        <f t="shared" si="54"/>
        <v>-200</v>
      </c>
      <c r="M78" s="2"/>
      <c r="N78" s="6">
        <f t="shared" si="55"/>
        <v>-1</v>
      </c>
      <c r="O78" s="11"/>
      <c r="P78" s="7">
        <v>1194.8900000000001</v>
      </c>
      <c r="Q78" s="2"/>
      <c r="R78" s="6">
        <f t="shared" si="56"/>
        <v>1.4707974893452764E-2</v>
      </c>
      <c r="S78" s="2"/>
      <c r="T78" s="7">
        <v>600</v>
      </c>
      <c r="U78" s="2"/>
      <c r="V78" s="6">
        <f t="shared" si="57"/>
        <v>3.1746199715342411E-3</v>
      </c>
      <c r="W78" s="2"/>
      <c r="X78" s="7">
        <f t="shared" si="58"/>
        <v>594.8900000000001</v>
      </c>
      <c r="Y78" s="2"/>
      <c r="Z78" s="6">
        <f t="shared" si="59"/>
        <v>0.99148333333333349</v>
      </c>
    </row>
    <row r="79" spans="1:26" s="24" customFormat="1" hidden="1" outlineLevel="2" x14ac:dyDescent="0.3">
      <c r="A79" s="27"/>
      <c r="B79" s="11" t="str">
        <f>CONCATENATE("          ", "6237", " - ", "JANITORIAL SUPPLIES")</f>
        <v xml:space="preserve">          6237 - JANITORIAL SUPPLIES</v>
      </c>
      <c r="C79" s="11"/>
      <c r="D79" s="7">
        <v>51.51</v>
      </c>
      <c r="E79" s="2"/>
      <c r="F79" s="6">
        <f t="shared" si="52"/>
        <v>1.0656962093407206E-2</v>
      </c>
      <c r="G79" s="2"/>
      <c r="H79" s="7">
        <v>50</v>
      </c>
      <c r="I79" s="2"/>
      <c r="J79" s="6">
        <f t="shared" si="53"/>
        <v>1.4113927623779145E-3</v>
      </c>
      <c r="K79" s="2"/>
      <c r="L79" s="7">
        <f t="shared" si="54"/>
        <v>1.509999999999998</v>
      </c>
      <c r="M79" s="2"/>
      <c r="N79" s="6">
        <f t="shared" si="55"/>
        <v>3.019999999999996E-2</v>
      </c>
      <c r="O79" s="11"/>
      <c r="P79" s="7">
        <v>655.23</v>
      </c>
      <c r="Q79" s="2"/>
      <c r="R79" s="6">
        <f t="shared" si="56"/>
        <v>8.0652665847375515E-3</v>
      </c>
      <c r="S79" s="2"/>
      <c r="T79" s="7">
        <v>150</v>
      </c>
      <c r="U79" s="2"/>
      <c r="V79" s="6">
        <f t="shared" si="57"/>
        <v>7.9365499288356028E-4</v>
      </c>
      <c r="W79" s="2"/>
      <c r="X79" s="7">
        <f t="shared" si="58"/>
        <v>505.23</v>
      </c>
      <c r="Y79" s="2"/>
      <c r="Z79" s="6">
        <f t="shared" si="59"/>
        <v>3.3682000000000003</v>
      </c>
    </row>
    <row r="80" spans="1:26" s="24" customFormat="1" hidden="1" outlineLevel="2" x14ac:dyDescent="0.3">
      <c r="A80" s="27"/>
      <c r="B80" s="11" t="str">
        <f>CONCATENATE("          ", "6241", " - ", "OFFICE EXPENSE")</f>
        <v xml:space="preserve">          6241 - OFFICE EXPENSE</v>
      </c>
      <c r="C80" s="11"/>
      <c r="D80" s="7">
        <v>136.59</v>
      </c>
      <c r="E80" s="2"/>
      <c r="F80" s="6">
        <f t="shared" si="52"/>
        <v>2.825925941251195E-2</v>
      </c>
      <c r="G80" s="2"/>
      <c r="H80" s="7"/>
      <c r="I80" s="2"/>
      <c r="J80" s="6">
        <f t="shared" si="53"/>
        <v>0</v>
      </c>
      <c r="K80" s="2"/>
      <c r="L80" s="7">
        <f t="shared" si="54"/>
        <v>136.59</v>
      </c>
      <c r="M80" s="2"/>
      <c r="N80" s="6">
        <f t="shared" si="55"/>
        <v>0</v>
      </c>
      <c r="O80" s="11"/>
      <c r="P80" s="7">
        <v>350.78</v>
      </c>
      <c r="Q80" s="2"/>
      <c r="R80" s="6">
        <f t="shared" si="56"/>
        <v>4.3177727097267193E-3</v>
      </c>
      <c r="S80" s="2"/>
      <c r="T80" s="7"/>
      <c r="U80" s="2"/>
      <c r="V80" s="6">
        <f t="shared" si="57"/>
        <v>0</v>
      </c>
      <c r="W80" s="2"/>
      <c r="X80" s="7">
        <f t="shared" si="58"/>
        <v>350.78</v>
      </c>
      <c r="Y80" s="2"/>
      <c r="Z80" s="6">
        <f t="shared" si="59"/>
        <v>0</v>
      </c>
    </row>
    <row r="81" spans="1:26" s="24" customFormat="1" hidden="1" outlineLevel="2" x14ac:dyDescent="0.3">
      <c r="A81" s="27"/>
      <c r="B81" s="11" t="str">
        <f>CONCATENATE("          ", "6243", " - ", "PAPER SUPPLIES")</f>
        <v xml:space="preserve">          6243 - PAPER SUPPLIES</v>
      </c>
      <c r="C81" s="11"/>
      <c r="D81" s="7">
        <v>44.38</v>
      </c>
      <c r="E81" s="2"/>
      <c r="F81" s="6">
        <f t="shared" si="52"/>
        <v>9.1818283382918246E-3</v>
      </c>
      <c r="G81" s="2"/>
      <c r="H81" s="7">
        <v>200</v>
      </c>
      <c r="I81" s="2"/>
      <c r="J81" s="6">
        <f t="shared" si="53"/>
        <v>5.6455710495116581E-3</v>
      </c>
      <c r="K81" s="2"/>
      <c r="L81" s="7">
        <f t="shared" si="54"/>
        <v>-155.62</v>
      </c>
      <c r="M81" s="2"/>
      <c r="N81" s="6">
        <f t="shared" si="55"/>
        <v>-0.77810000000000001</v>
      </c>
      <c r="O81" s="11"/>
      <c r="P81" s="7">
        <v>44.38</v>
      </c>
      <c r="Q81" s="2"/>
      <c r="R81" s="6">
        <f t="shared" si="56"/>
        <v>5.4627616414183202E-4</v>
      </c>
      <c r="S81" s="2"/>
      <c r="T81" s="7">
        <v>1200</v>
      </c>
      <c r="U81" s="2"/>
      <c r="V81" s="6">
        <f t="shared" si="57"/>
        <v>6.3492399430684823E-3</v>
      </c>
      <c r="W81" s="2"/>
      <c r="X81" s="7">
        <f t="shared" si="58"/>
        <v>-1155.6199999999999</v>
      </c>
      <c r="Y81" s="2"/>
      <c r="Z81" s="6">
        <f t="shared" si="59"/>
        <v>-0.96301666666666652</v>
      </c>
    </row>
    <row r="82" spans="1:26" s="24" customFormat="1" hidden="1" outlineLevel="2" x14ac:dyDescent="0.3">
      <c r="A82" s="27"/>
      <c r="B82" s="11" t="str">
        <f>CONCATENATE("          ", "6247", " - ", "STORE SUPPLIES")</f>
        <v xml:space="preserve">          6247 - STORE SUPPLIES</v>
      </c>
      <c r="C82" s="11"/>
      <c r="D82" s="7">
        <v>90</v>
      </c>
      <c r="E82" s="2"/>
      <c r="F82" s="6">
        <f t="shared" si="52"/>
        <v>1.8620201677473278E-2</v>
      </c>
      <c r="G82" s="2"/>
      <c r="H82" s="7">
        <v>1700</v>
      </c>
      <c r="I82" s="2"/>
      <c r="J82" s="6">
        <f t="shared" si="53"/>
        <v>4.7987353920849095E-2</v>
      </c>
      <c r="K82" s="2"/>
      <c r="L82" s="7">
        <f t="shared" si="54"/>
        <v>-1610</v>
      </c>
      <c r="M82" s="2"/>
      <c r="N82" s="6">
        <f t="shared" si="55"/>
        <v>-0.94705882352941173</v>
      </c>
      <c r="O82" s="11"/>
      <c r="P82" s="7">
        <v>841.49</v>
      </c>
      <c r="Q82" s="2"/>
      <c r="R82" s="6">
        <f t="shared" si="56"/>
        <v>1.0357952441723979E-2</v>
      </c>
      <c r="S82" s="2"/>
      <c r="T82" s="7">
        <v>11050</v>
      </c>
      <c r="U82" s="2"/>
      <c r="V82" s="6">
        <f t="shared" si="57"/>
        <v>5.8465917809088934E-2</v>
      </c>
      <c r="W82" s="2"/>
      <c r="X82" s="7">
        <f t="shared" si="58"/>
        <v>-10208.51</v>
      </c>
      <c r="Y82" s="2"/>
      <c r="Z82" s="6">
        <f t="shared" si="59"/>
        <v>-0.92384705882352947</v>
      </c>
    </row>
    <row r="83" spans="1:26" s="28" customFormat="1" outlineLevel="1" collapsed="1" x14ac:dyDescent="0.3">
      <c r="A83" s="29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SUM(OSRRefD22_15x_0)</f>
        <v>-343.5</v>
      </c>
      <c r="E83" s="1"/>
      <c r="F83" s="5">
        <f t="shared" ref="F83:F85" si="60">IF(D$12=0,0,D83/D$12)</f>
        <v>-7.1067103069023016E-2</v>
      </c>
      <c r="G83" s="1"/>
      <c r="H83" s="1">
        <f>SUM(OSRRefH22_15x_0)</f>
        <v>178</v>
      </c>
      <c r="I83" s="1"/>
      <c r="J83" s="5">
        <f t="shared" ref="J83:J85" si="61">IF(H$12=0,0,H83/H$12)</f>
        <v>5.0245582340653757E-3</v>
      </c>
      <c r="K83" s="1"/>
      <c r="L83" s="1">
        <f t="shared" ref="L83:L85" si="62">+D83-H83</f>
        <v>-521.5</v>
      </c>
      <c r="M83" s="1"/>
      <c r="N83" s="5">
        <f t="shared" ref="N83:N85" si="63">IF(H83=0,0,L83/H83)</f>
        <v>-2.9297752808988764</v>
      </c>
      <c r="O83" s="14"/>
      <c r="P83" s="1">
        <f>SUM(OSRRefP22_15x_0)</f>
        <v>811</v>
      </c>
      <c r="Q83" s="1"/>
      <c r="R83" s="5">
        <f t="shared" ref="R83:R85" si="64">IF(P$12=0,0,P83/P$12)</f>
        <v>9.9826491464404168E-3</v>
      </c>
      <c r="S83" s="1"/>
      <c r="T83" s="1">
        <f>SUM(OSRRefT22_15x_0)</f>
        <v>1246</v>
      </c>
      <c r="U83" s="1"/>
      <c r="V83" s="5">
        <f t="shared" ref="V83:V85" si="65">IF(T$12=0,0,T83/T$12)</f>
        <v>6.59262747421944E-3</v>
      </c>
      <c r="W83" s="1"/>
      <c r="X83" s="1">
        <f t="shared" ref="X83:X85" si="66">+P83-T83</f>
        <v>-435</v>
      </c>
      <c r="Y83" s="1"/>
      <c r="Z83" s="5">
        <f t="shared" ref="Z83:Z85" si="67">IF(T83=0,0,X83/T83)</f>
        <v>-0.3491171749598716</v>
      </c>
    </row>
    <row r="84" spans="1:26" s="24" customFormat="1" hidden="1" outlineLevel="2" x14ac:dyDescent="0.3">
      <c r="A84" s="27"/>
      <c r="B84" s="11" t="str">
        <f>CONCATENATE("          ", "6303", " - ", "DATA PHONE LINES")</f>
        <v xml:space="preserve">          6303 - DATA PHONE LINES</v>
      </c>
      <c r="C84" s="11"/>
      <c r="D84" s="7"/>
      <c r="E84" s="2"/>
      <c r="F84" s="6">
        <f t="shared" si="60"/>
        <v>0</v>
      </c>
      <c r="G84" s="2"/>
      <c r="H84" s="7">
        <v>50</v>
      </c>
      <c r="I84" s="2"/>
      <c r="J84" s="6">
        <f t="shared" si="61"/>
        <v>1.4113927623779145E-3</v>
      </c>
      <c r="K84" s="2"/>
      <c r="L84" s="7">
        <f t="shared" si="62"/>
        <v>-50</v>
      </c>
      <c r="M84" s="2"/>
      <c r="N84" s="6">
        <f t="shared" si="63"/>
        <v>-1</v>
      </c>
      <c r="O84" s="11"/>
      <c r="P84" s="7"/>
      <c r="Q84" s="2"/>
      <c r="R84" s="6">
        <f t="shared" si="64"/>
        <v>0</v>
      </c>
      <c r="S84" s="2"/>
      <c r="T84" s="7">
        <v>350</v>
      </c>
      <c r="U84" s="2"/>
      <c r="V84" s="6">
        <f t="shared" si="65"/>
        <v>1.8518616500616406E-3</v>
      </c>
      <c r="W84" s="2"/>
      <c r="X84" s="7">
        <f t="shared" si="66"/>
        <v>-350</v>
      </c>
      <c r="Y84" s="2"/>
      <c r="Z84" s="6">
        <f t="shared" si="67"/>
        <v>-1</v>
      </c>
    </row>
    <row r="85" spans="1:26" s="24" customFormat="1" hidden="1" outlineLevel="2" x14ac:dyDescent="0.3">
      <c r="A85" s="27"/>
      <c r="B85" s="11" t="str">
        <f>CONCATENATE("          ", "6309", " - ", "TELEPHONE")</f>
        <v xml:space="preserve">          6309 - TELEPHONE</v>
      </c>
      <c r="C85" s="11"/>
      <c r="D85" s="7">
        <v>-343.5</v>
      </c>
      <c r="E85" s="2"/>
      <c r="F85" s="6">
        <f t="shared" si="60"/>
        <v>-7.1067103069023016E-2</v>
      </c>
      <c r="G85" s="2"/>
      <c r="H85" s="7">
        <v>128</v>
      </c>
      <c r="I85" s="2"/>
      <c r="J85" s="6">
        <f t="shared" si="61"/>
        <v>3.613165471687461E-3</v>
      </c>
      <c r="K85" s="2"/>
      <c r="L85" s="7">
        <f t="shared" si="62"/>
        <v>-471.5</v>
      </c>
      <c r="M85" s="2"/>
      <c r="N85" s="6">
        <f t="shared" si="63"/>
        <v>-3.68359375</v>
      </c>
      <c r="O85" s="11"/>
      <c r="P85" s="7">
        <v>811</v>
      </c>
      <c r="Q85" s="2"/>
      <c r="R85" s="6">
        <f t="shared" si="64"/>
        <v>9.9826491464404168E-3</v>
      </c>
      <c r="S85" s="2"/>
      <c r="T85" s="7">
        <v>896</v>
      </c>
      <c r="U85" s="2"/>
      <c r="V85" s="6">
        <f t="shared" si="65"/>
        <v>4.7407658241577994E-3</v>
      </c>
      <c r="W85" s="2"/>
      <c r="X85" s="7">
        <f t="shared" si="66"/>
        <v>-85</v>
      </c>
      <c r="Y85" s="2"/>
      <c r="Z85" s="6">
        <f t="shared" si="67"/>
        <v>-9.4866071428571425E-2</v>
      </c>
    </row>
    <row r="86" spans="1:26" s="28" customFormat="1" outlineLevel="1" collapsed="1" x14ac:dyDescent="0.3">
      <c r="A86" s="29"/>
      <c r="B86" s="14" t="str">
        <f>CONCATENATE("     ","Training                                          ")</f>
        <v xml:space="preserve">     Training                                          </v>
      </c>
      <c r="C86" s="14"/>
      <c r="D86" s="1">
        <f>SUM(OSRRefD22_16x_0)</f>
        <v>0</v>
      </c>
      <c r="E86" s="1"/>
      <c r="F86" s="5">
        <f t="shared" ref="F86:F89" si="68">IF(D$12=0,0,D86/D$12)</f>
        <v>0</v>
      </c>
      <c r="G86" s="1"/>
      <c r="H86" s="1">
        <f>SUM(OSRRefH22_16x_0)</f>
        <v>75</v>
      </c>
      <c r="I86" s="1"/>
      <c r="J86" s="5">
        <f t="shared" ref="J86:J89" si="69">IF(H$12=0,0,H86/H$12)</f>
        <v>2.1170891435668719E-3</v>
      </c>
      <c r="K86" s="1"/>
      <c r="L86" s="1">
        <f t="shared" ref="L86:L89" si="70">+D86-H86</f>
        <v>-75</v>
      </c>
      <c r="M86" s="1"/>
      <c r="N86" s="5">
        <f t="shared" ref="N86:N89" si="71">IF(H86=0,0,L86/H86)</f>
        <v>-1</v>
      </c>
      <c r="O86" s="14"/>
      <c r="P86" s="1">
        <f>SUM(OSRRefP22_16x_0)</f>
        <v>0</v>
      </c>
      <c r="Q86" s="1"/>
      <c r="R86" s="5">
        <f t="shared" ref="R86:R89" si="72">IF(P$12=0,0,P86/P$12)</f>
        <v>0</v>
      </c>
      <c r="S86" s="1"/>
      <c r="T86" s="1">
        <f>SUM(OSRRefT22_16x_0)</f>
        <v>150</v>
      </c>
      <c r="U86" s="1"/>
      <c r="V86" s="5">
        <f t="shared" ref="V86:V89" si="73">IF(T$12=0,0,T86/T$12)</f>
        <v>7.9365499288356028E-4</v>
      </c>
      <c r="W86" s="1"/>
      <c r="X86" s="1">
        <f t="shared" ref="X86:X89" si="74">+P86-T86</f>
        <v>-150</v>
      </c>
      <c r="Y86" s="1"/>
      <c r="Z86" s="5">
        <f t="shared" ref="Z86:Z89" si="75">IF(T86=0,0,X86/T86)</f>
        <v>-1</v>
      </c>
    </row>
    <row r="87" spans="1:26" s="24" customFormat="1" hidden="1" outlineLevel="2" x14ac:dyDescent="0.3">
      <c r="A87" s="27"/>
      <c r="B87" s="11" t="str">
        <f>CONCATENATE("          ", "6376", " - ", "TRAINING")</f>
        <v xml:space="preserve">          6376 - TRAINING</v>
      </c>
      <c r="C87" s="11"/>
      <c r="D87" s="7"/>
      <c r="E87" s="2"/>
      <c r="F87" s="6">
        <f t="shared" si="68"/>
        <v>0</v>
      </c>
      <c r="G87" s="2"/>
      <c r="H87" s="7">
        <v>75</v>
      </c>
      <c r="I87" s="2"/>
      <c r="J87" s="6">
        <f t="shared" si="69"/>
        <v>2.1170891435668719E-3</v>
      </c>
      <c r="K87" s="2"/>
      <c r="L87" s="7">
        <f t="shared" si="70"/>
        <v>-75</v>
      </c>
      <c r="M87" s="2"/>
      <c r="N87" s="6">
        <f t="shared" si="71"/>
        <v>-1</v>
      </c>
      <c r="O87" s="11"/>
      <c r="P87" s="7"/>
      <c r="Q87" s="2"/>
      <c r="R87" s="6">
        <f t="shared" si="72"/>
        <v>0</v>
      </c>
      <c r="S87" s="2"/>
      <c r="T87" s="7">
        <v>150</v>
      </c>
      <c r="U87" s="2"/>
      <c r="V87" s="6">
        <f t="shared" si="73"/>
        <v>7.9365499288356028E-4</v>
      </c>
      <c r="W87" s="2"/>
      <c r="X87" s="7">
        <f t="shared" si="74"/>
        <v>-150</v>
      </c>
      <c r="Y87" s="2"/>
      <c r="Z87" s="6">
        <f t="shared" si="75"/>
        <v>-1</v>
      </c>
    </row>
    <row r="88" spans="1:26" s="28" customFormat="1" outlineLevel="1" collapsed="1" x14ac:dyDescent="0.3">
      <c r="A88" s="29"/>
      <c r="B88" s="14" t="str">
        <f>CONCATENATE("     ","Utilities                                         ")</f>
        <v xml:space="preserve">     Utilities                                         </v>
      </c>
      <c r="C88" s="14"/>
      <c r="D88" s="1">
        <f>SUM(OSRRefD22_17x_0)</f>
        <v>100</v>
      </c>
      <c r="E88" s="1"/>
      <c r="F88" s="5">
        <f t="shared" si="68"/>
        <v>2.0689112974970312E-2</v>
      </c>
      <c r="G88" s="1"/>
      <c r="H88" s="1">
        <f>SUM(OSRRefH22_17x_0)</f>
        <v>0</v>
      </c>
      <c r="I88" s="1"/>
      <c r="J88" s="5">
        <f t="shared" si="69"/>
        <v>0</v>
      </c>
      <c r="K88" s="1"/>
      <c r="L88" s="1">
        <f t="shared" si="70"/>
        <v>100</v>
      </c>
      <c r="M88" s="1"/>
      <c r="N88" s="5">
        <f t="shared" si="71"/>
        <v>0</v>
      </c>
      <c r="O88" s="14"/>
      <c r="P88" s="1">
        <f>SUM(OSRRefP22_17x_0)</f>
        <v>700</v>
      </c>
      <c r="Q88" s="1"/>
      <c r="R88" s="5">
        <f t="shared" si="72"/>
        <v>8.6163432829941943E-3</v>
      </c>
      <c r="S88" s="1"/>
      <c r="T88" s="1">
        <f>SUM(OSRRefT22_17x_0)</f>
        <v>0</v>
      </c>
      <c r="U88" s="1"/>
      <c r="V88" s="5">
        <f t="shared" si="73"/>
        <v>0</v>
      </c>
      <c r="W88" s="1"/>
      <c r="X88" s="1">
        <f t="shared" si="74"/>
        <v>700</v>
      </c>
      <c r="Y88" s="1"/>
      <c r="Z88" s="5">
        <f t="shared" si="75"/>
        <v>0</v>
      </c>
    </row>
    <row r="89" spans="1:26" s="24" customFormat="1" hidden="1" outlineLevel="2" x14ac:dyDescent="0.3">
      <c r="A89" s="27"/>
      <c r="B89" s="11" t="str">
        <f>CONCATENATE("          ", "6274", " - ", "UTILITIES")</f>
        <v xml:space="preserve">          6274 - UTILITIES</v>
      </c>
      <c r="C89" s="11"/>
      <c r="D89" s="7">
        <v>100</v>
      </c>
      <c r="E89" s="2"/>
      <c r="F89" s="6">
        <f t="shared" si="68"/>
        <v>2.0689112974970312E-2</v>
      </c>
      <c r="G89" s="2"/>
      <c r="H89" s="7">
        <v>0</v>
      </c>
      <c r="I89" s="2"/>
      <c r="J89" s="6">
        <f t="shared" si="69"/>
        <v>0</v>
      </c>
      <c r="K89" s="2"/>
      <c r="L89" s="7">
        <f t="shared" si="70"/>
        <v>100</v>
      </c>
      <c r="M89" s="2"/>
      <c r="N89" s="6">
        <f t="shared" si="71"/>
        <v>0</v>
      </c>
      <c r="O89" s="11"/>
      <c r="P89" s="7">
        <v>700</v>
      </c>
      <c r="Q89" s="2"/>
      <c r="R89" s="6">
        <f t="shared" si="72"/>
        <v>8.6163432829941943E-3</v>
      </c>
      <c r="S89" s="2"/>
      <c r="T89" s="7">
        <v>0</v>
      </c>
      <c r="U89" s="2"/>
      <c r="V89" s="6">
        <f t="shared" si="73"/>
        <v>0</v>
      </c>
      <c r="W89" s="2"/>
      <c r="X89" s="7">
        <f t="shared" si="74"/>
        <v>700</v>
      </c>
      <c r="Y89" s="2"/>
      <c r="Z89" s="6">
        <f t="shared" si="75"/>
        <v>0</v>
      </c>
    </row>
    <row r="90" spans="1:26" s="55" customFormat="1" x14ac:dyDescent="0.3">
      <c r="A90" s="36"/>
      <c r="B90" s="36"/>
      <c r="C90" s="36"/>
      <c r="D90" s="1"/>
      <c r="E90" s="1"/>
      <c r="F90" s="5"/>
      <c r="G90" s="1"/>
      <c r="H90" s="1"/>
      <c r="I90" s="1"/>
      <c r="J90" s="5"/>
      <c r="K90" s="1"/>
      <c r="L90" s="1"/>
      <c r="M90" s="1"/>
      <c r="N90" s="5"/>
      <c r="O90" s="36"/>
      <c r="P90" s="1"/>
      <c r="Q90" s="1"/>
      <c r="R90" s="5"/>
      <c r="S90" s="1"/>
      <c r="T90" s="1"/>
      <c r="U90" s="1"/>
      <c r="V90" s="5"/>
      <c r="W90" s="1"/>
      <c r="X90" s="1"/>
      <c r="Y90" s="1"/>
      <c r="Z90" s="5"/>
    </row>
    <row r="91" spans="1:26" s="23" customFormat="1" x14ac:dyDescent="0.3">
      <c r="A91" s="10"/>
      <c r="B91" s="25" t="s">
        <v>293</v>
      </c>
      <c r="C91" s="10"/>
      <c r="D91" s="4">
        <f>SUM(0)</f>
        <v>0</v>
      </c>
      <c r="E91" s="4"/>
      <c r="F91" s="12">
        <f>IF(D$12=0,0,D91/D$12)</f>
        <v>0</v>
      </c>
      <c r="G91" s="4"/>
      <c r="H91" s="4">
        <f>SUM(0)</f>
        <v>0</v>
      </c>
      <c r="I91" s="4"/>
      <c r="J91" s="12">
        <f>IF(H$12=0,0,H91/H$12)</f>
        <v>0</v>
      </c>
      <c r="K91" s="4"/>
      <c r="L91" s="4">
        <f>+D91-H91</f>
        <v>0</v>
      </c>
      <c r="M91" s="4"/>
      <c r="N91" s="12">
        <f>IF(H91=0,0,L91/H91)</f>
        <v>0</v>
      </c>
      <c r="O91" s="10"/>
      <c r="P91" s="4">
        <f>SUM(0)</f>
        <v>0</v>
      </c>
      <c r="Q91" s="4"/>
      <c r="R91" s="12">
        <f>IF(P$12=0,0,P91/P$12)</f>
        <v>0</v>
      </c>
      <c r="S91" s="4"/>
      <c r="T91" s="4">
        <f>SUM(0)</f>
        <v>0</v>
      </c>
      <c r="U91" s="4"/>
      <c r="V91" s="12">
        <f>IF(T$12=0,0,T91/T$12)</f>
        <v>0</v>
      </c>
      <c r="W91" s="4"/>
      <c r="X91" s="4">
        <f>+P91-T91</f>
        <v>0</v>
      </c>
      <c r="Y91" s="4"/>
      <c r="Z91" s="12">
        <f>IF(T91=0,0,X91/T91)</f>
        <v>0</v>
      </c>
    </row>
    <row r="92" spans="1:26" x14ac:dyDescent="0.3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3">
      <c r="A93" s="10"/>
      <c r="B93" s="26" t="s">
        <v>277</v>
      </c>
      <c r="C93" s="26"/>
      <c r="D93" s="21">
        <f>+D23-D25+D91</f>
        <v>-32741.96</v>
      </c>
      <c r="E93" s="13"/>
      <c r="F93" s="22">
        <f>IF(D$12=0,0,D93/D$12)</f>
        <v>-6.7740210946195889</v>
      </c>
      <c r="G93" s="13"/>
      <c r="H93" s="21">
        <f>+H23-H25+H91</f>
        <v>-16668.808669634614</v>
      </c>
      <c r="I93" s="13"/>
      <c r="J93" s="22">
        <f>IF(H$12=0,0,H93/H$12)</f>
        <v>-0.47052471827569059</v>
      </c>
      <c r="K93" s="15"/>
      <c r="L93" s="21">
        <f>+D93-H93</f>
        <v>-16073.151330365385</v>
      </c>
      <c r="M93" s="15"/>
      <c r="N93" s="22">
        <f>IF(H93=0,0,L93/H93)</f>
        <v>0.96426515229283705</v>
      </c>
      <c r="O93" s="25"/>
      <c r="P93" s="21">
        <f>+P23-P25+P91</f>
        <v>-120645.12000000005</v>
      </c>
      <c r="Q93" s="13"/>
      <c r="R93" s="22">
        <f>IF(P$12=0,0,P93/P$12)</f>
        <v>-1.4850282419114702</v>
      </c>
      <c r="S93" s="13"/>
      <c r="T93" s="21">
        <f>+T23-T25+T91</f>
        <v>-146022.4710996346</v>
      </c>
      <c r="U93" s="13"/>
      <c r="V93" s="22">
        <f>IF(T$12=0,0,T93/T$12)</f>
        <v>-0.77260975507613583</v>
      </c>
      <c r="W93" s="15"/>
      <c r="X93" s="21">
        <f>+P93-T93</f>
        <v>25377.351099634543</v>
      </c>
      <c r="Y93" s="15"/>
      <c r="Z93" s="22">
        <f>IF(T93=0,0,X93/T93)</f>
        <v>-0.17379072486945502</v>
      </c>
    </row>
    <row r="94" spans="1:26" x14ac:dyDescent="0.3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3">
      <c r="A95" s="52"/>
      <c r="B95" s="10" t="s">
        <v>128</v>
      </c>
      <c r="C95" s="10"/>
      <c r="D95" s="4">
        <v>1556.42</v>
      </c>
      <c r="E95" s="4"/>
      <c r="F95" s="12">
        <f>IF(D$12=0,0,D95/D$12)</f>
        <v>0.32200949216503294</v>
      </c>
      <c r="G95" s="4"/>
      <c r="H95" s="4">
        <v>3797</v>
      </c>
      <c r="I95" s="4"/>
      <c r="J95" s="12">
        <f>IF(H$12=0,0,H95/H$12)</f>
        <v>0.10718116637497883</v>
      </c>
      <c r="K95" s="4"/>
      <c r="L95" s="4">
        <f>+D95-H95</f>
        <v>-2240.58</v>
      </c>
      <c r="M95" s="4"/>
      <c r="N95" s="12">
        <f>IF(H95=0,0,L95/H95)</f>
        <v>-0.59009217803529102</v>
      </c>
      <c r="O95" s="10"/>
      <c r="P95" s="4">
        <v>10753.66</v>
      </c>
      <c r="Q95" s="4"/>
      <c r="R95" s="12">
        <f>IF(P$12=0,0,P95/P$12)</f>
        <v>0.13236746586943335</v>
      </c>
      <c r="S95" s="4"/>
      <c r="T95" s="4">
        <v>23680</v>
      </c>
      <c r="U95" s="4"/>
      <c r="V95" s="12">
        <f>IF(T$12=0,0,T95/T$12)</f>
        <v>0.12529166820988472</v>
      </c>
      <c r="W95" s="4"/>
      <c r="X95" s="4">
        <f>+P95-T95</f>
        <v>-12926.34</v>
      </c>
      <c r="Y95" s="4"/>
      <c r="Z95" s="12">
        <f>IF(T95=0,0,X95/T95)</f>
        <v>-0.54587584459459459</v>
      </c>
    </row>
    <row r="96" spans="1:26" x14ac:dyDescent="0.3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" thickBot="1" x14ac:dyDescent="0.35">
      <c r="A97" s="10"/>
      <c r="B97" s="26" t="s">
        <v>126</v>
      </c>
      <c r="C97" s="26"/>
      <c r="D97" s="32">
        <f>+D93-D95</f>
        <v>-34298.379999999997</v>
      </c>
      <c r="E97" s="13"/>
      <c r="F97" s="31">
        <f>IF(D$12=0,0,D97/D$12)</f>
        <v>-7.0960305867846216</v>
      </c>
      <c r="G97" s="13"/>
      <c r="H97" s="32">
        <f>+H93-H95</f>
        <v>-20465.808669634614</v>
      </c>
      <c r="I97" s="13"/>
      <c r="J97" s="31">
        <f>IF(H$12=0,0,H97/H$12)</f>
        <v>-0.57770588465066941</v>
      </c>
      <c r="K97" s="15"/>
      <c r="L97" s="32">
        <f>D97-H97</f>
        <v>-13832.571330365383</v>
      </c>
      <c r="M97" s="15"/>
      <c r="N97" s="31">
        <f>IF(H97=0,0,L97/H97)</f>
        <v>0.67588686836933776</v>
      </c>
      <c r="O97" s="25"/>
      <c r="P97" s="32">
        <f>+P93-P95</f>
        <v>-131398.78000000006</v>
      </c>
      <c r="Q97" s="13"/>
      <c r="R97" s="31">
        <f>IF(P$12=0,0,P97/P$12)</f>
        <v>-1.6173957077809036</v>
      </c>
      <c r="S97" s="13"/>
      <c r="T97" s="32">
        <f>+T93-T95</f>
        <v>-169702.4710996346</v>
      </c>
      <c r="U97" s="13"/>
      <c r="V97" s="31">
        <f>IF(T$12=0,0,T97/T$12)</f>
        <v>-0.89790142328602052</v>
      </c>
      <c r="W97" s="15"/>
      <c r="X97" s="32">
        <f>P97-T97</f>
        <v>38303.69109963454</v>
      </c>
      <c r="Y97" s="15"/>
      <c r="Z97" s="31">
        <f>IF(T97=0,0,X97/T97)</f>
        <v>-0.22571086237834409</v>
      </c>
    </row>
    <row r="98" spans="1:26" ht="15" thickTop="1" x14ac:dyDescent="0.3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3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" thickBot="1" x14ac:dyDescent="0.35">
      <c r="A100" s="10"/>
      <c r="B100" s="26" t="s">
        <v>294</v>
      </c>
      <c r="C100" s="26"/>
      <c r="D100" s="34">
        <f>SUM(D97:D99)</f>
        <v>-34298.379999999997</v>
      </c>
      <c r="E100" s="13"/>
      <c r="F100" s="35">
        <f>IF(D$12=0,0,D100/D$12)</f>
        <v>-7.0960305867846216</v>
      </c>
      <c r="G100" s="13"/>
      <c r="H100" s="34">
        <f>SUM(H97:H99)</f>
        <v>-20465.808669634614</v>
      </c>
      <c r="I100" s="13"/>
      <c r="J100" s="35">
        <f>IF(H$12=0,0,H100/H$12)</f>
        <v>-0.57770588465066941</v>
      </c>
      <c r="K100" s="15"/>
      <c r="L100" s="34">
        <f>+D100-H100</f>
        <v>-13832.571330365383</v>
      </c>
      <c r="M100" s="15"/>
      <c r="N100" s="35">
        <f>IF(H100=0,0,L100/H100)</f>
        <v>0.67588686836933776</v>
      </c>
      <c r="O100" s="25"/>
      <c r="P100" s="34">
        <f>SUM(P97:P99)</f>
        <v>-131398.78000000006</v>
      </c>
      <c r="Q100" s="13"/>
      <c r="R100" s="35">
        <f>IF(P$12=0,0,P100/P$12)</f>
        <v>-1.6173957077809036</v>
      </c>
      <c r="S100" s="13"/>
      <c r="T100" s="34">
        <f>SUM(T97:T99)</f>
        <v>-169702.4710996346</v>
      </c>
      <c r="U100" s="13"/>
      <c r="V100" s="35">
        <f>IF(T$12=0,0,T100/T$12)</f>
        <v>-0.89790142328602052</v>
      </c>
      <c r="W100" s="15"/>
      <c r="X100" s="34">
        <f>+P100-T100</f>
        <v>38303.69109963454</v>
      </c>
      <c r="Y100" s="15"/>
      <c r="Z100" s="35">
        <f>IF(T100=0,0,X100/T100)</f>
        <v>-0.22571086237834409</v>
      </c>
    </row>
    <row r="101" spans="1:26" ht="15" thickTop="1" x14ac:dyDescent="0.3">
      <c r="A101" s="9"/>
      <c r="C101" s="9"/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3">
      <c r="A102" s="9"/>
      <c r="B102" s="53">
        <v>44604.019962002312</v>
      </c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3">
      <c r="A103" s="9"/>
      <c r="B103" s="63" t="s">
        <v>56</v>
      </c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3">
      <c r="A104" s="9"/>
      <c r="B104" s="58"/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3"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outlinePr summaryBelow="0" summaryRight="0"/>
  </sheetPr>
  <dimension ref="A2:Z5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","309", " - ", "Carts")</f>
        <v>Department 309 - Carts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3">
      <c r="A14" s="10"/>
      <c r="B14" s="25" t="s">
        <v>257</v>
      </c>
      <c r="C14" s="10"/>
      <c r="D14" s="4">
        <f>SUM(OSRRefD16x_0)</f>
        <v>3604.41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3604.41</v>
      </c>
      <c r="M14" s="4"/>
      <c r="N14" s="12">
        <f t="shared" ref="N14:N15" si="3">IF(H14=0,0,L14/H14)</f>
        <v>0</v>
      </c>
      <c r="O14" s="10"/>
      <c r="P14" s="4">
        <f>SUM(OSRRefP16x_0)</f>
        <v>3604.41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3604.41</v>
      </c>
      <c r="Y14" s="4"/>
      <c r="Z14" s="12">
        <f t="shared" ref="Z14:Z15" si="7">IF(T14=0,0,X14/T14)</f>
        <v>0</v>
      </c>
    </row>
    <row r="15" spans="1:26" s="24" customFormat="1" hidden="1" outlineLevel="1" x14ac:dyDescent="0.3">
      <c r="A15" s="44"/>
      <c r="B15" s="11" t="str">
        <f>CONCATENATE("          ", "5059", " - ", "PURCHASES @ COST-FOOD")</f>
        <v xml:space="preserve">          5059 - PURCHASES @ COST-FOOD</v>
      </c>
      <c r="C15" s="11"/>
      <c r="D15" s="2">
        <v>3604.41</v>
      </c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3604.41</v>
      </c>
      <c r="M15" s="2"/>
      <c r="N15" s="19">
        <f t="shared" si="3"/>
        <v>0</v>
      </c>
      <c r="O15" s="11"/>
      <c r="P15" s="2">
        <v>3604.41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3604.41</v>
      </c>
      <c r="Y15" s="2"/>
      <c r="Z15" s="19">
        <f t="shared" si="7"/>
        <v>0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6" t="s">
        <v>108</v>
      </c>
      <c r="C17" s="26"/>
      <c r="D17" s="21">
        <f>D12-D14</f>
        <v>-3604.41</v>
      </c>
      <c r="E17" s="13"/>
      <c r="F17" s="22">
        <f>IF(D$12=0,0,D17/D$12)</f>
        <v>0</v>
      </c>
      <c r="G17" s="13"/>
      <c r="H17" s="21">
        <f>H12-H14</f>
        <v>0</v>
      </c>
      <c r="I17" s="13"/>
      <c r="J17" s="22">
        <f>IF(H$12=0,0,H17/H$12)</f>
        <v>0</v>
      </c>
      <c r="K17" s="15"/>
      <c r="L17" s="21">
        <f>+D17-H17</f>
        <v>-3604.41</v>
      </c>
      <c r="M17" s="15"/>
      <c r="N17" s="22">
        <f>IF(H17=0,0,L17/H17)</f>
        <v>0</v>
      </c>
      <c r="O17" s="25"/>
      <c r="P17" s="21">
        <f>P12-P14</f>
        <v>-3604.41</v>
      </c>
      <c r="Q17" s="13"/>
      <c r="R17" s="22">
        <f>IF(P$12=0,0,P17/P$12)</f>
        <v>0</v>
      </c>
      <c r="S17" s="13"/>
      <c r="T17" s="21">
        <f>T12-T14</f>
        <v>0</v>
      </c>
      <c r="U17" s="13"/>
      <c r="V17" s="22">
        <f>IF(T$12=0,0,T17/T$12)</f>
        <v>0</v>
      </c>
      <c r="W17" s="15"/>
      <c r="X17" s="21">
        <f>+P17-T17</f>
        <v>-3604.41</v>
      </c>
      <c r="Y17" s="15"/>
      <c r="Z17" s="22">
        <f>IF(T17=0,0,X17/T17)</f>
        <v>0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5" t="s">
        <v>295</v>
      </c>
      <c r="C19" s="10"/>
      <c r="D19" s="20">
        <f>SUM(OSRRefD22x_0)</f>
        <v>1178.94</v>
      </c>
      <c r="E19" s="20"/>
      <c r="F19" s="33">
        <f t="shared" ref="F19:F32" si="8">IF(D$12=0,0,D19/D$12)</f>
        <v>0</v>
      </c>
      <c r="G19" s="20"/>
      <c r="H19" s="20">
        <f>SUM(OSRRefH22x_0)</f>
        <v>588</v>
      </c>
      <c r="I19" s="20"/>
      <c r="J19" s="33">
        <f t="shared" ref="J19:J32" si="9">IF(H$12=0,0,H19/H$12)</f>
        <v>0</v>
      </c>
      <c r="K19" s="4"/>
      <c r="L19" s="20">
        <f t="shared" ref="L19:L32" si="10">+D19-H19</f>
        <v>590.94000000000005</v>
      </c>
      <c r="M19" s="4"/>
      <c r="N19" s="33">
        <f t="shared" ref="N19:N32" si="11">IF(H19=0,0,L19/H19)</f>
        <v>1.0050000000000001</v>
      </c>
      <c r="O19" s="10"/>
      <c r="P19" s="20">
        <f>SUM(OSRRefP22x_0)</f>
        <v>6491.619999999999</v>
      </c>
      <c r="Q19" s="20"/>
      <c r="R19" s="33">
        <f t="shared" ref="R19:R32" si="12">IF(P$12=0,0,P19/P$12)</f>
        <v>0</v>
      </c>
      <c r="S19" s="20"/>
      <c r="T19" s="20">
        <f>SUM(OSRRefT22x_0)</f>
        <v>4116</v>
      </c>
      <c r="U19" s="20"/>
      <c r="V19" s="33">
        <f t="shared" ref="V19:V32" si="13">IF(T$12=0,0,T19/T$12)</f>
        <v>0</v>
      </c>
      <c r="W19" s="4"/>
      <c r="X19" s="20">
        <f t="shared" ref="X19:X32" si="14">+P19-T19</f>
        <v>2375.619999999999</v>
      </c>
      <c r="Y19" s="4"/>
      <c r="Z19" s="33">
        <f t="shared" ref="Z19:Z32" si="15">IF(T19=0,0,X19/T19)</f>
        <v>0.57716715257531559</v>
      </c>
    </row>
    <row r="20" spans="1:26" s="28" customFormat="1" outlineLevel="1" collapsed="1" x14ac:dyDescent="0.3">
      <c r="A20" s="29"/>
      <c r="B20" s="14" t="str">
        <f>CONCATENATE("     ","*Payroll                                          ")</f>
        <v xml:space="preserve">     *Payroll                                          </v>
      </c>
      <c r="C20" s="14"/>
      <c r="D20" s="1">
        <f>SUM(OSRRefD22_0x_0)</f>
        <v>23</v>
      </c>
      <c r="E20" s="1"/>
      <c r="F20" s="5">
        <f t="shared" si="8"/>
        <v>0</v>
      </c>
      <c r="G20" s="1"/>
      <c r="H20" s="1">
        <f>SUM(OSRRefH22_0x_0)</f>
        <v>0</v>
      </c>
      <c r="I20" s="1"/>
      <c r="J20" s="5">
        <f t="shared" si="9"/>
        <v>0</v>
      </c>
      <c r="K20" s="1"/>
      <c r="L20" s="1">
        <f t="shared" si="10"/>
        <v>23</v>
      </c>
      <c r="M20" s="1"/>
      <c r="N20" s="5">
        <f t="shared" si="11"/>
        <v>0</v>
      </c>
      <c r="O20" s="14"/>
      <c r="P20" s="1">
        <f>SUM(OSRRefP22_0x_0)</f>
        <v>23</v>
      </c>
      <c r="Q20" s="1"/>
      <c r="R20" s="5">
        <f t="shared" si="12"/>
        <v>0</v>
      </c>
      <c r="S20" s="1"/>
      <c r="T20" s="1">
        <f>SUM(OSRRefT22_0x_0)</f>
        <v>0</v>
      </c>
      <c r="U20" s="1"/>
      <c r="V20" s="5">
        <f t="shared" si="13"/>
        <v>0</v>
      </c>
      <c r="W20" s="1"/>
      <c r="X20" s="1">
        <f t="shared" si="14"/>
        <v>23</v>
      </c>
      <c r="Y20" s="1"/>
      <c r="Z20" s="5">
        <f t="shared" si="15"/>
        <v>0</v>
      </c>
    </row>
    <row r="21" spans="1:26" s="24" customFormat="1" hidden="1" outlineLevel="2" x14ac:dyDescent="0.3">
      <c r="A21" s="27"/>
      <c r="B21" s="11" t="str">
        <f>CONCATENATE("          ", "6007", " - ", "STUDENT HOURLY")</f>
        <v xml:space="preserve">          6007 - STUDENT HOURLY</v>
      </c>
      <c r="C21" s="11"/>
      <c r="D21" s="7">
        <v>23</v>
      </c>
      <c r="E21" s="2"/>
      <c r="F21" s="6">
        <f t="shared" si="8"/>
        <v>0</v>
      </c>
      <c r="G21" s="2"/>
      <c r="H21" s="7"/>
      <c r="I21" s="2"/>
      <c r="J21" s="6">
        <f t="shared" si="9"/>
        <v>0</v>
      </c>
      <c r="K21" s="2"/>
      <c r="L21" s="7">
        <f t="shared" si="10"/>
        <v>23</v>
      </c>
      <c r="M21" s="2"/>
      <c r="N21" s="6">
        <f t="shared" si="11"/>
        <v>0</v>
      </c>
      <c r="O21" s="11"/>
      <c r="P21" s="7">
        <v>23</v>
      </c>
      <c r="Q21" s="2"/>
      <c r="R21" s="6">
        <f t="shared" si="12"/>
        <v>0</v>
      </c>
      <c r="S21" s="2"/>
      <c r="T21" s="7"/>
      <c r="U21" s="2"/>
      <c r="V21" s="6">
        <f t="shared" si="13"/>
        <v>0</v>
      </c>
      <c r="W21" s="2"/>
      <c r="X21" s="7">
        <f t="shared" si="14"/>
        <v>23</v>
      </c>
      <c r="Y21" s="2"/>
      <c r="Z21" s="6">
        <f t="shared" si="15"/>
        <v>0</v>
      </c>
    </row>
    <row r="22" spans="1:26" s="28" customFormat="1" outlineLevel="1" collapsed="1" x14ac:dyDescent="0.3">
      <c r="A22" s="29"/>
      <c r="B22" s="14" t="str">
        <f>CONCATENATE("     ","Bank/card Fees                                    ")</f>
        <v xml:space="preserve">     Bank/card Fees                                    </v>
      </c>
      <c r="C22" s="14"/>
      <c r="D22" s="1">
        <f>SUM(OSRRefD22_1x_0)</f>
        <v>0.2</v>
      </c>
      <c r="E22" s="1"/>
      <c r="F22" s="5">
        <f t="shared" si="8"/>
        <v>0</v>
      </c>
      <c r="G22" s="1"/>
      <c r="H22" s="1">
        <f>SUM(OSRRefH22_1x_0)</f>
        <v>0</v>
      </c>
      <c r="I22" s="1"/>
      <c r="J22" s="5">
        <f t="shared" si="9"/>
        <v>0</v>
      </c>
      <c r="K22" s="1"/>
      <c r="L22" s="1">
        <f t="shared" si="10"/>
        <v>0.2</v>
      </c>
      <c r="M22" s="1"/>
      <c r="N22" s="5">
        <f t="shared" si="11"/>
        <v>0</v>
      </c>
      <c r="O22" s="14"/>
      <c r="P22" s="1">
        <f>SUM(OSRRefP22_1x_0)</f>
        <v>0.2</v>
      </c>
      <c r="Q22" s="1"/>
      <c r="R22" s="5">
        <f t="shared" si="12"/>
        <v>0</v>
      </c>
      <c r="S22" s="1"/>
      <c r="T22" s="1">
        <f>SUM(OSRRefT22_1x_0)</f>
        <v>0</v>
      </c>
      <c r="U22" s="1"/>
      <c r="V22" s="5">
        <f t="shared" si="13"/>
        <v>0</v>
      </c>
      <c r="W22" s="1"/>
      <c r="X22" s="1">
        <f t="shared" si="14"/>
        <v>0.2</v>
      </c>
      <c r="Y22" s="1"/>
      <c r="Z22" s="5">
        <f t="shared" si="15"/>
        <v>0</v>
      </c>
    </row>
    <row r="23" spans="1:26" s="24" customFormat="1" hidden="1" outlineLevel="2" x14ac:dyDescent="0.3">
      <c r="A23" s="27"/>
      <c r="B23" s="11" t="str">
        <f>CONCATENATE("          ", "6381", " - ", "BANK/CREDIT CARD FEES")</f>
        <v xml:space="preserve">          6381 - BANK/CREDIT CARD FEES</v>
      </c>
      <c r="C23" s="11"/>
      <c r="D23" s="7">
        <v>0.2</v>
      </c>
      <c r="E23" s="2"/>
      <c r="F23" s="6">
        <f t="shared" si="8"/>
        <v>0</v>
      </c>
      <c r="G23" s="2"/>
      <c r="H23" s="7"/>
      <c r="I23" s="2"/>
      <c r="J23" s="6">
        <f t="shared" si="9"/>
        <v>0</v>
      </c>
      <c r="K23" s="2"/>
      <c r="L23" s="7">
        <f t="shared" si="10"/>
        <v>0.2</v>
      </c>
      <c r="M23" s="2"/>
      <c r="N23" s="6">
        <f t="shared" si="11"/>
        <v>0</v>
      </c>
      <c r="O23" s="11"/>
      <c r="P23" s="7">
        <v>0.2</v>
      </c>
      <c r="Q23" s="2"/>
      <c r="R23" s="6">
        <f t="shared" si="12"/>
        <v>0</v>
      </c>
      <c r="S23" s="2"/>
      <c r="T23" s="7"/>
      <c r="U23" s="2"/>
      <c r="V23" s="6">
        <f t="shared" si="13"/>
        <v>0</v>
      </c>
      <c r="W23" s="2"/>
      <c r="X23" s="7">
        <f t="shared" si="14"/>
        <v>0.2</v>
      </c>
      <c r="Y23" s="2"/>
      <c r="Z23" s="6">
        <f t="shared" si="15"/>
        <v>0</v>
      </c>
    </row>
    <row r="24" spans="1:26" s="28" customFormat="1" outlineLevel="1" collapsed="1" x14ac:dyDescent="0.3">
      <c r="A24" s="29"/>
      <c r="B24" s="14" t="str">
        <f>CONCATENATE("     ","Depreciation                                      ")</f>
        <v xml:space="preserve">     Depreciation                                      </v>
      </c>
      <c r="C24" s="14"/>
      <c r="D24" s="1">
        <f>SUM(OSRRefD22_2x_0)</f>
        <v>588.94000000000005</v>
      </c>
      <c r="E24" s="1"/>
      <c r="F24" s="5">
        <f t="shared" si="8"/>
        <v>0</v>
      </c>
      <c r="G24" s="1"/>
      <c r="H24" s="1">
        <f>SUM(OSRRefH22_2x_0)</f>
        <v>588</v>
      </c>
      <c r="I24" s="1"/>
      <c r="J24" s="5">
        <f t="shared" si="9"/>
        <v>0</v>
      </c>
      <c r="K24" s="1"/>
      <c r="L24" s="1">
        <f t="shared" si="10"/>
        <v>0.94000000000005457</v>
      </c>
      <c r="M24" s="1"/>
      <c r="N24" s="5">
        <f t="shared" si="11"/>
        <v>1.5986394557824057E-3</v>
      </c>
      <c r="O24" s="14"/>
      <c r="P24" s="1">
        <f>SUM(OSRRefP22_2x_0)</f>
        <v>4122.58</v>
      </c>
      <c r="Q24" s="1"/>
      <c r="R24" s="5">
        <f t="shared" si="12"/>
        <v>0</v>
      </c>
      <c r="S24" s="1"/>
      <c r="T24" s="1">
        <f>SUM(OSRRefT22_2x_0)</f>
        <v>4116</v>
      </c>
      <c r="U24" s="1"/>
      <c r="V24" s="5">
        <f t="shared" si="13"/>
        <v>0</v>
      </c>
      <c r="W24" s="1"/>
      <c r="X24" s="1">
        <f t="shared" si="14"/>
        <v>6.5799999999999272</v>
      </c>
      <c r="Y24" s="1"/>
      <c r="Z24" s="5">
        <f t="shared" si="15"/>
        <v>1.5986394557822952E-3</v>
      </c>
    </row>
    <row r="25" spans="1:26" s="24" customFormat="1" hidden="1" outlineLevel="2" x14ac:dyDescent="0.3">
      <c r="A25" s="27"/>
      <c r="B25" s="11" t="str">
        <f>CONCATENATE("          ", "6322", " - ", "EQUIPMENT DEPRECIATION EXPENSE")</f>
        <v xml:space="preserve">          6322 - EQUIPMENT DEPRECIATION EXPENSE</v>
      </c>
      <c r="C25" s="11"/>
      <c r="D25" s="7">
        <v>588.94000000000005</v>
      </c>
      <c r="E25" s="2"/>
      <c r="F25" s="6">
        <f t="shared" si="8"/>
        <v>0</v>
      </c>
      <c r="G25" s="2"/>
      <c r="H25" s="7">
        <v>588</v>
      </c>
      <c r="I25" s="2"/>
      <c r="J25" s="6">
        <f t="shared" si="9"/>
        <v>0</v>
      </c>
      <c r="K25" s="2"/>
      <c r="L25" s="7">
        <f t="shared" si="10"/>
        <v>0.94000000000005457</v>
      </c>
      <c r="M25" s="2"/>
      <c r="N25" s="6">
        <f t="shared" si="11"/>
        <v>1.5986394557824057E-3</v>
      </c>
      <c r="O25" s="11"/>
      <c r="P25" s="7">
        <v>4122.58</v>
      </c>
      <c r="Q25" s="2"/>
      <c r="R25" s="6">
        <f t="shared" si="12"/>
        <v>0</v>
      </c>
      <c r="S25" s="2"/>
      <c r="T25" s="7">
        <v>4116</v>
      </c>
      <c r="U25" s="2"/>
      <c r="V25" s="6">
        <f t="shared" si="13"/>
        <v>0</v>
      </c>
      <c r="W25" s="2"/>
      <c r="X25" s="7">
        <f t="shared" si="14"/>
        <v>6.5799999999999272</v>
      </c>
      <c r="Y25" s="2"/>
      <c r="Z25" s="6">
        <f t="shared" si="15"/>
        <v>1.5986394557822952E-3</v>
      </c>
    </row>
    <row r="26" spans="1:26" s="28" customFormat="1" outlineLevel="1" collapsed="1" x14ac:dyDescent="0.3">
      <c r="A26" s="29"/>
      <c r="B26" s="14" t="str">
        <f>CONCATENATE("     ","Equipment Rental                                  ")</f>
        <v xml:space="preserve">     Equipment Rental                                  </v>
      </c>
      <c r="C26" s="14"/>
      <c r="D26" s="1">
        <f>SUM(OSRRefD22_3x_0)</f>
        <v>0</v>
      </c>
      <c r="E26" s="1"/>
      <c r="F26" s="5">
        <f t="shared" si="8"/>
        <v>0</v>
      </c>
      <c r="G26" s="1"/>
      <c r="H26" s="1">
        <f>SUM(OSRRefH22_3x_0)</f>
        <v>0</v>
      </c>
      <c r="I26" s="1"/>
      <c r="J26" s="5">
        <f t="shared" si="9"/>
        <v>0</v>
      </c>
      <c r="K26" s="1"/>
      <c r="L26" s="1">
        <f t="shared" si="10"/>
        <v>0</v>
      </c>
      <c r="M26" s="1"/>
      <c r="N26" s="5">
        <f t="shared" si="11"/>
        <v>0</v>
      </c>
      <c r="O26" s="14"/>
      <c r="P26" s="1">
        <f>SUM(OSRRefP22_3x_0)</f>
        <v>30</v>
      </c>
      <c r="Q26" s="1"/>
      <c r="R26" s="5">
        <f t="shared" si="12"/>
        <v>0</v>
      </c>
      <c r="S26" s="1"/>
      <c r="T26" s="1">
        <f>SUM(OSRRefT22_3x_0)</f>
        <v>0</v>
      </c>
      <c r="U26" s="1"/>
      <c r="V26" s="5">
        <f t="shared" si="13"/>
        <v>0</v>
      </c>
      <c r="W26" s="1"/>
      <c r="X26" s="1">
        <f t="shared" si="14"/>
        <v>30</v>
      </c>
      <c r="Y26" s="1"/>
      <c r="Z26" s="5">
        <f t="shared" si="15"/>
        <v>0</v>
      </c>
    </row>
    <row r="27" spans="1:26" s="24" customFormat="1" hidden="1" outlineLevel="2" x14ac:dyDescent="0.3">
      <c r="A27" s="27"/>
      <c r="B27" s="11" t="str">
        <f>CONCATENATE("          ", "6351", " - ", "EQUIPMENT RENTAL")</f>
        <v xml:space="preserve">          6351 - EQUIPMENT RENTAL</v>
      </c>
      <c r="C27" s="11"/>
      <c r="D27" s="7"/>
      <c r="E27" s="2"/>
      <c r="F27" s="6">
        <f t="shared" si="8"/>
        <v>0</v>
      </c>
      <c r="G27" s="2"/>
      <c r="H27" s="7"/>
      <c r="I27" s="2"/>
      <c r="J27" s="6">
        <f t="shared" si="9"/>
        <v>0</v>
      </c>
      <c r="K27" s="2"/>
      <c r="L27" s="7">
        <f t="shared" si="10"/>
        <v>0</v>
      </c>
      <c r="M27" s="2"/>
      <c r="N27" s="6">
        <f t="shared" si="11"/>
        <v>0</v>
      </c>
      <c r="O27" s="11"/>
      <c r="P27" s="7">
        <v>30</v>
      </c>
      <c r="Q27" s="2"/>
      <c r="R27" s="6">
        <f t="shared" si="12"/>
        <v>0</v>
      </c>
      <c r="S27" s="2"/>
      <c r="T27" s="7"/>
      <c r="U27" s="2"/>
      <c r="V27" s="6">
        <f t="shared" si="13"/>
        <v>0</v>
      </c>
      <c r="W27" s="2"/>
      <c r="X27" s="7">
        <f t="shared" si="14"/>
        <v>30</v>
      </c>
      <c r="Y27" s="2"/>
      <c r="Z27" s="6">
        <f t="shared" si="15"/>
        <v>0</v>
      </c>
    </row>
    <row r="28" spans="1:26" s="28" customFormat="1" outlineLevel="1" collapsed="1" x14ac:dyDescent="0.3">
      <c r="A28" s="29"/>
      <c r="B28" s="14" t="str">
        <f>CONCATENATE("     ","General                                           ")</f>
        <v xml:space="preserve">     General                                           </v>
      </c>
      <c r="C28" s="14"/>
      <c r="D28" s="1">
        <f>SUM(OSRRefD22_4x_0)</f>
        <v>0</v>
      </c>
      <c r="E28" s="1"/>
      <c r="F28" s="5">
        <f t="shared" si="8"/>
        <v>0</v>
      </c>
      <c r="G28" s="1"/>
      <c r="H28" s="1">
        <f>SUM(OSRRefH22_4x_0)</f>
        <v>0</v>
      </c>
      <c r="I28" s="1"/>
      <c r="J28" s="5">
        <f t="shared" si="9"/>
        <v>0</v>
      </c>
      <c r="K28" s="1"/>
      <c r="L28" s="1">
        <f t="shared" si="10"/>
        <v>0</v>
      </c>
      <c r="M28" s="1"/>
      <c r="N28" s="5">
        <f t="shared" si="11"/>
        <v>0</v>
      </c>
      <c r="O28" s="14"/>
      <c r="P28" s="1">
        <f>SUM(OSRRefP22_4x_0)</f>
        <v>435</v>
      </c>
      <c r="Q28" s="1"/>
      <c r="R28" s="5">
        <f t="shared" si="12"/>
        <v>0</v>
      </c>
      <c r="S28" s="1"/>
      <c r="T28" s="1">
        <f>SUM(OSRRefT22_4x_0)</f>
        <v>0</v>
      </c>
      <c r="U28" s="1"/>
      <c r="V28" s="5">
        <f t="shared" si="13"/>
        <v>0</v>
      </c>
      <c r="W28" s="1"/>
      <c r="X28" s="1">
        <f t="shared" si="14"/>
        <v>435</v>
      </c>
      <c r="Y28" s="1"/>
      <c r="Z28" s="5">
        <f t="shared" si="15"/>
        <v>0</v>
      </c>
    </row>
    <row r="29" spans="1:26" s="24" customFormat="1" hidden="1" outlineLevel="2" x14ac:dyDescent="0.3">
      <c r="A29" s="27"/>
      <c r="B29" s="11" t="str">
        <f>CONCATENATE("          ", "6279", " - ", "GENERAL EXPENSE")</f>
        <v xml:space="preserve">          6279 - GENERAL EXPENSE</v>
      </c>
      <c r="C29" s="11"/>
      <c r="D29" s="7"/>
      <c r="E29" s="2"/>
      <c r="F29" s="6">
        <f t="shared" si="8"/>
        <v>0</v>
      </c>
      <c r="G29" s="2"/>
      <c r="H29" s="7"/>
      <c r="I29" s="2"/>
      <c r="J29" s="6">
        <f t="shared" si="9"/>
        <v>0</v>
      </c>
      <c r="K29" s="2"/>
      <c r="L29" s="7">
        <f t="shared" si="10"/>
        <v>0</v>
      </c>
      <c r="M29" s="2"/>
      <c r="N29" s="6">
        <f t="shared" si="11"/>
        <v>0</v>
      </c>
      <c r="O29" s="11"/>
      <c r="P29" s="7">
        <v>435</v>
      </c>
      <c r="Q29" s="2"/>
      <c r="R29" s="6">
        <f t="shared" si="12"/>
        <v>0</v>
      </c>
      <c r="S29" s="2"/>
      <c r="T29" s="7"/>
      <c r="U29" s="2"/>
      <c r="V29" s="6">
        <f t="shared" si="13"/>
        <v>0</v>
      </c>
      <c r="W29" s="2"/>
      <c r="X29" s="7">
        <f t="shared" si="14"/>
        <v>435</v>
      </c>
      <c r="Y29" s="2"/>
      <c r="Z29" s="6">
        <f t="shared" si="15"/>
        <v>0</v>
      </c>
    </row>
    <row r="30" spans="1:26" s="28" customFormat="1" outlineLevel="1" collapsed="1" x14ac:dyDescent="0.3">
      <c r="A30" s="29"/>
      <c r="B30" s="14" t="str">
        <f>CONCATENATE("     ","Repair and Maintenance                            ")</f>
        <v xml:space="preserve">     Repair and Maintenance                            </v>
      </c>
      <c r="C30" s="14"/>
      <c r="D30" s="1">
        <f>SUM(OSRRefD22_5x_0)</f>
        <v>324.95</v>
      </c>
      <c r="E30" s="1"/>
      <c r="F30" s="5">
        <f t="shared" si="8"/>
        <v>0</v>
      </c>
      <c r="G30" s="1"/>
      <c r="H30" s="1">
        <f>SUM(OSRRefH22_5x_0)</f>
        <v>0</v>
      </c>
      <c r="I30" s="1"/>
      <c r="J30" s="5">
        <f t="shared" si="9"/>
        <v>0</v>
      </c>
      <c r="K30" s="1"/>
      <c r="L30" s="1">
        <f t="shared" si="10"/>
        <v>324.95</v>
      </c>
      <c r="M30" s="1"/>
      <c r="N30" s="5">
        <f t="shared" si="11"/>
        <v>0</v>
      </c>
      <c r="O30" s="14"/>
      <c r="P30" s="1">
        <f>SUM(OSRRefP22_5x_0)</f>
        <v>422.78</v>
      </c>
      <c r="Q30" s="1"/>
      <c r="R30" s="5">
        <f t="shared" si="12"/>
        <v>0</v>
      </c>
      <c r="S30" s="1"/>
      <c r="T30" s="1">
        <f>SUM(OSRRefT22_5x_0)</f>
        <v>0</v>
      </c>
      <c r="U30" s="1"/>
      <c r="V30" s="5">
        <f t="shared" si="13"/>
        <v>0</v>
      </c>
      <c r="W30" s="1"/>
      <c r="X30" s="1">
        <f t="shared" si="14"/>
        <v>422.78</v>
      </c>
      <c r="Y30" s="1"/>
      <c r="Z30" s="5">
        <f t="shared" si="15"/>
        <v>0</v>
      </c>
    </row>
    <row r="31" spans="1:26" s="24" customFormat="1" hidden="1" outlineLevel="2" x14ac:dyDescent="0.3">
      <c r="A31" s="27"/>
      <c r="B31" s="11" t="str">
        <f>CONCATENATE("          ", "6373", " - ", "MAINTENANCE CONTRACTS")</f>
        <v xml:space="preserve">          6373 - MAINTENANCE CONTRACTS</v>
      </c>
      <c r="C31" s="11"/>
      <c r="D31" s="7"/>
      <c r="E31" s="2"/>
      <c r="F31" s="6">
        <f t="shared" si="8"/>
        <v>0</v>
      </c>
      <c r="G31" s="2"/>
      <c r="H31" s="7"/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>
        <v>97.83</v>
      </c>
      <c r="Q31" s="2"/>
      <c r="R31" s="6">
        <f t="shared" si="12"/>
        <v>0</v>
      </c>
      <c r="S31" s="2"/>
      <c r="T31" s="7"/>
      <c r="U31" s="2"/>
      <c r="V31" s="6">
        <f t="shared" si="13"/>
        <v>0</v>
      </c>
      <c r="W31" s="2"/>
      <c r="X31" s="7">
        <f t="shared" si="14"/>
        <v>97.83</v>
      </c>
      <c r="Y31" s="2"/>
      <c r="Z31" s="6">
        <f t="shared" si="15"/>
        <v>0</v>
      </c>
    </row>
    <row r="32" spans="1:26" s="24" customFormat="1" hidden="1" outlineLevel="2" x14ac:dyDescent="0.3">
      <c r="A32" s="27"/>
      <c r="B32" s="11" t="str">
        <f>CONCATENATE("          ", "6375", " - ", "OUTSIDE REPAIRS &amp; MAINTENANCE")</f>
        <v xml:space="preserve">          6375 - OUTSIDE REPAIRS &amp; MAINTENANCE</v>
      </c>
      <c r="C32" s="11"/>
      <c r="D32" s="7">
        <v>324.95</v>
      </c>
      <c r="E32" s="2"/>
      <c r="F32" s="6">
        <f t="shared" si="8"/>
        <v>0</v>
      </c>
      <c r="G32" s="2"/>
      <c r="H32" s="7"/>
      <c r="I32" s="2"/>
      <c r="J32" s="6">
        <f t="shared" si="9"/>
        <v>0</v>
      </c>
      <c r="K32" s="2"/>
      <c r="L32" s="7">
        <f t="shared" si="10"/>
        <v>324.95</v>
      </c>
      <c r="M32" s="2"/>
      <c r="N32" s="6">
        <f t="shared" si="11"/>
        <v>0</v>
      </c>
      <c r="O32" s="11"/>
      <c r="P32" s="7">
        <v>324.95</v>
      </c>
      <c r="Q32" s="2"/>
      <c r="R32" s="6">
        <f t="shared" si="12"/>
        <v>0</v>
      </c>
      <c r="S32" s="2"/>
      <c r="T32" s="7"/>
      <c r="U32" s="2"/>
      <c r="V32" s="6">
        <f t="shared" si="13"/>
        <v>0</v>
      </c>
      <c r="W32" s="2"/>
      <c r="X32" s="7">
        <f t="shared" si="14"/>
        <v>324.95</v>
      </c>
      <c r="Y32" s="2"/>
      <c r="Z32" s="6">
        <f t="shared" si="15"/>
        <v>0</v>
      </c>
    </row>
    <row r="33" spans="1:26" s="28" customFormat="1" outlineLevel="1" collapsed="1" x14ac:dyDescent="0.3">
      <c r="A33" s="29"/>
      <c r="B33" s="14" t="str">
        <f>CONCATENATE("     ","Services                                          ")</f>
        <v xml:space="preserve">     Services                                          </v>
      </c>
      <c r="C33" s="14"/>
      <c r="D33" s="1">
        <f>SUM(OSRRefD22_6x_0)</f>
        <v>151.85</v>
      </c>
      <c r="E33" s="1"/>
      <c r="F33" s="5">
        <f t="shared" ref="F33:F35" si="16">IF(D$12=0,0,D33/D$12)</f>
        <v>0</v>
      </c>
      <c r="G33" s="1"/>
      <c r="H33" s="1">
        <f>SUM(OSRRefH22_6x_0)</f>
        <v>0</v>
      </c>
      <c r="I33" s="1"/>
      <c r="J33" s="5">
        <f t="shared" ref="J33:J35" si="17">IF(H$12=0,0,H33/H$12)</f>
        <v>0</v>
      </c>
      <c r="K33" s="1"/>
      <c r="L33" s="1">
        <f t="shared" ref="L33:L35" si="18">+D33-H33</f>
        <v>151.85</v>
      </c>
      <c r="M33" s="1"/>
      <c r="N33" s="5">
        <f t="shared" ref="N33:N35" si="19">IF(H33=0,0,L33/H33)</f>
        <v>0</v>
      </c>
      <c r="O33" s="14"/>
      <c r="P33" s="1">
        <f>SUM(OSRRefP22_6x_0)</f>
        <v>1185.8700000000001</v>
      </c>
      <c r="Q33" s="1"/>
      <c r="R33" s="5">
        <f t="shared" ref="R33:R35" si="20">IF(P$12=0,0,P33/P$12)</f>
        <v>0</v>
      </c>
      <c r="S33" s="1"/>
      <c r="T33" s="1">
        <f>SUM(OSRRefT22_6x_0)</f>
        <v>0</v>
      </c>
      <c r="U33" s="1"/>
      <c r="V33" s="5">
        <f t="shared" ref="V33:V35" si="21">IF(T$12=0,0,T33/T$12)</f>
        <v>0</v>
      </c>
      <c r="W33" s="1"/>
      <c r="X33" s="1">
        <f t="shared" ref="X33:X35" si="22">+P33-T33</f>
        <v>1185.8700000000001</v>
      </c>
      <c r="Y33" s="1"/>
      <c r="Z33" s="5">
        <f t="shared" ref="Z33:Z35" si="23">IF(T33=0,0,X33/T33)</f>
        <v>0</v>
      </c>
    </row>
    <row r="34" spans="1:26" s="24" customFormat="1" hidden="1" outlineLevel="2" x14ac:dyDescent="0.3">
      <c r="A34" s="27"/>
      <c r="B34" s="11" t="str">
        <f>CONCATENATE("          ", "6282", " - ", "JANITORIAL/EXTERMINATOR EXPENS")</f>
        <v xml:space="preserve">          6282 - JANITORIAL/EXTERMINATOR EXPENS</v>
      </c>
      <c r="C34" s="11"/>
      <c r="D34" s="7">
        <v>151.85</v>
      </c>
      <c r="E34" s="2"/>
      <c r="F34" s="6">
        <f t="shared" si="16"/>
        <v>0</v>
      </c>
      <c r="G34" s="2"/>
      <c r="H34" s="7"/>
      <c r="I34" s="2"/>
      <c r="J34" s="6">
        <f t="shared" si="17"/>
        <v>0</v>
      </c>
      <c r="K34" s="2"/>
      <c r="L34" s="7">
        <f t="shared" si="18"/>
        <v>151.85</v>
      </c>
      <c r="M34" s="2"/>
      <c r="N34" s="6">
        <f t="shared" si="19"/>
        <v>0</v>
      </c>
      <c r="O34" s="11"/>
      <c r="P34" s="7">
        <v>1062.95</v>
      </c>
      <c r="Q34" s="2"/>
      <c r="R34" s="6">
        <f t="shared" si="20"/>
        <v>0</v>
      </c>
      <c r="S34" s="2"/>
      <c r="T34" s="7"/>
      <c r="U34" s="2"/>
      <c r="V34" s="6">
        <f t="shared" si="21"/>
        <v>0</v>
      </c>
      <c r="W34" s="2"/>
      <c r="X34" s="7">
        <f t="shared" si="22"/>
        <v>1062.95</v>
      </c>
      <c r="Y34" s="2"/>
      <c r="Z34" s="6">
        <f t="shared" si="23"/>
        <v>0</v>
      </c>
    </row>
    <row r="35" spans="1:26" s="24" customFormat="1" hidden="1" outlineLevel="2" x14ac:dyDescent="0.3">
      <c r="A35" s="27"/>
      <c r="B35" s="11" t="str">
        <f>CONCATENATE("          ", "6285", " - ", "JANITORIAL SERVICES")</f>
        <v xml:space="preserve">          6285 - JANITORIAL SERVICES</v>
      </c>
      <c r="C35" s="11"/>
      <c r="D35" s="7"/>
      <c r="E35" s="2"/>
      <c r="F35" s="6">
        <f t="shared" si="16"/>
        <v>0</v>
      </c>
      <c r="G35" s="2"/>
      <c r="H35" s="7"/>
      <c r="I35" s="2"/>
      <c r="J35" s="6">
        <f t="shared" si="17"/>
        <v>0</v>
      </c>
      <c r="K35" s="2"/>
      <c r="L35" s="7">
        <f t="shared" si="18"/>
        <v>0</v>
      </c>
      <c r="M35" s="2"/>
      <c r="N35" s="6">
        <f t="shared" si="19"/>
        <v>0</v>
      </c>
      <c r="O35" s="11"/>
      <c r="P35" s="7">
        <v>122.92</v>
      </c>
      <c r="Q35" s="2"/>
      <c r="R35" s="6">
        <f t="shared" si="20"/>
        <v>0</v>
      </c>
      <c r="S35" s="2"/>
      <c r="T35" s="7"/>
      <c r="U35" s="2"/>
      <c r="V35" s="6">
        <f t="shared" si="21"/>
        <v>0</v>
      </c>
      <c r="W35" s="2"/>
      <c r="X35" s="7">
        <f t="shared" si="22"/>
        <v>122.92</v>
      </c>
      <c r="Y35" s="2"/>
      <c r="Z35" s="6">
        <f t="shared" si="23"/>
        <v>0</v>
      </c>
    </row>
    <row r="36" spans="1:26" s="28" customFormat="1" outlineLevel="1" collapsed="1" x14ac:dyDescent="0.3">
      <c r="A36" s="29"/>
      <c r="B36" s="14" t="str">
        <f>CONCATENATE("     ","Supplies                                          ")</f>
        <v xml:space="preserve">     Supplies                                          </v>
      </c>
      <c r="C36" s="14"/>
      <c r="D36" s="1">
        <f>SUM(OSRRefD22_7x_0)</f>
        <v>60</v>
      </c>
      <c r="E36" s="1"/>
      <c r="F36" s="5">
        <f t="shared" ref="F36:F38" si="24">IF(D$12=0,0,D36/D$12)</f>
        <v>0</v>
      </c>
      <c r="G36" s="1"/>
      <c r="H36" s="1">
        <f>SUM(OSRRefH22_7x_0)</f>
        <v>0</v>
      </c>
      <c r="I36" s="1"/>
      <c r="J36" s="5">
        <f t="shared" ref="J36:J38" si="25">IF(H$12=0,0,H36/H$12)</f>
        <v>0</v>
      </c>
      <c r="K36" s="1"/>
      <c r="L36" s="1">
        <f t="shared" ref="L36:L38" si="26">+D36-H36</f>
        <v>60</v>
      </c>
      <c r="M36" s="1"/>
      <c r="N36" s="5">
        <f t="shared" ref="N36:N38" si="27">IF(H36=0,0,L36/H36)</f>
        <v>0</v>
      </c>
      <c r="O36" s="14"/>
      <c r="P36" s="1">
        <f>SUM(OSRRefP22_7x_0)</f>
        <v>62.19</v>
      </c>
      <c r="Q36" s="1"/>
      <c r="R36" s="5">
        <f t="shared" ref="R36:R38" si="28">IF(P$12=0,0,P36/P$12)</f>
        <v>0</v>
      </c>
      <c r="S36" s="1"/>
      <c r="T36" s="1">
        <f>SUM(OSRRefT22_7x_0)</f>
        <v>0</v>
      </c>
      <c r="U36" s="1"/>
      <c r="V36" s="5">
        <f t="shared" ref="V36:V38" si="29">IF(T$12=0,0,T36/T$12)</f>
        <v>0</v>
      </c>
      <c r="W36" s="1"/>
      <c r="X36" s="1">
        <f t="shared" ref="X36:X38" si="30">+P36-T36</f>
        <v>62.19</v>
      </c>
      <c r="Y36" s="1"/>
      <c r="Z36" s="5">
        <f t="shared" ref="Z36:Z38" si="31">IF(T36=0,0,X36/T36)</f>
        <v>0</v>
      </c>
    </row>
    <row r="37" spans="1:26" s="24" customFormat="1" hidden="1" outlineLevel="2" x14ac:dyDescent="0.3">
      <c r="A37" s="27"/>
      <c r="B37" s="11" t="str">
        <f>CONCATENATE("          ", "6241", " - ", "OFFICE EXPENSE")</f>
        <v xml:space="preserve">          6241 - OFFICE EXPENSE</v>
      </c>
      <c r="C37" s="11"/>
      <c r="D37" s="7"/>
      <c r="E37" s="2"/>
      <c r="F37" s="6">
        <f t="shared" si="24"/>
        <v>0</v>
      </c>
      <c r="G37" s="2"/>
      <c r="H37" s="7"/>
      <c r="I37" s="2"/>
      <c r="J37" s="6">
        <f t="shared" si="25"/>
        <v>0</v>
      </c>
      <c r="K37" s="2"/>
      <c r="L37" s="7">
        <f t="shared" si="26"/>
        <v>0</v>
      </c>
      <c r="M37" s="2"/>
      <c r="N37" s="6">
        <f t="shared" si="27"/>
        <v>0</v>
      </c>
      <c r="O37" s="11"/>
      <c r="P37" s="7">
        <v>2.19</v>
      </c>
      <c r="Q37" s="2"/>
      <c r="R37" s="6">
        <f t="shared" si="28"/>
        <v>0</v>
      </c>
      <c r="S37" s="2"/>
      <c r="T37" s="7"/>
      <c r="U37" s="2"/>
      <c r="V37" s="6">
        <f t="shared" si="29"/>
        <v>0</v>
      </c>
      <c r="W37" s="2"/>
      <c r="X37" s="7">
        <f t="shared" si="30"/>
        <v>2.19</v>
      </c>
      <c r="Y37" s="2"/>
      <c r="Z37" s="6">
        <f t="shared" si="31"/>
        <v>0</v>
      </c>
    </row>
    <row r="38" spans="1:26" s="24" customFormat="1" hidden="1" outlineLevel="2" x14ac:dyDescent="0.3">
      <c r="A38" s="27"/>
      <c r="B38" s="11" t="str">
        <f>CONCATENATE("          ", "6247", " - ", "STORE SUPPLIES")</f>
        <v xml:space="preserve">          6247 - STORE SUPPLIES</v>
      </c>
      <c r="C38" s="11"/>
      <c r="D38" s="7">
        <v>60</v>
      </c>
      <c r="E38" s="2"/>
      <c r="F38" s="6">
        <f t="shared" si="24"/>
        <v>0</v>
      </c>
      <c r="G38" s="2"/>
      <c r="H38" s="7"/>
      <c r="I38" s="2"/>
      <c r="J38" s="6">
        <f t="shared" si="25"/>
        <v>0</v>
      </c>
      <c r="K38" s="2"/>
      <c r="L38" s="7">
        <f t="shared" si="26"/>
        <v>60</v>
      </c>
      <c r="M38" s="2"/>
      <c r="N38" s="6">
        <f t="shared" si="27"/>
        <v>0</v>
      </c>
      <c r="O38" s="11"/>
      <c r="P38" s="7">
        <v>60</v>
      </c>
      <c r="Q38" s="2"/>
      <c r="R38" s="6">
        <f t="shared" si="28"/>
        <v>0</v>
      </c>
      <c r="S38" s="2"/>
      <c r="T38" s="7"/>
      <c r="U38" s="2"/>
      <c r="V38" s="6">
        <f t="shared" si="29"/>
        <v>0</v>
      </c>
      <c r="W38" s="2"/>
      <c r="X38" s="7">
        <f t="shared" si="30"/>
        <v>60</v>
      </c>
      <c r="Y38" s="2"/>
      <c r="Z38" s="6">
        <f t="shared" si="31"/>
        <v>0</v>
      </c>
    </row>
    <row r="39" spans="1:26" s="28" customFormat="1" outlineLevel="1" collapsed="1" x14ac:dyDescent="0.3">
      <c r="A39" s="29"/>
      <c r="B39" s="14" t="str">
        <f>CONCATENATE("     ","Telephone/Data Lines                              ")</f>
        <v xml:space="preserve">     Telephone/Data Lines                              </v>
      </c>
      <c r="C39" s="14"/>
      <c r="D39" s="1">
        <f>SUM(OSRRefD22_8x_0)</f>
        <v>30</v>
      </c>
      <c r="E39" s="1"/>
      <c r="F39" s="5">
        <f t="shared" ref="F39:F40" si="32">IF(D$12=0,0,D39/D$12)</f>
        <v>0</v>
      </c>
      <c r="G39" s="1"/>
      <c r="H39" s="1">
        <f>SUM(OSRRefH22_8x_0)</f>
        <v>0</v>
      </c>
      <c r="I39" s="1"/>
      <c r="J39" s="5">
        <f t="shared" ref="J39:J40" si="33">IF(H$12=0,0,H39/H$12)</f>
        <v>0</v>
      </c>
      <c r="K39" s="1"/>
      <c r="L39" s="1">
        <f t="shared" ref="L39:L40" si="34">+D39-H39</f>
        <v>30</v>
      </c>
      <c r="M39" s="1"/>
      <c r="N39" s="5">
        <f t="shared" ref="N39:N40" si="35">IF(H39=0,0,L39/H39)</f>
        <v>0</v>
      </c>
      <c r="O39" s="14"/>
      <c r="P39" s="1">
        <f>SUM(OSRRefP22_8x_0)</f>
        <v>210</v>
      </c>
      <c r="Q39" s="1"/>
      <c r="R39" s="5">
        <f t="shared" ref="R39:R40" si="36">IF(P$12=0,0,P39/P$12)</f>
        <v>0</v>
      </c>
      <c r="S39" s="1"/>
      <c r="T39" s="1">
        <f>SUM(OSRRefT22_8x_0)</f>
        <v>0</v>
      </c>
      <c r="U39" s="1"/>
      <c r="V39" s="5">
        <f t="shared" ref="V39:V40" si="37">IF(T$12=0,0,T39/T$12)</f>
        <v>0</v>
      </c>
      <c r="W39" s="1"/>
      <c r="X39" s="1">
        <f t="shared" ref="X39:X40" si="38">+P39-T39</f>
        <v>210</v>
      </c>
      <c r="Y39" s="1"/>
      <c r="Z39" s="5">
        <f t="shared" ref="Z39:Z40" si="39">IF(T39=0,0,X39/T39)</f>
        <v>0</v>
      </c>
    </row>
    <row r="40" spans="1:26" s="24" customFormat="1" hidden="1" outlineLevel="2" x14ac:dyDescent="0.3">
      <c r="A40" s="27"/>
      <c r="B40" s="11" t="str">
        <f>CONCATENATE("          ", "6309", " - ", "TELEPHONE")</f>
        <v xml:space="preserve">          6309 - TELEPHONE</v>
      </c>
      <c r="C40" s="11"/>
      <c r="D40" s="7">
        <v>30</v>
      </c>
      <c r="E40" s="2"/>
      <c r="F40" s="6">
        <f t="shared" si="32"/>
        <v>0</v>
      </c>
      <c r="G40" s="2"/>
      <c r="H40" s="7"/>
      <c r="I40" s="2"/>
      <c r="J40" s="6">
        <f t="shared" si="33"/>
        <v>0</v>
      </c>
      <c r="K40" s="2"/>
      <c r="L40" s="7">
        <f t="shared" si="34"/>
        <v>30</v>
      </c>
      <c r="M40" s="2"/>
      <c r="N40" s="6">
        <f t="shared" si="35"/>
        <v>0</v>
      </c>
      <c r="O40" s="11"/>
      <c r="P40" s="7">
        <v>210</v>
      </c>
      <c r="Q40" s="2"/>
      <c r="R40" s="6">
        <f t="shared" si="36"/>
        <v>0</v>
      </c>
      <c r="S40" s="2"/>
      <c r="T40" s="7"/>
      <c r="U40" s="2"/>
      <c r="V40" s="6">
        <f t="shared" si="37"/>
        <v>0</v>
      </c>
      <c r="W40" s="2"/>
      <c r="X40" s="7">
        <f t="shared" si="38"/>
        <v>210</v>
      </c>
      <c r="Y40" s="2"/>
      <c r="Z40" s="6">
        <f t="shared" si="39"/>
        <v>0</v>
      </c>
    </row>
    <row r="41" spans="1:26" s="55" customFormat="1" x14ac:dyDescent="0.3">
      <c r="A41" s="36"/>
      <c r="B41" s="36"/>
      <c r="C41" s="36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6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3" customFormat="1" x14ac:dyDescent="0.3">
      <c r="A42" s="10"/>
      <c r="B42" s="25" t="s">
        <v>293</v>
      </c>
      <c r="C42" s="10"/>
      <c r="D42" s="4">
        <f>SUM(0)</f>
        <v>0</v>
      </c>
      <c r="E42" s="4"/>
      <c r="F42" s="12">
        <f>IF(D$12=0,0,D42/D$12)</f>
        <v>0</v>
      </c>
      <c r="G42" s="4"/>
      <c r="H42" s="4">
        <f>SUM(0)</f>
        <v>0</v>
      </c>
      <c r="I42" s="4"/>
      <c r="J42" s="12">
        <f>IF(H$12=0,0,H42/H$12)</f>
        <v>0</v>
      </c>
      <c r="K42" s="4"/>
      <c r="L42" s="4">
        <f>+D42-H42</f>
        <v>0</v>
      </c>
      <c r="M42" s="4"/>
      <c r="N42" s="12">
        <f>IF(H42=0,0,L42/H42)</f>
        <v>0</v>
      </c>
      <c r="O42" s="10"/>
      <c r="P42" s="4">
        <f>SUM(0)</f>
        <v>0</v>
      </c>
      <c r="Q42" s="4"/>
      <c r="R42" s="12">
        <f>IF(P$12=0,0,P42/P$12)</f>
        <v>0</v>
      </c>
      <c r="S42" s="4"/>
      <c r="T42" s="4">
        <f>SUM(0)</f>
        <v>0</v>
      </c>
      <c r="U42" s="4"/>
      <c r="V42" s="12">
        <f>IF(T$12=0,0,T42/T$12)</f>
        <v>0</v>
      </c>
      <c r="W42" s="4"/>
      <c r="X42" s="4">
        <f>+P42-T42</f>
        <v>0</v>
      </c>
      <c r="Y42" s="4"/>
      <c r="Z42" s="12">
        <f>IF(T42=0,0,X42/T42)</f>
        <v>0</v>
      </c>
    </row>
    <row r="43" spans="1:26" x14ac:dyDescent="0.3">
      <c r="A43" s="9"/>
      <c r="B43" s="10"/>
      <c r="C43" s="10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O43" s="10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x14ac:dyDescent="0.3">
      <c r="A44" s="10"/>
      <c r="B44" s="26" t="s">
        <v>277</v>
      </c>
      <c r="C44" s="26"/>
      <c r="D44" s="21">
        <f>+D17-D19+D42</f>
        <v>-4783.3500000000004</v>
      </c>
      <c r="E44" s="13"/>
      <c r="F44" s="22">
        <f>IF(D$12=0,0,D44/D$12)</f>
        <v>0</v>
      </c>
      <c r="G44" s="13"/>
      <c r="H44" s="21">
        <f>+H17-H19+H42</f>
        <v>-588</v>
      </c>
      <c r="I44" s="13"/>
      <c r="J44" s="22">
        <f>IF(H$12=0,0,H44/H$12)</f>
        <v>0</v>
      </c>
      <c r="K44" s="15"/>
      <c r="L44" s="21">
        <f>+D44-H44</f>
        <v>-4195.3500000000004</v>
      </c>
      <c r="M44" s="15"/>
      <c r="N44" s="22">
        <f>IF(H44=0,0,L44/H44)</f>
        <v>7.1349489795918375</v>
      </c>
      <c r="O44" s="25"/>
      <c r="P44" s="21">
        <f>+P17-P19+P42</f>
        <v>-10096.029999999999</v>
      </c>
      <c r="Q44" s="13"/>
      <c r="R44" s="22">
        <f>IF(P$12=0,0,P44/P$12)</f>
        <v>0</v>
      </c>
      <c r="S44" s="13"/>
      <c r="T44" s="21">
        <f>+T17-T19+T42</f>
        <v>-4116</v>
      </c>
      <c r="U44" s="13"/>
      <c r="V44" s="22">
        <f>IF(T$12=0,0,T44/T$12)</f>
        <v>0</v>
      </c>
      <c r="W44" s="15"/>
      <c r="X44" s="21">
        <f>+P44-T44</f>
        <v>-5980.0299999999988</v>
      </c>
      <c r="Y44" s="15"/>
      <c r="Z44" s="22">
        <f>IF(T44=0,0,X44/T44)</f>
        <v>1.4528741496598636</v>
      </c>
    </row>
    <row r="45" spans="1:26" x14ac:dyDescent="0.3">
      <c r="A45" s="9"/>
      <c r="B45" s="10"/>
      <c r="C45" s="9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3">
      <c r="A46" s="52"/>
      <c r="B46" s="10" t="s">
        <v>128</v>
      </c>
      <c r="C46" s="10"/>
      <c r="D46" s="4"/>
      <c r="E46" s="4"/>
      <c r="F46" s="12">
        <f>IF(D$12=0,0,D46/D$12)</f>
        <v>0</v>
      </c>
      <c r="G46" s="4"/>
      <c r="H46" s="4"/>
      <c r="I46" s="4"/>
      <c r="J46" s="12">
        <f>IF(H$12=0,0,H46/H$12)</f>
        <v>0</v>
      </c>
      <c r="K46" s="4"/>
      <c r="L46" s="4">
        <f>+D46-H46</f>
        <v>0</v>
      </c>
      <c r="M46" s="4"/>
      <c r="N46" s="12">
        <f>IF(H46=0,0,L46/H46)</f>
        <v>0</v>
      </c>
      <c r="O46" s="10"/>
      <c r="P46" s="4"/>
      <c r="Q46" s="4"/>
      <c r="R46" s="12">
        <f>IF(P$12=0,0,P46/P$12)</f>
        <v>0</v>
      </c>
      <c r="S46" s="4"/>
      <c r="T46" s="4"/>
      <c r="U46" s="4"/>
      <c r="V46" s="12">
        <f>IF(T$12=0,0,T46/T$12)</f>
        <v>0</v>
      </c>
      <c r="W46" s="4"/>
      <c r="X46" s="4">
        <f>+P46-T46</f>
        <v>0</v>
      </c>
      <c r="Y46" s="4"/>
      <c r="Z46" s="12">
        <f>IF(T46=0,0,X46/T46)</f>
        <v>0</v>
      </c>
    </row>
    <row r="47" spans="1:26" x14ac:dyDescent="0.3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ht="15" thickBot="1" x14ac:dyDescent="0.35">
      <c r="A48" s="10"/>
      <c r="B48" s="26" t="s">
        <v>126</v>
      </c>
      <c r="C48" s="26"/>
      <c r="D48" s="32">
        <f>+D44-D46</f>
        <v>-4783.3500000000004</v>
      </c>
      <c r="E48" s="13"/>
      <c r="F48" s="31">
        <f>IF(D$12=0,0,D48/D$12)</f>
        <v>0</v>
      </c>
      <c r="G48" s="13"/>
      <c r="H48" s="32">
        <f>+H44-H46</f>
        <v>-588</v>
      </c>
      <c r="I48" s="13"/>
      <c r="J48" s="31">
        <f>IF(H$12=0,0,H48/H$12)</f>
        <v>0</v>
      </c>
      <c r="K48" s="15"/>
      <c r="L48" s="32">
        <f>D48-H48</f>
        <v>-4195.3500000000004</v>
      </c>
      <c r="M48" s="15"/>
      <c r="N48" s="31">
        <f>IF(H48=0,0,L48/H48)</f>
        <v>7.1349489795918375</v>
      </c>
      <c r="O48" s="25"/>
      <c r="P48" s="32">
        <f>+P44-P46</f>
        <v>-10096.029999999999</v>
      </c>
      <c r="Q48" s="13"/>
      <c r="R48" s="31">
        <f>IF(P$12=0,0,P48/P$12)</f>
        <v>0</v>
      </c>
      <c r="S48" s="13"/>
      <c r="T48" s="32">
        <f>+T44-T46</f>
        <v>-4116</v>
      </c>
      <c r="U48" s="13"/>
      <c r="V48" s="31">
        <f>IF(T$12=0,0,T48/T$12)</f>
        <v>0</v>
      </c>
      <c r="W48" s="15"/>
      <c r="X48" s="32">
        <f>P48-T48</f>
        <v>-5980.0299999999988</v>
      </c>
      <c r="Y48" s="15"/>
      <c r="Z48" s="31">
        <f>IF(T48=0,0,X48/T48)</f>
        <v>1.4528741496598636</v>
      </c>
    </row>
    <row r="49" spans="1:26" ht="15" thickTop="1" x14ac:dyDescent="0.3">
      <c r="A49" s="9"/>
      <c r="B49" s="9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x14ac:dyDescent="0.3">
      <c r="A50" s="9"/>
      <c r="B50" s="9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ht="15" thickBot="1" x14ac:dyDescent="0.35">
      <c r="A51" s="10"/>
      <c r="B51" s="26" t="s">
        <v>294</v>
      </c>
      <c r="C51" s="26"/>
      <c r="D51" s="34">
        <f>SUM(D48:D50)</f>
        <v>-4783.3500000000004</v>
      </c>
      <c r="E51" s="13"/>
      <c r="F51" s="35">
        <f>IF(D$12=0,0,D51/D$12)</f>
        <v>0</v>
      </c>
      <c r="G51" s="13"/>
      <c r="H51" s="34">
        <f>SUM(H48:H50)</f>
        <v>-588</v>
      </c>
      <c r="I51" s="13"/>
      <c r="J51" s="35">
        <f>IF(H$12=0,0,H51/H$12)</f>
        <v>0</v>
      </c>
      <c r="K51" s="15"/>
      <c r="L51" s="34">
        <f>+D51-H51</f>
        <v>-4195.3500000000004</v>
      </c>
      <c r="M51" s="15"/>
      <c r="N51" s="35">
        <f>IF(H51=0,0,L51/H51)</f>
        <v>7.1349489795918375</v>
      </c>
      <c r="O51" s="25"/>
      <c r="P51" s="34">
        <f>SUM(P48:P50)</f>
        <v>-10096.029999999999</v>
      </c>
      <c r="Q51" s="13"/>
      <c r="R51" s="35">
        <f>IF(P$12=0,0,P51/P$12)</f>
        <v>0</v>
      </c>
      <c r="S51" s="13"/>
      <c r="T51" s="34">
        <f>SUM(T48:T50)</f>
        <v>-4116</v>
      </c>
      <c r="U51" s="13"/>
      <c r="V51" s="35">
        <f>IF(T$12=0,0,T51/T$12)</f>
        <v>0</v>
      </c>
      <c r="W51" s="15"/>
      <c r="X51" s="34">
        <f>+P51-T51</f>
        <v>-5980.0299999999988</v>
      </c>
      <c r="Y51" s="15"/>
      <c r="Z51" s="35">
        <f>IF(T51=0,0,X51/T51)</f>
        <v>1.4528741496598636</v>
      </c>
    </row>
    <row r="52" spans="1:26" ht="15" thickTop="1" x14ac:dyDescent="0.3">
      <c r="A52" s="9"/>
      <c r="C52" s="9"/>
      <c r="D52" s="17"/>
      <c r="E52" s="17"/>
      <c r="G52" s="17"/>
      <c r="H52" s="17"/>
      <c r="I52" s="17"/>
      <c r="J52" s="43"/>
      <c r="K52" s="17"/>
      <c r="L52" s="17"/>
      <c r="M52" s="17"/>
      <c r="P52" s="17"/>
      <c r="Q52" s="17"/>
      <c r="R52" s="43"/>
      <c r="S52" s="17"/>
      <c r="T52" s="17"/>
      <c r="U52" s="17"/>
      <c r="V52" s="43"/>
      <c r="W52" s="17"/>
      <c r="X52" s="17"/>
    </row>
    <row r="53" spans="1:26" x14ac:dyDescent="0.3">
      <c r="A53" s="9"/>
      <c r="B53" s="53">
        <v>44604.019995405091</v>
      </c>
      <c r="D53" s="17"/>
      <c r="E53" s="17"/>
      <c r="G53" s="17"/>
      <c r="H53" s="17"/>
      <c r="I53" s="17"/>
      <c r="J53" s="43"/>
      <c r="K53" s="17"/>
      <c r="L53" s="17"/>
      <c r="M53" s="17"/>
      <c r="P53" s="17"/>
      <c r="Q53" s="17"/>
      <c r="R53" s="43"/>
      <c r="S53" s="17"/>
      <c r="T53" s="17"/>
      <c r="U53" s="17"/>
      <c r="V53" s="43"/>
      <c r="W53" s="17"/>
      <c r="X53" s="17"/>
    </row>
    <row r="54" spans="1:26" x14ac:dyDescent="0.3">
      <c r="A54" s="9"/>
      <c r="B54" s="63" t="s">
        <v>56</v>
      </c>
      <c r="D54" s="17"/>
      <c r="E54" s="17"/>
      <c r="G54" s="17"/>
      <c r="H54" s="17"/>
      <c r="I54" s="17"/>
      <c r="J54" s="43"/>
      <c r="K54" s="17"/>
      <c r="L54" s="17"/>
      <c r="M54" s="17"/>
      <c r="P54" s="17"/>
      <c r="Q54" s="17"/>
      <c r="R54" s="43"/>
      <c r="S54" s="17"/>
      <c r="T54" s="17"/>
      <c r="U54" s="17"/>
      <c r="V54" s="43"/>
      <c r="W54" s="17"/>
      <c r="X54" s="17"/>
    </row>
    <row r="55" spans="1:26" x14ac:dyDescent="0.3">
      <c r="A55" s="9"/>
      <c r="B55" s="58"/>
      <c r="D55" s="17"/>
      <c r="E55" s="17"/>
      <c r="G55" s="17"/>
      <c r="H55" s="17"/>
      <c r="I55" s="17"/>
      <c r="J55" s="43"/>
      <c r="K55" s="17"/>
      <c r="L55" s="17"/>
      <c r="M55" s="17"/>
      <c r="P55" s="17"/>
      <c r="Q55" s="17"/>
      <c r="R55" s="43"/>
      <c r="S55" s="17"/>
      <c r="T55" s="17"/>
      <c r="U55" s="17"/>
      <c r="V55" s="43"/>
      <c r="W55" s="17"/>
      <c r="X55" s="17"/>
    </row>
    <row r="56" spans="1:26" x14ac:dyDescent="0.3">
      <c r="D56" s="17"/>
      <c r="E56" s="17"/>
      <c r="G56" s="17"/>
      <c r="H56" s="17"/>
      <c r="I56" s="17"/>
      <c r="J56" s="43"/>
      <c r="K56" s="17"/>
      <c r="L56" s="17"/>
      <c r="M56" s="17"/>
      <c r="P56" s="17"/>
      <c r="Q56" s="17"/>
      <c r="R56" s="43"/>
      <c r="S56" s="17"/>
      <c r="T56" s="17"/>
      <c r="U56" s="17"/>
      <c r="V56" s="43"/>
      <c r="W56" s="17"/>
      <c r="X56" s="17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92D050"/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","321", " - ", "Corner Market")</f>
        <v>Department 321 - Corner Market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10539</v>
      </c>
      <c r="I12" s="4"/>
      <c r="J12" s="12"/>
      <c r="K12" s="4"/>
      <c r="L12" s="4">
        <f t="shared" ref="L12:L14" si="0">+D12-H12</f>
        <v>-10539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58001</v>
      </c>
      <c r="U12" s="4"/>
      <c r="V12" s="12"/>
      <c r="W12" s="4"/>
      <c r="X12" s="4">
        <f t="shared" ref="X12:X14" si="2">+P12-T12</f>
        <v>-58001</v>
      </c>
      <c r="Y12" s="4"/>
      <c r="Z12" s="12">
        <f t="shared" ref="Z12:Z14" si="3">IF(T12=0,0,X12/T12)</f>
        <v>-1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2447</v>
      </c>
      <c r="I13" s="2"/>
      <c r="J13" s="19"/>
      <c r="K13" s="2"/>
      <c r="L13" s="2">
        <f t="shared" si="0"/>
        <v>-2447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v>13468</v>
      </c>
      <c r="U13" s="2"/>
      <c r="V13" s="19"/>
      <c r="W13" s="2"/>
      <c r="X13" s="2">
        <f t="shared" si="2"/>
        <v>-13468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8092</v>
      </c>
      <c r="I14" s="2"/>
      <c r="J14" s="19"/>
      <c r="K14" s="2"/>
      <c r="L14" s="2">
        <f t="shared" si="0"/>
        <v>-8092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v>44533</v>
      </c>
      <c r="U14" s="2"/>
      <c r="V14" s="19"/>
      <c r="W14" s="2"/>
      <c r="X14" s="2">
        <f t="shared" si="2"/>
        <v>-44533</v>
      </c>
      <c r="Y14" s="2"/>
      <c r="Z14" s="19">
        <f t="shared" si="3"/>
        <v>-1</v>
      </c>
    </row>
    <row r="15" spans="1:26" x14ac:dyDescent="0.3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">
      <c r="A16" s="10"/>
      <c r="B16" s="25" t="s">
        <v>257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5164</v>
      </c>
      <c r="I16" s="4"/>
      <c r="J16" s="12">
        <f t="shared" ref="J16:J18" si="7">IF(H$12=0,0,H16/H$12)</f>
        <v>0.48998956257709458</v>
      </c>
      <c r="K16" s="4"/>
      <c r="L16" s="4">
        <f t="shared" ref="L16:L18" si="8">+D16-H16</f>
        <v>-5164</v>
      </c>
      <c r="M16" s="4"/>
      <c r="N16" s="12">
        <f t="shared" ref="N16:N18" si="9">IF(H16=0,0,L16/H16)</f>
        <v>-1</v>
      </c>
      <c r="O16" s="10"/>
      <c r="P16" s="4">
        <f>SUM(OSRRefP16x_0)</f>
        <v>8639</v>
      </c>
      <c r="Q16" s="4"/>
      <c r="R16" s="12">
        <f t="shared" ref="R16:R18" si="10">IF(P$12=0,0,P16/P$12)</f>
        <v>0</v>
      </c>
      <c r="S16" s="4"/>
      <c r="T16" s="4">
        <f>SUM(OSRRefT16x_0)</f>
        <v>28420</v>
      </c>
      <c r="U16" s="4"/>
      <c r="V16" s="12">
        <f t="shared" ref="V16:V18" si="11">IF(T$12=0,0,T16/T$12)</f>
        <v>0.48999155186979537</v>
      </c>
      <c r="W16" s="4"/>
      <c r="X16" s="4">
        <f t="shared" ref="X16:X18" si="12">+P16-T16</f>
        <v>-19781</v>
      </c>
      <c r="Y16" s="4"/>
      <c r="Z16" s="12">
        <f t="shared" ref="Z16:Z18" si="13">IF(T16=0,0,X16/T16)</f>
        <v>-0.69602392681210412</v>
      </c>
    </row>
    <row r="17" spans="1:26" s="24" customFormat="1" hidden="1" outlineLevel="1" x14ac:dyDescent="0.3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6"/>
        <v>0</v>
      </c>
      <c r="G17" s="2"/>
      <c r="H17" s="2">
        <v>5164</v>
      </c>
      <c r="I17" s="2"/>
      <c r="J17" s="19">
        <f t="shared" si="7"/>
        <v>0.48998956257709458</v>
      </c>
      <c r="K17" s="2"/>
      <c r="L17" s="2">
        <f t="shared" si="8"/>
        <v>-5164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28420</v>
      </c>
      <c r="U17" s="2"/>
      <c r="V17" s="19">
        <f t="shared" si="11"/>
        <v>0.48999155186979537</v>
      </c>
      <c r="W17" s="2"/>
      <c r="X17" s="2">
        <f t="shared" si="12"/>
        <v>-28420</v>
      </c>
      <c r="Y17" s="2"/>
      <c r="Z17" s="19">
        <f t="shared" si="13"/>
        <v>-1</v>
      </c>
    </row>
    <row r="18" spans="1:26" s="24" customFormat="1" hidden="1" outlineLevel="1" x14ac:dyDescent="0.3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/>
      <c r="I18" s="2"/>
      <c r="J18" s="19">
        <f t="shared" si="7"/>
        <v>0</v>
      </c>
      <c r="K18" s="2"/>
      <c r="L18" s="2">
        <f t="shared" si="8"/>
        <v>0</v>
      </c>
      <c r="M18" s="2"/>
      <c r="N18" s="19">
        <f t="shared" si="9"/>
        <v>0</v>
      </c>
      <c r="O18" s="11"/>
      <c r="P18" s="2">
        <v>8639</v>
      </c>
      <c r="Q18" s="2"/>
      <c r="R18" s="19">
        <f t="shared" si="10"/>
        <v>0</v>
      </c>
      <c r="S18" s="2"/>
      <c r="T18" s="2"/>
      <c r="U18" s="2"/>
      <c r="V18" s="19">
        <f t="shared" si="11"/>
        <v>0</v>
      </c>
      <c r="W18" s="2"/>
      <c r="X18" s="2">
        <f t="shared" si="12"/>
        <v>8639</v>
      </c>
      <c r="Y18" s="2"/>
      <c r="Z18" s="19">
        <f t="shared" si="13"/>
        <v>0</v>
      </c>
    </row>
    <row r="19" spans="1:26" x14ac:dyDescent="0.3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">
      <c r="A20" s="10"/>
      <c r="B20" s="26" t="s">
        <v>108</v>
      </c>
      <c r="C20" s="26"/>
      <c r="D20" s="21">
        <f>D12-D16</f>
        <v>0</v>
      </c>
      <c r="E20" s="13"/>
      <c r="F20" s="22">
        <f>IF(D$12=0,0,D20/D$12)</f>
        <v>0</v>
      </c>
      <c r="G20" s="13"/>
      <c r="H20" s="21">
        <f>H12-H16</f>
        <v>5375</v>
      </c>
      <c r="I20" s="13"/>
      <c r="J20" s="22">
        <f>IF(H$12=0,0,H20/H$12)</f>
        <v>0.51001043742290542</v>
      </c>
      <c r="K20" s="15"/>
      <c r="L20" s="21">
        <f>+D20-H20</f>
        <v>-5375</v>
      </c>
      <c r="M20" s="15"/>
      <c r="N20" s="22">
        <f>IF(H20=0,0,L20/H20)</f>
        <v>-1</v>
      </c>
      <c r="O20" s="25"/>
      <c r="P20" s="21">
        <f>P12-P16</f>
        <v>-8639</v>
      </c>
      <c r="Q20" s="13"/>
      <c r="R20" s="22">
        <f>IF(P$12=0,0,P20/P$12)</f>
        <v>0</v>
      </c>
      <c r="S20" s="13"/>
      <c r="T20" s="21">
        <f>T12-T16</f>
        <v>29581</v>
      </c>
      <c r="U20" s="13"/>
      <c r="V20" s="22">
        <f>IF(T$12=0,0,T20/T$12)</f>
        <v>0.51000844813020463</v>
      </c>
      <c r="W20" s="15"/>
      <c r="X20" s="21">
        <f>+P20-T20</f>
        <v>-38220</v>
      </c>
      <c r="Y20" s="15"/>
      <c r="Z20" s="22">
        <f>IF(T20=0,0,X20/T20)</f>
        <v>-1.2920455697914202</v>
      </c>
    </row>
    <row r="21" spans="1:26" x14ac:dyDescent="0.3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5" t="s">
        <v>295</v>
      </c>
      <c r="C22" s="10"/>
      <c r="D22" s="20">
        <f>SUM(OSRRefD22x_0)</f>
        <v>7377.6</v>
      </c>
      <c r="E22" s="20"/>
      <c r="F22" s="33">
        <f t="shared" ref="F22:F33" si="14">IF(D$12=0,0,D22/D$12)</f>
        <v>0</v>
      </c>
      <c r="G22" s="20"/>
      <c r="H22" s="20">
        <f>SUM(OSRRefH22x_0)</f>
        <v>7444.6191252500003</v>
      </c>
      <c r="I22" s="20"/>
      <c r="J22" s="33">
        <f t="shared" ref="J22:J33" si="15">IF(H$12=0,0,H22/H$12)</f>
        <v>0.7063876198168707</v>
      </c>
      <c r="K22" s="4"/>
      <c r="L22" s="20">
        <f t="shared" ref="L22:L33" si="16">+D22-H22</f>
        <v>-67.019125249999888</v>
      </c>
      <c r="M22" s="4"/>
      <c r="N22" s="33">
        <f t="shared" ref="N22:N33" si="17">IF(H22=0,0,L22/H22)</f>
        <v>-9.0023578268350023E-3</v>
      </c>
      <c r="O22" s="10"/>
      <c r="P22" s="20">
        <f>SUM(OSRRefP22x_0)</f>
        <v>19969.330000000002</v>
      </c>
      <c r="Q22" s="20"/>
      <c r="R22" s="33">
        <f t="shared" ref="R22:R33" si="18">IF(P$12=0,0,P22/P$12)</f>
        <v>0</v>
      </c>
      <c r="S22" s="20"/>
      <c r="T22" s="20">
        <f>SUM(OSRRefT22x_0)</f>
        <v>48197.495575250003</v>
      </c>
      <c r="U22" s="20"/>
      <c r="V22" s="33">
        <f t="shared" ref="V22:V33" si="19">IF(T$12=0,0,T22/T$12)</f>
        <v>0.83097697583231334</v>
      </c>
      <c r="W22" s="4"/>
      <c r="X22" s="20">
        <f t="shared" ref="X22:X33" si="20">+P22-T22</f>
        <v>-28228.165575250001</v>
      </c>
      <c r="Y22" s="4"/>
      <c r="Z22" s="33">
        <f t="shared" ref="Z22:Z33" si="21">IF(T22=0,0,X22/T22)</f>
        <v>-0.58567701990195331</v>
      </c>
    </row>
    <row r="23" spans="1:26" s="28" customFormat="1" outlineLevel="1" collapsed="1" x14ac:dyDescent="0.3">
      <c r="A23" s="29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2447.38</v>
      </c>
      <c r="E23" s="1"/>
      <c r="F23" s="5">
        <f t="shared" si="14"/>
        <v>0</v>
      </c>
      <c r="G23" s="1"/>
      <c r="H23" s="1">
        <f>SUM(OSRRefH22_0x_0)</f>
        <v>375.91087525</v>
      </c>
      <c r="I23" s="1"/>
      <c r="J23" s="5">
        <f t="shared" si="15"/>
        <v>3.5668552542935765E-2</v>
      </c>
      <c r="K23" s="1"/>
      <c r="L23" s="1">
        <f t="shared" si="16"/>
        <v>2071.46912475</v>
      </c>
      <c r="M23" s="1"/>
      <c r="N23" s="5">
        <f t="shared" si="17"/>
        <v>5.5105325786926667</v>
      </c>
      <c r="O23" s="14"/>
      <c r="P23" s="1">
        <f>SUM(OSRRefP22_0x_0)</f>
        <v>3634.2799999999997</v>
      </c>
      <c r="Q23" s="1"/>
      <c r="R23" s="5">
        <f t="shared" si="18"/>
        <v>0</v>
      </c>
      <c r="S23" s="1"/>
      <c r="T23" s="1">
        <f>SUM(OSRRefT22_0x_0)</f>
        <v>2614.9273252500002</v>
      </c>
      <c r="U23" s="1"/>
      <c r="V23" s="5">
        <f t="shared" si="19"/>
        <v>4.5084176570231553E-2</v>
      </c>
      <c r="W23" s="1"/>
      <c r="X23" s="1">
        <f t="shared" si="20"/>
        <v>1019.3526747499996</v>
      </c>
      <c r="Y23" s="1"/>
      <c r="Z23" s="5">
        <f t="shared" si="21"/>
        <v>0.38982065195733284</v>
      </c>
    </row>
    <row r="24" spans="1:26" s="24" customFormat="1" hidden="1" outlineLevel="2" x14ac:dyDescent="0.3">
      <c r="A24" s="27"/>
      <c r="B24" s="11" t="str">
        <f>CONCATENATE("          ", "6111", " - ", "F.I.C.A.")</f>
        <v xml:space="preserve">          6111 - F.I.C.A.</v>
      </c>
      <c r="C24" s="11"/>
      <c r="D24" s="7">
        <v>323.83</v>
      </c>
      <c r="E24" s="2"/>
      <c r="F24" s="6">
        <f t="shared" si="14"/>
        <v>0</v>
      </c>
      <c r="G24" s="2"/>
      <c r="H24" s="7">
        <v>108.70512524999999</v>
      </c>
      <c r="I24" s="2"/>
      <c r="J24" s="6">
        <f t="shared" si="15"/>
        <v>1.0314557856532878E-2</v>
      </c>
      <c r="K24" s="2"/>
      <c r="L24" s="7">
        <f t="shared" si="16"/>
        <v>215.12487475</v>
      </c>
      <c r="M24" s="2"/>
      <c r="N24" s="6">
        <f t="shared" si="17"/>
        <v>1.978976375357242</v>
      </c>
      <c r="O24" s="11"/>
      <c r="P24" s="7">
        <v>601.97</v>
      </c>
      <c r="Q24" s="2"/>
      <c r="R24" s="6">
        <f t="shared" si="18"/>
        <v>0</v>
      </c>
      <c r="S24" s="2"/>
      <c r="T24" s="7">
        <v>833.06157525000003</v>
      </c>
      <c r="U24" s="2"/>
      <c r="V24" s="6">
        <f t="shared" si="19"/>
        <v>1.4362882971845313E-2</v>
      </c>
      <c r="W24" s="2"/>
      <c r="X24" s="7">
        <f t="shared" si="20"/>
        <v>-231.09157525000001</v>
      </c>
      <c r="Y24" s="2"/>
      <c r="Z24" s="6">
        <f t="shared" si="21"/>
        <v>-0.27740035324597695</v>
      </c>
    </row>
    <row r="25" spans="1:26" s="24" customFormat="1" hidden="1" outlineLevel="2" x14ac:dyDescent="0.3">
      <c r="A25" s="27"/>
      <c r="B25" s="11" t="str">
        <f>CONCATENATE("          ", "6112", " - ", "COMPENSATION INSURANCE")</f>
        <v xml:space="preserve">          6112 - COMPENSATION INSURANCE</v>
      </c>
      <c r="C25" s="11"/>
      <c r="D25" s="7">
        <v>62.65</v>
      </c>
      <c r="E25" s="2"/>
      <c r="F25" s="6">
        <f t="shared" si="14"/>
        <v>0</v>
      </c>
      <c r="G25" s="2"/>
      <c r="H25" s="7">
        <v>144.67282750000001</v>
      </c>
      <c r="I25" s="2"/>
      <c r="J25" s="6">
        <f t="shared" si="15"/>
        <v>1.3727377123066705E-2</v>
      </c>
      <c r="K25" s="2"/>
      <c r="L25" s="7">
        <f t="shared" si="16"/>
        <v>-82.022827500000005</v>
      </c>
      <c r="M25" s="2"/>
      <c r="N25" s="6">
        <f t="shared" si="17"/>
        <v>-0.56695392574669901</v>
      </c>
      <c r="O25" s="11"/>
      <c r="P25" s="7">
        <v>124.92</v>
      </c>
      <c r="Q25" s="2"/>
      <c r="R25" s="6">
        <f t="shared" si="18"/>
        <v>0</v>
      </c>
      <c r="S25" s="2"/>
      <c r="T25" s="7">
        <v>964.75302750000003</v>
      </c>
      <c r="U25" s="2"/>
      <c r="V25" s="6">
        <f t="shared" si="19"/>
        <v>1.6633386105411978E-2</v>
      </c>
      <c r="W25" s="2"/>
      <c r="X25" s="7">
        <f t="shared" si="20"/>
        <v>-839.83302750000007</v>
      </c>
      <c r="Y25" s="2"/>
      <c r="Z25" s="6">
        <f t="shared" si="21"/>
        <v>-0.87051608397258962</v>
      </c>
    </row>
    <row r="26" spans="1:26" s="24" customFormat="1" hidden="1" outlineLevel="2" x14ac:dyDescent="0.3">
      <c r="A26" s="27"/>
      <c r="B26" s="11" t="str">
        <f>CONCATENATE("          ", "6113", " - ", "GROUP INSURANCE")</f>
        <v xml:space="preserve">          6113 - GROUP INSURANCE</v>
      </c>
      <c r="C26" s="11"/>
      <c r="D26" s="7">
        <v>1284.4100000000001</v>
      </c>
      <c r="E26" s="2"/>
      <c r="F26" s="6">
        <f t="shared" si="14"/>
        <v>0</v>
      </c>
      <c r="G26" s="2"/>
      <c r="H26" s="7">
        <v>0</v>
      </c>
      <c r="I26" s="2"/>
      <c r="J26" s="6">
        <f t="shared" si="15"/>
        <v>0</v>
      </c>
      <c r="K26" s="2"/>
      <c r="L26" s="7">
        <f t="shared" si="16"/>
        <v>1284.4100000000001</v>
      </c>
      <c r="M26" s="2"/>
      <c r="N26" s="6">
        <f t="shared" si="17"/>
        <v>0</v>
      </c>
      <c r="O26" s="11"/>
      <c r="P26" s="7">
        <v>1318.22</v>
      </c>
      <c r="Q26" s="2"/>
      <c r="R26" s="6">
        <f t="shared" si="18"/>
        <v>0</v>
      </c>
      <c r="S26" s="2"/>
      <c r="T26" s="7">
        <v>0</v>
      </c>
      <c r="U26" s="2"/>
      <c r="V26" s="6">
        <f t="shared" si="19"/>
        <v>0</v>
      </c>
      <c r="W26" s="2"/>
      <c r="X26" s="7">
        <f t="shared" si="20"/>
        <v>1318.22</v>
      </c>
      <c r="Y26" s="2"/>
      <c r="Z26" s="6">
        <f t="shared" si="21"/>
        <v>0</v>
      </c>
    </row>
    <row r="27" spans="1:26" s="24" customFormat="1" hidden="1" outlineLevel="2" x14ac:dyDescent="0.3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>
        <v>11.01</v>
      </c>
      <c r="E27" s="2"/>
      <c r="F27" s="6">
        <f t="shared" si="14"/>
        <v>0</v>
      </c>
      <c r="G27" s="2"/>
      <c r="H27" s="7">
        <v>8.0161724999999997</v>
      </c>
      <c r="I27" s="2"/>
      <c r="J27" s="6">
        <f t="shared" si="15"/>
        <v>7.6061984059208653E-4</v>
      </c>
      <c r="K27" s="2"/>
      <c r="L27" s="7">
        <f t="shared" si="16"/>
        <v>2.9938275000000001</v>
      </c>
      <c r="M27" s="2"/>
      <c r="N27" s="6">
        <f t="shared" si="17"/>
        <v>0.37347343760379409</v>
      </c>
      <c r="O27" s="11"/>
      <c r="P27" s="7">
        <v>20.21</v>
      </c>
      <c r="Q27" s="2"/>
      <c r="R27" s="6">
        <f t="shared" si="18"/>
        <v>0</v>
      </c>
      <c r="S27" s="2"/>
      <c r="T27" s="7">
        <v>53.455972500000001</v>
      </c>
      <c r="U27" s="2"/>
      <c r="V27" s="6">
        <f t="shared" si="19"/>
        <v>9.2163880795158705E-4</v>
      </c>
      <c r="W27" s="2"/>
      <c r="X27" s="7">
        <f t="shared" si="20"/>
        <v>-33.245972500000001</v>
      </c>
      <c r="Y27" s="2"/>
      <c r="Z27" s="6">
        <f t="shared" si="21"/>
        <v>-0.62193186177653015</v>
      </c>
    </row>
    <row r="28" spans="1:26" s="24" customFormat="1" hidden="1" outlineLevel="2" x14ac:dyDescent="0.3">
      <c r="A28" s="27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0</v>
      </c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0</v>
      </c>
      <c r="U28" s="2"/>
      <c r="V28" s="6">
        <f t="shared" si="19"/>
        <v>0</v>
      </c>
      <c r="W28" s="2"/>
      <c r="X28" s="7">
        <f t="shared" si="20"/>
        <v>0</v>
      </c>
      <c r="Y28" s="2"/>
      <c r="Z28" s="6">
        <f t="shared" si="21"/>
        <v>0</v>
      </c>
    </row>
    <row r="29" spans="1:26" s="24" customFormat="1" hidden="1" outlineLevel="2" x14ac:dyDescent="0.3">
      <c r="A29" s="27"/>
      <c r="B29" s="11" t="str">
        <f>CONCATENATE("          ", "6116", " - ", "EDUCATIONAL BENEFITS")</f>
        <v xml:space="preserve">          6116 - EDUCATIONAL BENEFITS</v>
      </c>
      <c r="C29" s="11"/>
      <c r="D29" s="7"/>
      <c r="E29" s="2"/>
      <c r="F29" s="6">
        <f t="shared" si="14"/>
        <v>0</v>
      </c>
      <c r="G29" s="2"/>
      <c r="H29" s="7">
        <v>0</v>
      </c>
      <c r="I29" s="2"/>
      <c r="J29" s="6">
        <f t="shared" si="15"/>
        <v>0</v>
      </c>
      <c r="K29" s="2"/>
      <c r="L29" s="7">
        <f t="shared" si="16"/>
        <v>0</v>
      </c>
      <c r="M29" s="2"/>
      <c r="N29" s="6">
        <f t="shared" si="17"/>
        <v>0</v>
      </c>
      <c r="O29" s="11"/>
      <c r="P29" s="7"/>
      <c r="Q29" s="2"/>
      <c r="R29" s="6">
        <f t="shared" si="18"/>
        <v>0</v>
      </c>
      <c r="S29" s="2"/>
      <c r="T29" s="7">
        <v>0</v>
      </c>
      <c r="U29" s="2"/>
      <c r="V29" s="6">
        <f t="shared" si="19"/>
        <v>0</v>
      </c>
      <c r="W29" s="2"/>
      <c r="X29" s="7">
        <f t="shared" si="20"/>
        <v>0</v>
      </c>
      <c r="Y29" s="2"/>
      <c r="Z29" s="6">
        <f t="shared" si="21"/>
        <v>0</v>
      </c>
    </row>
    <row r="30" spans="1:26" s="24" customFormat="1" hidden="1" outlineLevel="2" x14ac:dyDescent="0.3">
      <c r="A30" s="27"/>
      <c r="B30" s="11" t="str">
        <f>CONCATENATE("          ", "6117", " - ", "RETIREMENT STAFF HOURLY")</f>
        <v xml:space="preserve">          6117 - RETIREMENT STAFF HOURLY</v>
      </c>
      <c r="C30" s="11"/>
      <c r="D30" s="7">
        <v>211.66</v>
      </c>
      <c r="E30" s="2"/>
      <c r="F30" s="6">
        <f t="shared" si="14"/>
        <v>0</v>
      </c>
      <c r="G30" s="2"/>
      <c r="H30" s="7"/>
      <c r="I30" s="2"/>
      <c r="J30" s="6">
        <f t="shared" si="15"/>
        <v>0</v>
      </c>
      <c r="K30" s="2"/>
      <c r="L30" s="7">
        <f t="shared" si="16"/>
        <v>211.66</v>
      </c>
      <c r="M30" s="2"/>
      <c r="N30" s="6">
        <f t="shared" si="17"/>
        <v>0</v>
      </c>
      <c r="O30" s="11"/>
      <c r="P30" s="7">
        <v>211.66</v>
      </c>
      <c r="Q30" s="2"/>
      <c r="R30" s="6">
        <f t="shared" si="18"/>
        <v>0</v>
      </c>
      <c r="S30" s="2"/>
      <c r="T30" s="7"/>
      <c r="U30" s="2"/>
      <c r="V30" s="6">
        <f t="shared" si="19"/>
        <v>0</v>
      </c>
      <c r="W30" s="2"/>
      <c r="X30" s="7">
        <f t="shared" si="20"/>
        <v>211.66</v>
      </c>
      <c r="Y30" s="2"/>
      <c r="Z30" s="6">
        <f t="shared" si="21"/>
        <v>0</v>
      </c>
    </row>
    <row r="31" spans="1:26" s="24" customFormat="1" hidden="1" outlineLevel="2" x14ac:dyDescent="0.3">
      <c r="A31" s="27"/>
      <c r="B31" s="11" t="str">
        <f>CONCATENATE("          ", "6118", " - ", "VACATION")</f>
        <v xml:space="preserve">          6118 - VACATION</v>
      </c>
      <c r="C31" s="11"/>
      <c r="D31" s="7">
        <v>163.24</v>
      </c>
      <c r="E31" s="2"/>
      <c r="F31" s="6">
        <f t="shared" si="14"/>
        <v>0</v>
      </c>
      <c r="G31" s="2"/>
      <c r="H31" s="7">
        <v>0</v>
      </c>
      <c r="I31" s="2"/>
      <c r="J31" s="6">
        <f t="shared" si="15"/>
        <v>0</v>
      </c>
      <c r="K31" s="2"/>
      <c r="L31" s="7">
        <f t="shared" si="16"/>
        <v>163.24</v>
      </c>
      <c r="M31" s="2"/>
      <c r="N31" s="6">
        <f t="shared" si="17"/>
        <v>0</v>
      </c>
      <c r="O31" s="11"/>
      <c r="P31" s="7">
        <v>408.1</v>
      </c>
      <c r="Q31" s="2"/>
      <c r="R31" s="6">
        <f t="shared" si="18"/>
        <v>0</v>
      </c>
      <c r="S31" s="2"/>
      <c r="T31" s="7">
        <v>0</v>
      </c>
      <c r="U31" s="2"/>
      <c r="V31" s="6">
        <f t="shared" si="19"/>
        <v>0</v>
      </c>
      <c r="W31" s="2"/>
      <c r="X31" s="7">
        <f t="shared" si="20"/>
        <v>408.1</v>
      </c>
      <c r="Y31" s="2"/>
      <c r="Z31" s="6">
        <f t="shared" si="21"/>
        <v>0</v>
      </c>
    </row>
    <row r="32" spans="1:26" s="24" customFormat="1" hidden="1" outlineLevel="2" x14ac:dyDescent="0.3">
      <c r="A32" s="27"/>
      <c r="B32" s="11" t="str">
        <f>CONCATENATE("          ", "6119", " - ", "SICK LEAVE")</f>
        <v xml:space="preserve">          6119 - SICK LEAVE</v>
      </c>
      <c r="C32" s="11"/>
      <c r="D32" s="7">
        <v>195.58</v>
      </c>
      <c r="E32" s="2"/>
      <c r="F32" s="6">
        <f t="shared" si="14"/>
        <v>0</v>
      </c>
      <c r="G32" s="2"/>
      <c r="H32" s="7">
        <v>114.51675</v>
      </c>
      <c r="I32" s="2"/>
      <c r="J32" s="6">
        <f t="shared" si="15"/>
        <v>1.0865997722744094E-2</v>
      </c>
      <c r="K32" s="2"/>
      <c r="L32" s="7">
        <f t="shared" si="16"/>
        <v>81.063250000000011</v>
      </c>
      <c r="M32" s="2"/>
      <c r="N32" s="6">
        <f t="shared" si="17"/>
        <v>0.70787242914246173</v>
      </c>
      <c r="O32" s="11"/>
      <c r="P32" s="7">
        <v>488.95</v>
      </c>
      <c r="Q32" s="2"/>
      <c r="R32" s="6">
        <f t="shared" si="18"/>
        <v>0</v>
      </c>
      <c r="S32" s="2"/>
      <c r="T32" s="7">
        <v>763.65674999999999</v>
      </c>
      <c r="U32" s="2"/>
      <c r="V32" s="6">
        <f t="shared" si="19"/>
        <v>1.3166268685022672E-2</v>
      </c>
      <c r="W32" s="2"/>
      <c r="X32" s="7">
        <f t="shared" si="20"/>
        <v>-274.70675</v>
      </c>
      <c r="Y32" s="2"/>
      <c r="Z32" s="6">
        <f t="shared" si="21"/>
        <v>-0.35972542637775412</v>
      </c>
    </row>
    <row r="33" spans="1:26" s="24" customFormat="1" hidden="1" outlineLevel="2" x14ac:dyDescent="0.3">
      <c r="A33" s="27"/>
      <c r="B33" s="11" t="str">
        <f>CONCATENATE("          ", "6156", " - ", "EMPLOYEE MEALS")</f>
        <v xml:space="preserve">          6156 - EMPLOYEE MEALS</v>
      </c>
      <c r="C33" s="11"/>
      <c r="D33" s="7">
        <v>195</v>
      </c>
      <c r="E33" s="2"/>
      <c r="F33" s="6">
        <f t="shared" si="14"/>
        <v>0</v>
      </c>
      <c r="G33" s="2"/>
      <c r="H33" s="7"/>
      <c r="I33" s="2"/>
      <c r="J33" s="6">
        <f t="shared" si="15"/>
        <v>0</v>
      </c>
      <c r="K33" s="2"/>
      <c r="L33" s="7">
        <f t="shared" si="16"/>
        <v>195</v>
      </c>
      <c r="M33" s="2"/>
      <c r="N33" s="6">
        <f t="shared" si="17"/>
        <v>0</v>
      </c>
      <c r="O33" s="11"/>
      <c r="P33" s="7">
        <v>460.25</v>
      </c>
      <c r="Q33" s="2"/>
      <c r="R33" s="6">
        <f t="shared" si="18"/>
        <v>0</v>
      </c>
      <c r="S33" s="2"/>
      <c r="T33" s="7"/>
      <c r="U33" s="2"/>
      <c r="V33" s="6">
        <f t="shared" si="19"/>
        <v>0</v>
      </c>
      <c r="W33" s="2"/>
      <c r="X33" s="7">
        <f t="shared" si="20"/>
        <v>460.25</v>
      </c>
      <c r="Y33" s="2"/>
      <c r="Z33" s="6">
        <f t="shared" si="21"/>
        <v>0</v>
      </c>
    </row>
    <row r="34" spans="1:26" s="28" customFormat="1" outlineLevel="1" collapsed="1" x14ac:dyDescent="0.3">
      <c r="A34" s="29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5089.12</v>
      </c>
      <c r="E34" s="1"/>
      <c r="F34" s="5">
        <f t="shared" ref="F34:F44" si="22">IF(D$12=0,0,D34/D$12)</f>
        <v>0</v>
      </c>
      <c r="G34" s="1"/>
      <c r="H34" s="1">
        <f>SUM(OSRRefH22_1x_0)</f>
        <v>3702.7082500000001</v>
      </c>
      <c r="I34" s="1"/>
      <c r="J34" s="5">
        <f t="shared" ref="J34:J44" si="23">IF(H$12=0,0,H34/H$12)</f>
        <v>0.35133392636872568</v>
      </c>
      <c r="K34" s="1"/>
      <c r="L34" s="1">
        <f t="shared" ref="L34:L44" si="24">+D34-H34</f>
        <v>1386.4117499999998</v>
      </c>
      <c r="M34" s="1"/>
      <c r="N34" s="5">
        <f t="shared" ref="N34:N44" si="25">IF(H34=0,0,L34/H34)</f>
        <v>0.37443180947351162</v>
      </c>
      <c r="O34" s="14"/>
      <c r="P34" s="1">
        <f>SUM(OSRRefP22_1x_0)</f>
        <v>8718.23</v>
      </c>
      <c r="Q34" s="1"/>
      <c r="R34" s="5">
        <f t="shared" ref="R34:R44" si="26">IF(P$12=0,0,P34/P$12)</f>
        <v>0</v>
      </c>
      <c r="S34" s="1"/>
      <c r="T34" s="1">
        <f>SUM(OSRRefT22_1x_0)</f>
        <v>24691.56825</v>
      </c>
      <c r="U34" s="1"/>
      <c r="V34" s="5">
        <f t="shared" ref="V34:V44" si="27">IF(T$12=0,0,T34/T$12)</f>
        <v>0.42570935414906641</v>
      </c>
      <c r="W34" s="1"/>
      <c r="X34" s="1">
        <f t="shared" ref="X34:X44" si="28">+P34-T34</f>
        <v>-15973.338250000001</v>
      </c>
      <c r="Y34" s="1"/>
      <c r="Z34" s="5">
        <f t="shared" ref="Z34:Z44" si="29">IF(T34=0,0,X34/T34)</f>
        <v>-0.64691469121245471</v>
      </c>
    </row>
    <row r="35" spans="1:26" s="24" customFormat="1" hidden="1" outlineLevel="2" x14ac:dyDescent="0.3">
      <c r="A35" s="27"/>
      <c r="B35" s="11" t="str">
        <f>CONCATENATE("          ", "6001", " - ", "ADMINISTRATIVE SALARIES")</f>
        <v xml:space="preserve">          6001 - ADMINISTRATIVE SALARIES</v>
      </c>
      <c r="C35" s="11"/>
      <c r="D35" s="7"/>
      <c r="E35" s="2"/>
      <c r="F35" s="6">
        <f t="shared" si="22"/>
        <v>0</v>
      </c>
      <c r="G35" s="2"/>
      <c r="H35" s="7">
        <v>0</v>
      </c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/>
      <c r="Q35" s="2"/>
      <c r="R35" s="6">
        <f t="shared" si="26"/>
        <v>0</v>
      </c>
      <c r="S35" s="2"/>
      <c r="T35" s="7">
        <v>0</v>
      </c>
      <c r="U35" s="2"/>
      <c r="V35" s="6">
        <f t="shared" si="27"/>
        <v>0</v>
      </c>
      <c r="W35" s="2"/>
      <c r="X35" s="7">
        <f t="shared" si="28"/>
        <v>0</v>
      </c>
      <c r="Y35" s="2"/>
      <c r="Z35" s="6">
        <f t="shared" si="29"/>
        <v>0</v>
      </c>
    </row>
    <row r="36" spans="1:26" s="24" customFormat="1" hidden="1" outlineLevel="2" x14ac:dyDescent="0.3">
      <c r="A36" s="27"/>
      <c r="B36" s="11" t="str">
        <f>CONCATENATE("          ", "6002", " - ", "STAFF SALARIES")</f>
        <v xml:space="preserve">          6002 - STAFF SALARIES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3">
      <c r="A37" s="27"/>
      <c r="B37" s="11" t="str">
        <f>CONCATENATE("          ", "6003", " - ", "STAFF HOURLY-9 MONTH")</f>
        <v xml:space="preserve">          6003 - STAFF HOURLY-9 MONTH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0</v>
      </c>
      <c r="Y37" s="2"/>
      <c r="Z37" s="6">
        <f t="shared" si="29"/>
        <v>0</v>
      </c>
    </row>
    <row r="38" spans="1:26" s="24" customFormat="1" hidden="1" outlineLevel="2" x14ac:dyDescent="0.3">
      <c r="A38" s="27"/>
      <c r="B38" s="11" t="str">
        <f>CONCATENATE("          ", "6004", " - ", "STAFF HOURLY")</f>
        <v xml:space="preserve">          6004 - STAFF HOURLY</v>
      </c>
      <c r="C38" s="11"/>
      <c r="D38" s="7">
        <v>4021.12</v>
      </c>
      <c r="E38" s="2"/>
      <c r="F38" s="6">
        <f t="shared" si="22"/>
        <v>0</v>
      </c>
      <c r="G38" s="2"/>
      <c r="H38" s="7">
        <v>1377.8122499999999</v>
      </c>
      <c r="I38" s="2"/>
      <c r="J38" s="6">
        <f t="shared" si="23"/>
        <v>0.13073462852263024</v>
      </c>
      <c r="K38" s="2"/>
      <c r="L38" s="7">
        <f t="shared" si="24"/>
        <v>2643.3077499999999</v>
      </c>
      <c r="M38" s="2"/>
      <c r="N38" s="6">
        <f t="shared" si="25"/>
        <v>1.9184818178238727</v>
      </c>
      <c r="O38" s="11"/>
      <c r="P38" s="7">
        <v>7559.93</v>
      </c>
      <c r="Q38" s="2"/>
      <c r="R38" s="6">
        <f t="shared" si="26"/>
        <v>0</v>
      </c>
      <c r="S38" s="2"/>
      <c r="T38" s="7">
        <v>10558.86225</v>
      </c>
      <c r="U38" s="2"/>
      <c r="V38" s="6">
        <f t="shared" si="27"/>
        <v>0.18204621041016533</v>
      </c>
      <c r="W38" s="2"/>
      <c r="X38" s="7">
        <f t="shared" si="28"/>
        <v>-2998.9322499999998</v>
      </c>
      <c r="Y38" s="2"/>
      <c r="Z38" s="6">
        <f t="shared" si="29"/>
        <v>-0.28402039717868277</v>
      </c>
    </row>
    <row r="39" spans="1:26" s="24" customFormat="1" hidden="1" outlineLevel="2" x14ac:dyDescent="0.3">
      <c r="A39" s="27"/>
      <c r="B39" s="11" t="str">
        <f>CONCATENATE("          ", "6005", " - ", "TEMPORARY WAGES-HOURLY")</f>
        <v xml:space="preserve">          6005 - TEMPORARY WAGES-HOURLY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>
        <v>90.3</v>
      </c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90.3</v>
      </c>
      <c r="Y39" s="2"/>
      <c r="Z39" s="6">
        <f t="shared" si="29"/>
        <v>0</v>
      </c>
    </row>
    <row r="40" spans="1:26" s="24" customFormat="1" hidden="1" outlineLevel="2" x14ac:dyDescent="0.3">
      <c r="A40" s="27"/>
      <c r="B40" s="11" t="str">
        <f>CONCATENATE("          ", "6006", " - ", "TEMPORARY PART TIME")</f>
        <v xml:space="preserve">          6006 - TEMPORARY PART TIME</v>
      </c>
      <c r="C40" s="11"/>
      <c r="D40" s="7"/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/>
      <c r="Q40" s="2"/>
      <c r="R40" s="6">
        <f t="shared" si="26"/>
        <v>0</v>
      </c>
      <c r="S40" s="2"/>
      <c r="T40" s="7">
        <v>0</v>
      </c>
      <c r="U40" s="2"/>
      <c r="V40" s="6">
        <f t="shared" si="27"/>
        <v>0</v>
      </c>
      <c r="W40" s="2"/>
      <c r="X40" s="7">
        <f t="shared" si="28"/>
        <v>0</v>
      </c>
      <c r="Y40" s="2"/>
      <c r="Z40" s="6">
        <f t="shared" si="29"/>
        <v>0</v>
      </c>
    </row>
    <row r="41" spans="1:26" s="24" customFormat="1" hidden="1" outlineLevel="2" x14ac:dyDescent="0.3">
      <c r="A41" s="27"/>
      <c r="B41" s="11" t="str">
        <f>CONCATENATE("          ", "6007", " - ", "STUDENT HOURLY")</f>
        <v xml:space="preserve">          6007 - STUDENT HOURLY</v>
      </c>
      <c r="C41" s="11"/>
      <c r="D41" s="7">
        <v>1068</v>
      </c>
      <c r="E41" s="2"/>
      <c r="F41" s="6">
        <f t="shared" si="22"/>
        <v>0</v>
      </c>
      <c r="G41" s="2"/>
      <c r="H41" s="7">
        <v>0</v>
      </c>
      <c r="I41" s="2"/>
      <c r="J41" s="6">
        <f t="shared" si="23"/>
        <v>0</v>
      </c>
      <c r="K41" s="2"/>
      <c r="L41" s="7">
        <f t="shared" si="24"/>
        <v>1068</v>
      </c>
      <c r="M41" s="2"/>
      <c r="N41" s="6">
        <f t="shared" si="25"/>
        <v>0</v>
      </c>
      <c r="O41" s="11"/>
      <c r="P41" s="7">
        <v>1068</v>
      </c>
      <c r="Q41" s="2"/>
      <c r="R41" s="6">
        <f t="shared" si="26"/>
        <v>0</v>
      </c>
      <c r="S41" s="2"/>
      <c r="T41" s="7">
        <v>0</v>
      </c>
      <c r="U41" s="2"/>
      <c r="V41" s="6">
        <f t="shared" si="27"/>
        <v>0</v>
      </c>
      <c r="W41" s="2"/>
      <c r="X41" s="7">
        <f t="shared" si="28"/>
        <v>1068</v>
      </c>
      <c r="Y41" s="2"/>
      <c r="Z41" s="6">
        <f t="shared" si="29"/>
        <v>0</v>
      </c>
    </row>
    <row r="42" spans="1:26" s="24" customFormat="1" hidden="1" outlineLevel="2" x14ac:dyDescent="0.3">
      <c r="A42" s="27"/>
      <c r="B42" s="11" t="str">
        <f>CONCATENATE("          ", "6008", " - ", "STUDENT HOURLY-FICA EXEMPT")</f>
        <v xml:space="preserve">          6008 - STUDENT HOURLY-FICA EXEMPT</v>
      </c>
      <c r="C42" s="11"/>
      <c r="D42" s="7"/>
      <c r="E42" s="2"/>
      <c r="F42" s="6">
        <f t="shared" si="22"/>
        <v>0</v>
      </c>
      <c r="G42" s="2"/>
      <c r="H42" s="7">
        <v>2324.8960000000002</v>
      </c>
      <c r="I42" s="2"/>
      <c r="J42" s="6">
        <f t="shared" si="23"/>
        <v>0.22059929784609547</v>
      </c>
      <c r="K42" s="2"/>
      <c r="L42" s="7">
        <f t="shared" si="24"/>
        <v>-2324.8960000000002</v>
      </c>
      <c r="M42" s="2"/>
      <c r="N42" s="6">
        <f t="shared" si="25"/>
        <v>-1</v>
      </c>
      <c r="O42" s="11"/>
      <c r="P42" s="7"/>
      <c r="Q42" s="2"/>
      <c r="R42" s="6">
        <f t="shared" si="26"/>
        <v>0</v>
      </c>
      <c r="S42" s="2"/>
      <c r="T42" s="7">
        <v>14132.706</v>
      </c>
      <c r="U42" s="2"/>
      <c r="V42" s="6">
        <f t="shared" si="27"/>
        <v>0.24366314373890105</v>
      </c>
      <c r="W42" s="2"/>
      <c r="X42" s="7">
        <f t="shared" si="28"/>
        <v>-14132.706</v>
      </c>
      <c r="Y42" s="2"/>
      <c r="Z42" s="6">
        <f t="shared" si="29"/>
        <v>-1</v>
      </c>
    </row>
    <row r="43" spans="1:26" s="24" customFormat="1" hidden="1" outlineLevel="2" x14ac:dyDescent="0.3">
      <c r="A43" s="27"/>
      <c r="B43" s="11" t="str">
        <f>CONCATENATE("          ", "6009", " - ", "TEMPORARY-SEASONAL")</f>
        <v xml:space="preserve">          6009 - TEMPORARY-SEASONAL</v>
      </c>
      <c r="C43" s="11"/>
      <c r="D43" s="7"/>
      <c r="E43" s="2"/>
      <c r="F43" s="6">
        <f t="shared" si="22"/>
        <v>0</v>
      </c>
      <c r="G43" s="2"/>
      <c r="H43" s="7">
        <v>0</v>
      </c>
      <c r="I43" s="2"/>
      <c r="J43" s="6">
        <f t="shared" si="23"/>
        <v>0</v>
      </c>
      <c r="K43" s="2"/>
      <c r="L43" s="7">
        <f t="shared" si="24"/>
        <v>0</v>
      </c>
      <c r="M43" s="2"/>
      <c r="N43" s="6">
        <f t="shared" si="25"/>
        <v>0</v>
      </c>
      <c r="O43" s="11"/>
      <c r="P43" s="7"/>
      <c r="Q43" s="2"/>
      <c r="R43" s="6">
        <f t="shared" si="26"/>
        <v>0</v>
      </c>
      <c r="S43" s="2"/>
      <c r="T43" s="7">
        <v>0</v>
      </c>
      <c r="U43" s="2"/>
      <c r="V43" s="6">
        <f t="shared" si="27"/>
        <v>0</v>
      </c>
      <c r="W43" s="2"/>
      <c r="X43" s="7">
        <f t="shared" si="28"/>
        <v>0</v>
      </c>
      <c r="Y43" s="2"/>
      <c r="Z43" s="6">
        <f t="shared" si="29"/>
        <v>0</v>
      </c>
    </row>
    <row r="44" spans="1:26" s="24" customFormat="1" hidden="1" outlineLevel="2" x14ac:dyDescent="0.3">
      <c r="A44" s="27"/>
      <c r="B44" s="11" t="str">
        <f>CONCATENATE("          ", "6010", " - ", "GRATUITY")</f>
        <v xml:space="preserve">          6010 - GRATUITY</v>
      </c>
      <c r="C44" s="11"/>
      <c r="D44" s="7"/>
      <c r="E44" s="2"/>
      <c r="F44" s="6">
        <f t="shared" si="22"/>
        <v>0</v>
      </c>
      <c r="G44" s="2"/>
      <c r="H44" s="7">
        <v>0</v>
      </c>
      <c r="I44" s="2"/>
      <c r="J44" s="6">
        <f t="shared" si="23"/>
        <v>0</v>
      </c>
      <c r="K44" s="2"/>
      <c r="L44" s="7">
        <f t="shared" si="24"/>
        <v>0</v>
      </c>
      <c r="M44" s="2"/>
      <c r="N44" s="6">
        <f t="shared" si="25"/>
        <v>0</v>
      </c>
      <c r="O44" s="11"/>
      <c r="P44" s="7"/>
      <c r="Q44" s="2"/>
      <c r="R44" s="6">
        <f t="shared" si="26"/>
        <v>0</v>
      </c>
      <c r="S44" s="2"/>
      <c r="T44" s="7">
        <v>0</v>
      </c>
      <c r="U44" s="2"/>
      <c r="V44" s="6">
        <f t="shared" si="27"/>
        <v>0</v>
      </c>
      <c r="W44" s="2"/>
      <c r="X44" s="7">
        <f t="shared" si="28"/>
        <v>0</v>
      </c>
      <c r="Y44" s="2"/>
      <c r="Z44" s="6">
        <f t="shared" si="29"/>
        <v>0</v>
      </c>
    </row>
    <row r="45" spans="1:26" s="28" customFormat="1" outlineLevel="1" collapsed="1" x14ac:dyDescent="0.3">
      <c r="A45" s="29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SUM(OSRRefD22_2x_0)</f>
        <v>0</v>
      </c>
      <c r="E45" s="1"/>
      <c r="F45" s="5">
        <f t="shared" ref="F45:F55" si="30">IF(D$12=0,0,D45/D$12)</f>
        <v>0</v>
      </c>
      <c r="G45" s="1"/>
      <c r="H45" s="1">
        <f>SUM(OSRRefH22_2x_0)</f>
        <v>0</v>
      </c>
      <c r="I45" s="1"/>
      <c r="J45" s="5">
        <f t="shared" ref="J45:J55" si="31">IF(H$12=0,0,H45/H$12)</f>
        <v>0</v>
      </c>
      <c r="K45" s="1"/>
      <c r="L45" s="1">
        <f t="shared" ref="L45:L55" si="32">+D45-H45</f>
        <v>0</v>
      </c>
      <c r="M45" s="1"/>
      <c r="N45" s="5">
        <f t="shared" ref="N45:N55" si="33">IF(H45=0,0,L45/H45)</f>
        <v>0</v>
      </c>
      <c r="O45" s="14"/>
      <c r="P45" s="1">
        <f>SUM(OSRRefP22_2x_0)</f>
        <v>0</v>
      </c>
      <c r="Q45" s="1"/>
      <c r="R45" s="5">
        <f t="shared" ref="R45:R55" si="34">IF(P$12=0,0,P45/P$12)</f>
        <v>0</v>
      </c>
      <c r="S45" s="1"/>
      <c r="T45" s="1">
        <f>SUM(OSRRefT22_2x_0)</f>
        <v>0</v>
      </c>
      <c r="U45" s="1"/>
      <c r="V45" s="5">
        <f t="shared" ref="V45:V55" si="35">IF(T$12=0,0,T45/T$12)</f>
        <v>0</v>
      </c>
      <c r="W45" s="1"/>
      <c r="X45" s="1">
        <f t="shared" ref="X45:X55" si="36">+P45-T45</f>
        <v>0</v>
      </c>
      <c r="Y45" s="1"/>
      <c r="Z45" s="5">
        <f t="shared" ref="Z45:Z55" si="37">IF(T45=0,0,X45/T45)</f>
        <v>0</v>
      </c>
    </row>
    <row r="46" spans="1:26" s="24" customFormat="1" hidden="1" outlineLevel="2" x14ac:dyDescent="0.3">
      <c r="A46" s="27"/>
      <c r="B46" s="11" t="str">
        <f>CONCATENATE("          ", "6362", " - ", "ADVERTISING EXPENSE")</f>
        <v xml:space="preserve">          6362 - ADVERTISING EXPENSE</v>
      </c>
      <c r="C46" s="11"/>
      <c r="D46" s="7"/>
      <c r="E46" s="2"/>
      <c r="F46" s="6">
        <f t="shared" si="30"/>
        <v>0</v>
      </c>
      <c r="G46" s="2"/>
      <c r="H46" s="7">
        <v>0</v>
      </c>
      <c r="I46" s="2"/>
      <c r="J46" s="6">
        <f t="shared" si="31"/>
        <v>0</v>
      </c>
      <c r="K46" s="2"/>
      <c r="L46" s="7">
        <f t="shared" si="32"/>
        <v>0</v>
      </c>
      <c r="M46" s="2"/>
      <c r="N46" s="6">
        <f t="shared" si="33"/>
        <v>0</v>
      </c>
      <c r="O46" s="11"/>
      <c r="P46" s="7"/>
      <c r="Q46" s="2"/>
      <c r="R46" s="6">
        <f t="shared" si="34"/>
        <v>0</v>
      </c>
      <c r="S46" s="2"/>
      <c r="T46" s="7">
        <v>0</v>
      </c>
      <c r="U46" s="2"/>
      <c r="V46" s="6">
        <f t="shared" si="35"/>
        <v>0</v>
      </c>
      <c r="W46" s="2"/>
      <c r="X46" s="7">
        <f t="shared" si="36"/>
        <v>0</v>
      </c>
      <c r="Y46" s="2"/>
      <c r="Z46" s="6">
        <f t="shared" si="37"/>
        <v>0</v>
      </c>
    </row>
    <row r="47" spans="1:26" s="28" customFormat="1" outlineLevel="1" collapsed="1" x14ac:dyDescent="0.3">
      <c r="A47" s="29"/>
      <c r="B47" s="14" t="str">
        <f>CONCATENATE("     ","Bank/card Fees                                    ")</f>
        <v xml:space="preserve">     Bank/card Fees                                    </v>
      </c>
      <c r="C47" s="14"/>
      <c r="D47" s="1">
        <f>SUM(OSRRefD22_3x_0)</f>
        <v>25</v>
      </c>
      <c r="E47" s="1"/>
      <c r="F47" s="5">
        <f t="shared" si="30"/>
        <v>0</v>
      </c>
      <c r="G47" s="1"/>
      <c r="H47" s="1">
        <f>SUM(OSRRefH22_3x_0)</f>
        <v>359</v>
      </c>
      <c r="I47" s="1"/>
      <c r="J47" s="5">
        <f t="shared" si="31"/>
        <v>3.4063952936711266E-2</v>
      </c>
      <c r="K47" s="1"/>
      <c r="L47" s="1">
        <f t="shared" si="32"/>
        <v>-334</v>
      </c>
      <c r="M47" s="1"/>
      <c r="N47" s="5">
        <f t="shared" si="33"/>
        <v>-0.93036211699164351</v>
      </c>
      <c r="O47" s="14"/>
      <c r="P47" s="1">
        <f>SUM(OSRRefP22_3x_0)</f>
        <v>450.36</v>
      </c>
      <c r="Q47" s="1"/>
      <c r="R47" s="5">
        <f t="shared" si="34"/>
        <v>0</v>
      </c>
      <c r="S47" s="1"/>
      <c r="T47" s="1">
        <f>SUM(OSRRefT22_3x_0)</f>
        <v>1978</v>
      </c>
      <c r="U47" s="1"/>
      <c r="V47" s="5">
        <f t="shared" si="35"/>
        <v>3.4102860295512148E-2</v>
      </c>
      <c r="W47" s="1"/>
      <c r="X47" s="1">
        <f t="shared" si="36"/>
        <v>-1527.6399999999999</v>
      </c>
      <c r="Y47" s="1"/>
      <c r="Z47" s="5">
        <f t="shared" si="37"/>
        <v>-0.77231547017189073</v>
      </c>
    </row>
    <row r="48" spans="1:26" s="24" customFormat="1" hidden="1" outlineLevel="2" x14ac:dyDescent="0.3">
      <c r="A48" s="27"/>
      <c r="B48" s="11" t="str">
        <f>CONCATENATE("          ", "6381", " - ", "BANK/CREDIT CARD FEES")</f>
        <v xml:space="preserve">          6381 - BANK/CREDIT CARD FEES</v>
      </c>
      <c r="C48" s="11"/>
      <c r="D48" s="7">
        <v>25</v>
      </c>
      <c r="E48" s="2"/>
      <c r="F48" s="6">
        <f t="shared" si="30"/>
        <v>0</v>
      </c>
      <c r="G48" s="2"/>
      <c r="H48" s="7">
        <v>359</v>
      </c>
      <c r="I48" s="2"/>
      <c r="J48" s="6">
        <f t="shared" si="31"/>
        <v>3.4063952936711266E-2</v>
      </c>
      <c r="K48" s="2"/>
      <c r="L48" s="7">
        <f t="shared" si="32"/>
        <v>-334</v>
      </c>
      <c r="M48" s="2"/>
      <c r="N48" s="6">
        <f t="shared" si="33"/>
        <v>-0.93036211699164351</v>
      </c>
      <c r="O48" s="11"/>
      <c r="P48" s="7">
        <v>450.36</v>
      </c>
      <c r="Q48" s="2"/>
      <c r="R48" s="6">
        <f t="shared" si="34"/>
        <v>0</v>
      </c>
      <c r="S48" s="2"/>
      <c r="T48" s="7">
        <v>1978</v>
      </c>
      <c r="U48" s="2"/>
      <c r="V48" s="6">
        <f t="shared" si="35"/>
        <v>3.4102860295512148E-2</v>
      </c>
      <c r="W48" s="2"/>
      <c r="X48" s="7">
        <f t="shared" si="36"/>
        <v>-1527.6399999999999</v>
      </c>
      <c r="Y48" s="2"/>
      <c r="Z48" s="6">
        <f t="shared" si="37"/>
        <v>-0.77231547017189073</v>
      </c>
    </row>
    <row r="49" spans="1:26" s="28" customFormat="1" outlineLevel="1" collapsed="1" x14ac:dyDescent="0.3">
      <c r="A49" s="29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SUM(OSRRefD22_4x_0)</f>
        <v>264.60000000000002</v>
      </c>
      <c r="E49" s="1"/>
      <c r="F49" s="5">
        <f t="shared" si="30"/>
        <v>0</v>
      </c>
      <c r="G49" s="1"/>
      <c r="H49" s="1">
        <f>SUM(OSRRefH22_4x_0)</f>
        <v>265</v>
      </c>
      <c r="I49" s="1"/>
      <c r="J49" s="5">
        <f t="shared" si="31"/>
        <v>2.514470063573394E-2</v>
      </c>
      <c r="K49" s="1"/>
      <c r="L49" s="1">
        <f t="shared" si="32"/>
        <v>-0.39999999999997726</v>
      </c>
      <c r="M49" s="1"/>
      <c r="N49" s="5">
        <f t="shared" si="33"/>
        <v>-1.5094339622640652E-3</v>
      </c>
      <c r="O49" s="14"/>
      <c r="P49" s="1">
        <f>SUM(OSRRefP22_4x_0)</f>
        <v>4284.5600000000004</v>
      </c>
      <c r="Q49" s="1"/>
      <c r="R49" s="5">
        <f t="shared" si="34"/>
        <v>0</v>
      </c>
      <c r="S49" s="1"/>
      <c r="T49" s="1">
        <f>SUM(OSRRefT22_4x_0)</f>
        <v>4285</v>
      </c>
      <c r="U49" s="1"/>
      <c r="V49" s="5">
        <f t="shared" si="35"/>
        <v>7.387803658557611E-2</v>
      </c>
      <c r="W49" s="1"/>
      <c r="X49" s="1">
        <f t="shared" si="36"/>
        <v>-0.43999999999959982</v>
      </c>
      <c r="Y49" s="1"/>
      <c r="Z49" s="5">
        <f t="shared" si="37"/>
        <v>-1.0268378063001163E-4</v>
      </c>
    </row>
    <row r="50" spans="1:26" s="24" customFormat="1" hidden="1" outlineLevel="2" x14ac:dyDescent="0.3">
      <c r="A50" s="27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264.60000000000002</v>
      </c>
      <c r="E50" s="2"/>
      <c r="F50" s="6">
        <f t="shared" si="30"/>
        <v>0</v>
      </c>
      <c r="G50" s="2"/>
      <c r="H50" s="7">
        <v>265</v>
      </c>
      <c r="I50" s="2"/>
      <c r="J50" s="6">
        <f t="shared" si="31"/>
        <v>2.514470063573394E-2</v>
      </c>
      <c r="K50" s="2"/>
      <c r="L50" s="7">
        <f t="shared" si="32"/>
        <v>-0.39999999999997726</v>
      </c>
      <c r="M50" s="2"/>
      <c r="N50" s="6">
        <f t="shared" si="33"/>
        <v>-1.5094339622640652E-3</v>
      </c>
      <c r="O50" s="11"/>
      <c r="P50" s="7">
        <v>4284.5600000000004</v>
      </c>
      <c r="Q50" s="2"/>
      <c r="R50" s="6">
        <f t="shared" si="34"/>
        <v>0</v>
      </c>
      <c r="S50" s="2"/>
      <c r="T50" s="7">
        <v>4285</v>
      </c>
      <c r="U50" s="2"/>
      <c r="V50" s="6">
        <f t="shared" si="35"/>
        <v>7.387803658557611E-2</v>
      </c>
      <c r="W50" s="2"/>
      <c r="X50" s="7">
        <f t="shared" si="36"/>
        <v>-0.43999999999959982</v>
      </c>
      <c r="Y50" s="2"/>
      <c r="Z50" s="6">
        <f t="shared" si="37"/>
        <v>-1.0268378063001163E-4</v>
      </c>
    </row>
    <row r="51" spans="1:26" s="28" customFormat="1" outlineLevel="1" collapsed="1" x14ac:dyDescent="0.3">
      <c r="A51" s="29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SUM(OSRRefD22_5x_0)</f>
        <v>0</v>
      </c>
      <c r="E51" s="1"/>
      <c r="F51" s="5">
        <f t="shared" si="30"/>
        <v>0</v>
      </c>
      <c r="G51" s="1"/>
      <c r="H51" s="1">
        <f>SUM(OSRRefH22_5x_0)</f>
        <v>0</v>
      </c>
      <c r="I51" s="1"/>
      <c r="J51" s="5">
        <f t="shared" si="31"/>
        <v>0</v>
      </c>
      <c r="K51" s="1"/>
      <c r="L51" s="1">
        <f t="shared" si="32"/>
        <v>0</v>
      </c>
      <c r="M51" s="1"/>
      <c r="N51" s="5">
        <f t="shared" si="33"/>
        <v>0</v>
      </c>
      <c r="O51" s="14"/>
      <c r="P51" s="1">
        <f>SUM(OSRRefP22_5x_0)</f>
        <v>1153.93</v>
      </c>
      <c r="Q51" s="1"/>
      <c r="R51" s="5">
        <f t="shared" si="34"/>
        <v>0</v>
      </c>
      <c r="S51" s="1"/>
      <c r="T51" s="1">
        <f>SUM(OSRRefT22_5x_0)</f>
        <v>755</v>
      </c>
      <c r="U51" s="1"/>
      <c r="V51" s="5">
        <f t="shared" si="35"/>
        <v>1.3017016947983656E-2</v>
      </c>
      <c r="W51" s="1"/>
      <c r="X51" s="1">
        <f t="shared" si="36"/>
        <v>398.93000000000006</v>
      </c>
      <c r="Y51" s="1"/>
      <c r="Z51" s="5">
        <f t="shared" si="37"/>
        <v>0.52838410596026497</v>
      </c>
    </row>
    <row r="52" spans="1:26" s="24" customFormat="1" hidden="1" outlineLevel="2" x14ac:dyDescent="0.3">
      <c r="A52" s="27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30"/>
        <v>0</v>
      </c>
      <c r="G52" s="2"/>
      <c r="H52" s="7"/>
      <c r="I52" s="2"/>
      <c r="J52" s="6">
        <f t="shared" si="31"/>
        <v>0</v>
      </c>
      <c r="K52" s="2"/>
      <c r="L52" s="7">
        <f t="shared" si="32"/>
        <v>0</v>
      </c>
      <c r="M52" s="2"/>
      <c r="N52" s="6">
        <f t="shared" si="33"/>
        <v>0</v>
      </c>
      <c r="O52" s="11"/>
      <c r="P52" s="7">
        <v>1153.93</v>
      </c>
      <c r="Q52" s="2"/>
      <c r="R52" s="6">
        <f t="shared" si="34"/>
        <v>0</v>
      </c>
      <c r="S52" s="2"/>
      <c r="T52" s="7">
        <v>755</v>
      </c>
      <c r="U52" s="2"/>
      <c r="V52" s="6">
        <f t="shared" si="35"/>
        <v>1.3017016947983656E-2</v>
      </c>
      <c r="W52" s="2"/>
      <c r="X52" s="7">
        <f t="shared" si="36"/>
        <v>398.93000000000006</v>
      </c>
      <c r="Y52" s="2"/>
      <c r="Z52" s="6">
        <f t="shared" si="37"/>
        <v>0.52838410596026497</v>
      </c>
    </row>
    <row r="53" spans="1:26" s="28" customFormat="1" outlineLevel="1" collapsed="1" x14ac:dyDescent="0.3">
      <c r="A53" s="29"/>
      <c r="B53" s="14" t="str">
        <f>CONCATENATE("     ","Repair and Maintenance                            ")</f>
        <v xml:space="preserve">     Repair and Maintenance                            </v>
      </c>
      <c r="C53" s="14"/>
      <c r="D53" s="1">
        <f>SUM(OSRRefD22_6x_0)</f>
        <v>0</v>
      </c>
      <c r="E53" s="1"/>
      <c r="F53" s="5">
        <f t="shared" si="30"/>
        <v>0</v>
      </c>
      <c r="G53" s="1"/>
      <c r="H53" s="1">
        <f>SUM(OSRRefH22_6x_0)</f>
        <v>265</v>
      </c>
      <c r="I53" s="1"/>
      <c r="J53" s="5">
        <f t="shared" si="31"/>
        <v>2.514470063573394E-2</v>
      </c>
      <c r="K53" s="1"/>
      <c r="L53" s="1">
        <f t="shared" si="32"/>
        <v>-265</v>
      </c>
      <c r="M53" s="1"/>
      <c r="N53" s="5">
        <f t="shared" si="33"/>
        <v>-1</v>
      </c>
      <c r="O53" s="14"/>
      <c r="P53" s="1">
        <f>SUM(OSRRefP22_6x_0)</f>
        <v>97.83</v>
      </c>
      <c r="Q53" s="1"/>
      <c r="R53" s="5">
        <f t="shared" si="34"/>
        <v>0</v>
      </c>
      <c r="S53" s="1"/>
      <c r="T53" s="1">
        <f>SUM(OSRRefT22_6x_0)</f>
        <v>1531</v>
      </c>
      <c r="U53" s="1"/>
      <c r="V53" s="5">
        <f t="shared" si="35"/>
        <v>2.6396096619023809E-2</v>
      </c>
      <c r="W53" s="1"/>
      <c r="X53" s="1">
        <f t="shared" si="36"/>
        <v>-1433.17</v>
      </c>
      <c r="Y53" s="1"/>
      <c r="Z53" s="5">
        <f t="shared" si="37"/>
        <v>-0.93610058785107775</v>
      </c>
    </row>
    <row r="54" spans="1:26" s="24" customFormat="1" hidden="1" outlineLevel="2" x14ac:dyDescent="0.3">
      <c r="A54" s="27"/>
      <c r="B54" s="11" t="str">
        <f>CONCATENATE("          ", "6373", " - ", "MAINTENANCE CONTRACTS")</f>
        <v xml:space="preserve">          6373 - MAINTENANCE CONTRACTS</v>
      </c>
      <c r="C54" s="11"/>
      <c r="D54" s="7"/>
      <c r="E54" s="2"/>
      <c r="F54" s="6">
        <f t="shared" si="30"/>
        <v>0</v>
      </c>
      <c r="G54" s="2"/>
      <c r="H54" s="7">
        <v>150</v>
      </c>
      <c r="I54" s="2"/>
      <c r="J54" s="6">
        <f t="shared" si="31"/>
        <v>1.4232849416453175E-2</v>
      </c>
      <c r="K54" s="2"/>
      <c r="L54" s="7">
        <f t="shared" si="32"/>
        <v>-150</v>
      </c>
      <c r="M54" s="2"/>
      <c r="N54" s="6">
        <f t="shared" si="33"/>
        <v>-1</v>
      </c>
      <c r="O54" s="11"/>
      <c r="P54" s="7">
        <v>97.83</v>
      </c>
      <c r="Q54" s="2"/>
      <c r="R54" s="6">
        <f t="shared" si="34"/>
        <v>0</v>
      </c>
      <c r="S54" s="2"/>
      <c r="T54" s="7">
        <v>726</v>
      </c>
      <c r="U54" s="2"/>
      <c r="V54" s="6">
        <f t="shared" si="35"/>
        <v>1.251702556852468E-2</v>
      </c>
      <c r="W54" s="2"/>
      <c r="X54" s="7">
        <f t="shared" si="36"/>
        <v>-628.16999999999996</v>
      </c>
      <c r="Y54" s="2"/>
      <c r="Z54" s="6">
        <f t="shared" si="37"/>
        <v>-0.86524793388429744</v>
      </c>
    </row>
    <row r="55" spans="1:26" s="24" customFormat="1" hidden="1" outlineLevel="2" x14ac:dyDescent="0.3">
      <c r="A55" s="27"/>
      <c r="B55" s="11" t="str">
        <f>CONCATENATE("          ", "6375", " - ", "OUTSIDE REPAIRS &amp; MAINTENANCE")</f>
        <v xml:space="preserve">          6375 - OUTSIDE REPAIRS &amp; MAINTENANCE</v>
      </c>
      <c r="C55" s="11"/>
      <c r="D55" s="7"/>
      <c r="E55" s="2"/>
      <c r="F55" s="6">
        <f t="shared" si="30"/>
        <v>0</v>
      </c>
      <c r="G55" s="2"/>
      <c r="H55" s="7">
        <v>115</v>
      </c>
      <c r="I55" s="2"/>
      <c r="J55" s="6">
        <f t="shared" si="31"/>
        <v>1.0911851219280767E-2</v>
      </c>
      <c r="K55" s="2"/>
      <c r="L55" s="7">
        <f t="shared" si="32"/>
        <v>-115</v>
      </c>
      <c r="M55" s="2"/>
      <c r="N55" s="6">
        <f t="shared" si="33"/>
        <v>-1</v>
      </c>
      <c r="O55" s="11"/>
      <c r="P55" s="7"/>
      <c r="Q55" s="2"/>
      <c r="R55" s="6">
        <f t="shared" si="34"/>
        <v>0</v>
      </c>
      <c r="S55" s="2"/>
      <c r="T55" s="7">
        <v>805</v>
      </c>
      <c r="U55" s="2"/>
      <c r="V55" s="6">
        <f t="shared" si="35"/>
        <v>1.3879071050499129E-2</v>
      </c>
      <c r="W55" s="2"/>
      <c r="X55" s="7">
        <f t="shared" si="36"/>
        <v>-805</v>
      </c>
      <c r="Y55" s="2"/>
      <c r="Z55" s="6">
        <f t="shared" si="37"/>
        <v>-1</v>
      </c>
    </row>
    <row r="56" spans="1:26" s="28" customFormat="1" outlineLevel="1" collapsed="1" x14ac:dyDescent="0.3">
      <c r="A56" s="29"/>
      <c r="B56" s="14" t="str">
        <f>CONCATENATE("     ","Royalty &amp; Commissions                             ")</f>
        <v xml:space="preserve">     Royalty &amp; Commissions                             </v>
      </c>
      <c r="C56" s="14"/>
      <c r="D56" s="1">
        <f>SUM(OSRRefD22_7x_0)</f>
        <v>0</v>
      </c>
      <c r="E56" s="1"/>
      <c r="F56" s="5">
        <f t="shared" ref="F56:F60" si="38">IF(D$12=0,0,D56/D$12)</f>
        <v>0</v>
      </c>
      <c r="G56" s="1"/>
      <c r="H56" s="1">
        <f>SUM(OSRRefH22_7x_0)</f>
        <v>949</v>
      </c>
      <c r="I56" s="1"/>
      <c r="J56" s="5">
        <f t="shared" ref="J56:J60" si="39">IF(H$12=0,0,H56/H$12)</f>
        <v>9.0046493974760417E-2</v>
      </c>
      <c r="K56" s="1"/>
      <c r="L56" s="1">
        <f t="shared" ref="L56:L60" si="40">+D56-H56</f>
        <v>-949</v>
      </c>
      <c r="M56" s="1"/>
      <c r="N56" s="5">
        <f t="shared" ref="N56:N60" si="41">IF(H56=0,0,L56/H56)</f>
        <v>-1</v>
      </c>
      <c r="O56" s="14"/>
      <c r="P56" s="1">
        <f>SUM(OSRRefP22_7x_0)</f>
        <v>0</v>
      </c>
      <c r="Q56" s="1"/>
      <c r="R56" s="5">
        <f t="shared" ref="R56:R60" si="42">IF(P$12=0,0,P56/P$12)</f>
        <v>0</v>
      </c>
      <c r="S56" s="1"/>
      <c r="T56" s="1">
        <f>SUM(OSRRefT22_7x_0)</f>
        <v>5221</v>
      </c>
      <c r="U56" s="1"/>
      <c r="V56" s="5">
        <f t="shared" ref="V56:V60" si="43">IF(T$12=0,0,T56/T$12)</f>
        <v>9.0015689384665781E-2</v>
      </c>
      <c r="W56" s="1"/>
      <c r="X56" s="1">
        <f t="shared" ref="X56:X60" si="44">+P56-T56</f>
        <v>-5221</v>
      </c>
      <c r="Y56" s="1"/>
      <c r="Z56" s="5">
        <f t="shared" ref="Z56:Z60" si="45">IF(T56=0,0,X56/T56)</f>
        <v>-1</v>
      </c>
    </row>
    <row r="57" spans="1:26" s="24" customFormat="1" hidden="1" outlineLevel="2" x14ac:dyDescent="0.3">
      <c r="A57" s="27"/>
      <c r="B57" s="11" t="str">
        <f>CONCATENATE("          ", "6259", " - ", "ROYALTY &amp; COMMISSIONS")</f>
        <v xml:space="preserve">          6259 - ROYALTY &amp; COMMISSIONS</v>
      </c>
      <c r="C57" s="11"/>
      <c r="D57" s="7"/>
      <c r="E57" s="2"/>
      <c r="F57" s="6">
        <f t="shared" si="38"/>
        <v>0</v>
      </c>
      <c r="G57" s="2"/>
      <c r="H57" s="7">
        <v>949</v>
      </c>
      <c r="I57" s="2"/>
      <c r="J57" s="6">
        <f t="shared" si="39"/>
        <v>9.0046493974760417E-2</v>
      </c>
      <c r="K57" s="2"/>
      <c r="L57" s="7">
        <f t="shared" si="40"/>
        <v>-949</v>
      </c>
      <c r="M57" s="2"/>
      <c r="N57" s="6">
        <f t="shared" si="41"/>
        <v>-1</v>
      </c>
      <c r="O57" s="11"/>
      <c r="P57" s="7"/>
      <c r="Q57" s="2"/>
      <c r="R57" s="6">
        <f t="shared" si="42"/>
        <v>0</v>
      </c>
      <c r="S57" s="2"/>
      <c r="T57" s="7">
        <v>5221</v>
      </c>
      <c r="U57" s="2"/>
      <c r="V57" s="6">
        <f t="shared" si="43"/>
        <v>9.0015689384665781E-2</v>
      </c>
      <c r="W57" s="2"/>
      <c r="X57" s="7">
        <f t="shared" si="44"/>
        <v>-5221</v>
      </c>
      <c r="Y57" s="2"/>
      <c r="Z57" s="6">
        <f t="shared" si="45"/>
        <v>-1</v>
      </c>
    </row>
    <row r="58" spans="1:26" s="28" customFormat="1" outlineLevel="1" collapsed="1" x14ac:dyDescent="0.3">
      <c r="A58" s="29"/>
      <c r="B58" s="14" t="str">
        <f>CONCATENATE("     ","Services                                          ")</f>
        <v xml:space="preserve">     Services                                          </v>
      </c>
      <c r="C58" s="14"/>
      <c r="D58" s="1">
        <f>SUM(OSRRefD22_8x_0)</f>
        <v>0</v>
      </c>
      <c r="E58" s="1"/>
      <c r="F58" s="5">
        <f t="shared" si="38"/>
        <v>0</v>
      </c>
      <c r="G58" s="1"/>
      <c r="H58" s="1">
        <f>SUM(OSRRefH22_8x_0)</f>
        <v>100</v>
      </c>
      <c r="I58" s="1"/>
      <c r="J58" s="5">
        <f t="shared" si="39"/>
        <v>9.4885662776354497E-3</v>
      </c>
      <c r="K58" s="1"/>
      <c r="L58" s="1">
        <f t="shared" si="40"/>
        <v>-100</v>
      </c>
      <c r="M58" s="1"/>
      <c r="N58" s="5">
        <f t="shared" si="41"/>
        <v>-1</v>
      </c>
      <c r="O58" s="14"/>
      <c r="P58" s="1">
        <f>SUM(OSRRefP22_8x_0)</f>
        <v>103.2</v>
      </c>
      <c r="Q58" s="1"/>
      <c r="R58" s="5">
        <f t="shared" si="42"/>
        <v>0</v>
      </c>
      <c r="S58" s="1"/>
      <c r="T58" s="1">
        <f>SUM(OSRRefT22_8x_0)</f>
        <v>600</v>
      </c>
      <c r="U58" s="1"/>
      <c r="V58" s="5">
        <f t="shared" si="43"/>
        <v>1.0344649230185686E-2</v>
      </c>
      <c r="W58" s="1"/>
      <c r="X58" s="1">
        <f t="shared" si="44"/>
        <v>-496.8</v>
      </c>
      <c r="Y58" s="1"/>
      <c r="Z58" s="5">
        <f t="shared" si="45"/>
        <v>-0.82800000000000007</v>
      </c>
    </row>
    <row r="59" spans="1:26" s="24" customFormat="1" hidden="1" outlineLevel="2" x14ac:dyDescent="0.3">
      <c r="A59" s="27"/>
      <c r="B59" s="11" t="str">
        <f>CONCATENATE("          ", "6282", " - ", "JANITORIAL/EXTERMINATOR EXPENS")</f>
        <v xml:space="preserve">          6282 - JANITORIAL/EXTERMINATOR EXPENS</v>
      </c>
      <c r="C59" s="11"/>
      <c r="D59" s="7"/>
      <c r="E59" s="2"/>
      <c r="F59" s="6">
        <f t="shared" si="38"/>
        <v>0</v>
      </c>
      <c r="G59" s="2"/>
      <c r="H59" s="7">
        <v>100</v>
      </c>
      <c r="I59" s="2"/>
      <c r="J59" s="6">
        <f t="shared" si="39"/>
        <v>9.4885662776354497E-3</v>
      </c>
      <c r="K59" s="2"/>
      <c r="L59" s="7">
        <f t="shared" si="40"/>
        <v>-100</v>
      </c>
      <c r="M59" s="2"/>
      <c r="N59" s="6">
        <f t="shared" si="41"/>
        <v>-1</v>
      </c>
      <c r="O59" s="11"/>
      <c r="P59" s="7"/>
      <c r="Q59" s="2"/>
      <c r="R59" s="6">
        <f t="shared" si="42"/>
        <v>0</v>
      </c>
      <c r="S59" s="2"/>
      <c r="T59" s="7">
        <v>600</v>
      </c>
      <c r="U59" s="2"/>
      <c r="V59" s="6">
        <f t="shared" si="43"/>
        <v>1.0344649230185686E-2</v>
      </c>
      <c r="W59" s="2"/>
      <c r="X59" s="7">
        <f t="shared" si="44"/>
        <v>-600</v>
      </c>
      <c r="Y59" s="2"/>
      <c r="Z59" s="6">
        <f t="shared" si="45"/>
        <v>-1</v>
      </c>
    </row>
    <row r="60" spans="1:26" s="24" customFormat="1" hidden="1" outlineLevel="2" x14ac:dyDescent="0.3">
      <c r="A60" s="27"/>
      <c r="B60" s="11" t="str">
        <f>CONCATENATE("          ", "6285", " - ", "JANITORIAL SERVICES")</f>
        <v xml:space="preserve">          6285 - JANITORIAL SERVICES</v>
      </c>
      <c r="C60" s="11"/>
      <c r="D60" s="7"/>
      <c r="E60" s="2"/>
      <c r="F60" s="6">
        <f t="shared" si="38"/>
        <v>0</v>
      </c>
      <c r="G60" s="2"/>
      <c r="H60" s="7"/>
      <c r="I60" s="2"/>
      <c r="J60" s="6">
        <f t="shared" si="39"/>
        <v>0</v>
      </c>
      <c r="K60" s="2"/>
      <c r="L60" s="7">
        <f t="shared" si="40"/>
        <v>0</v>
      </c>
      <c r="M60" s="2"/>
      <c r="N60" s="6">
        <f t="shared" si="41"/>
        <v>0</v>
      </c>
      <c r="O60" s="11"/>
      <c r="P60" s="7">
        <v>103.2</v>
      </c>
      <c r="Q60" s="2"/>
      <c r="R60" s="6">
        <f t="shared" si="42"/>
        <v>0</v>
      </c>
      <c r="S60" s="2"/>
      <c r="T60" s="7"/>
      <c r="U60" s="2"/>
      <c r="V60" s="6">
        <f t="shared" si="43"/>
        <v>0</v>
      </c>
      <c r="W60" s="2"/>
      <c r="X60" s="7">
        <f t="shared" si="44"/>
        <v>103.2</v>
      </c>
      <c r="Y60" s="2"/>
      <c r="Z60" s="6">
        <f t="shared" si="45"/>
        <v>0</v>
      </c>
    </row>
    <row r="61" spans="1:26" s="28" customFormat="1" outlineLevel="1" collapsed="1" x14ac:dyDescent="0.3">
      <c r="A61" s="29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SUM(OSRRefD22_9x_0)</f>
        <v>0</v>
      </c>
      <c r="E61" s="1"/>
      <c r="F61" s="5">
        <f t="shared" ref="F61:F65" si="46">IF(D$12=0,0,D61/D$12)</f>
        <v>0</v>
      </c>
      <c r="G61" s="1"/>
      <c r="H61" s="1">
        <f>SUM(OSRRefH22_9x_0)</f>
        <v>1300</v>
      </c>
      <c r="I61" s="1"/>
      <c r="J61" s="5">
        <f t="shared" ref="J61:J65" si="47">IF(H$12=0,0,H61/H$12)</f>
        <v>0.12335136160926084</v>
      </c>
      <c r="K61" s="1"/>
      <c r="L61" s="1">
        <f t="shared" ref="L61:L65" si="48">+D61-H61</f>
        <v>-1300</v>
      </c>
      <c r="M61" s="1"/>
      <c r="N61" s="5">
        <f t="shared" ref="N61:N65" si="49">IF(H61=0,0,L61/H61)</f>
        <v>-1</v>
      </c>
      <c r="O61" s="14"/>
      <c r="P61" s="1">
        <f>SUM(OSRRefP22_9x_0)</f>
        <v>1239.94</v>
      </c>
      <c r="Q61" s="1"/>
      <c r="R61" s="5">
        <f t="shared" ref="R61:R65" si="50">IF(P$12=0,0,P61/P$12)</f>
        <v>0</v>
      </c>
      <c r="S61" s="1"/>
      <c r="T61" s="1">
        <f>SUM(OSRRefT22_9x_0)</f>
        <v>6000</v>
      </c>
      <c r="U61" s="1"/>
      <c r="V61" s="5">
        <f t="shared" ref="V61:V65" si="51">IF(T$12=0,0,T61/T$12)</f>
        <v>0.10344649230185686</v>
      </c>
      <c r="W61" s="1"/>
      <c r="X61" s="1">
        <f t="shared" ref="X61:X65" si="52">+P61-T61</f>
        <v>-4760.0599999999995</v>
      </c>
      <c r="Y61" s="1"/>
      <c r="Z61" s="5">
        <f t="shared" ref="Z61:Z65" si="53">IF(T61=0,0,X61/T61)</f>
        <v>-0.79334333333333329</v>
      </c>
    </row>
    <row r="62" spans="1:26" s="24" customFormat="1" hidden="1" outlineLevel="2" x14ac:dyDescent="0.3">
      <c r="A62" s="27"/>
      <c r="B62" s="11" t="str">
        <f>CONCATENATE("          ", "6234", " - ", "EXPENDABLE SUPPLIES &amp; EQUIPMEN")</f>
        <v xml:space="preserve">          6234 - EXPENDABLE SUPPLIES &amp; EQUIPMEN</v>
      </c>
      <c r="C62" s="11"/>
      <c r="D62" s="7"/>
      <c r="E62" s="2"/>
      <c r="F62" s="6">
        <f t="shared" si="46"/>
        <v>0</v>
      </c>
      <c r="G62" s="2"/>
      <c r="H62" s="7"/>
      <c r="I62" s="2"/>
      <c r="J62" s="6">
        <f t="shared" si="47"/>
        <v>0</v>
      </c>
      <c r="K62" s="2"/>
      <c r="L62" s="7">
        <f t="shared" si="48"/>
        <v>0</v>
      </c>
      <c r="M62" s="2"/>
      <c r="N62" s="6">
        <f t="shared" si="49"/>
        <v>0</v>
      </c>
      <c r="O62" s="11"/>
      <c r="P62" s="7">
        <v>1194.8900000000001</v>
      </c>
      <c r="Q62" s="2"/>
      <c r="R62" s="6">
        <f t="shared" si="50"/>
        <v>0</v>
      </c>
      <c r="S62" s="2"/>
      <c r="T62" s="7"/>
      <c r="U62" s="2"/>
      <c r="V62" s="6">
        <f t="shared" si="51"/>
        <v>0</v>
      </c>
      <c r="W62" s="2"/>
      <c r="X62" s="7">
        <f t="shared" si="52"/>
        <v>1194.8900000000001</v>
      </c>
      <c r="Y62" s="2"/>
      <c r="Z62" s="6">
        <f t="shared" si="53"/>
        <v>0</v>
      </c>
    </row>
    <row r="63" spans="1:26" s="24" customFormat="1" hidden="1" outlineLevel="2" x14ac:dyDescent="0.3">
      <c r="A63" s="27"/>
      <c r="B63" s="11" t="str">
        <f>CONCATENATE("          ", "6237", " - ", "JANITORIAL SUPPLIES")</f>
        <v xml:space="preserve">          6237 - JANITORIAL SUPPLIES</v>
      </c>
      <c r="C63" s="11"/>
      <c r="D63" s="7"/>
      <c r="E63" s="2"/>
      <c r="F63" s="6">
        <f t="shared" si="46"/>
        <v>0</v>
      </c>
      <c r="G63" s="2"/>
      <c r="H63" s="7"/>
      <c r="I63" s="2"/>
      <c r="J63" s="6">
        <f t="shared" si="47"/>
        <v>0</v>
      </c>
      <c r="K63" s="2"/>
      <c r="L63" s="7">
        <f t="shared" si="48"/>
        <v>0</v>
      </c>
      <c r="M63" s="2"/>
      <c r="N63" s="6">
        <f t="shared" si="49"/>
        <v>0</v>
      </c>
      <c r="O63" s="11"/>
      <c r="P63" s="7">
        <v>38.340000000000003</v>
      </c>
      <c r="Q63" s="2"/>
      <c r="R63" s="6">
        <f t="shared" si="50"/>
        <v>0</v>
      </c>
      <c r="S63" s="2"/>
      <c r="T63" s="7"/>
      <c r="U63" s="2"/>
      <c r="V63" s="6">
        <f t="shared" si="51"/>
        <v>0</v>
      </c>
      <c r="W63" s="2"/>
      <c r="X63" s="7">
        <f t="shared" si="52"/>
        <v>38.340000000000003</v>
      </c>
      <c r="Y63" s="2"/>
      <c r="Z63" s="6">
        <f t="shared" si="53"/>
        <v>0</v>
      </c>
    </row>
    <row r="64" spans="1:26" s="24" customFormat="1" hidden="1" outlineLevel="2" x14ac:dyDescent="0.3">
      <c r="A64" s="27"/>
      <c r="B64" s="11" t="str">
        <f>CONCATENATE("          ", "6241", " - ", "OFFICE EXPENSE")</f>
        <v xml:space="preserve">          6241 - OFFICE EXPENSE</v>
      </c>
      <c r="C64" s="11"/>
      <c r="D64" s="7"/>
      <c r="E64" s="2"/>
      <c r="F64" s="6">
        <f t="shared" si="46"/>
        <v>0</v>
      </c>
      <c r="G64" s="2"/>
      <c r="H64" s="7"/>
      <c r="I64" s="2"/>
      <c r="J64" s="6">
        <f t="shared" si="47"/>
        <v>0</v>
      </c>
      <c r="K64" s="2"/>
      <c r="L64" s="7">
        <f t="shared" si="48"/>
        <v>0</v>
      </c>
      <c r="M64" s="2"/>
      <c r="N64" s="6">
        <f t="shared" si="49"/>
        <v>0</v>
      </c>
      <c r="O64" s="11"/>
      <c r="P64" s="7">
        <v>6.71</v>
      </c>
      <c r="Q64" s="2"/>
      <c r="R64" s="6">
        <f t="shared" si="50"/>
        <v>0</v>
      </c>
      <c r="S64" s="2"/>
      <c r="T64" s="7"/>
      <c r="U64" s="2"/>
      <c r="V64" s="6">
        <f t="shared" si="51"/>
        <v>0</v>
      </c>
      <c r="W64" s="2"/>
      <c r="X64" s="7">
        <f t="shared" si="52"/>
        <v>6.71</v>
      </c>
      <c r="Y64" s="2"/>
      <c r="Z64" s="6">
        <f t="shared" si="53"/>
        <v>0</v>
      </c>
    </row>
    <row r="65" spans="1:26" s="24" customFormat="1" hidden="1" outlineLevel="2" x14ac:dyDescent="0.3">
      <c r="A65" s="27"/>
      <c r="B65" s="11" t="str">
        <f>CONCATENATE("          ", "6247", " - ", "STORE SUPPLIES")</f>
        <v xml:space="preserve">          6247 - STORE SUPPLIES</v>
      </c>
      <c r="C65" s="11"/>
      <c r="D65" s="7"/>
      <c r="E65" s="2"/>
      <c r="F65" s="6">
        <f t="shared" si="46"/>
        <v>0</v>
      </c>
      <c r="G65" s="2"/>
      <c r="H65" s="7">
        <v>1300</v>
      </c>
      <c r="I65" s="2"/>
      <c r="J65" s="6">
        <f t="shared" si="47"/>
        <v>0.12335136160926084</v>
      </c>
      <c r="K65" s="2"/>
      <c r="L65" s="7">
        <f t="shared" si="48"/>
        <v>-1300</v>
      </c>
      <c r="M65" s="2"/>
      <c r="N65" s="6">
        <f t="shared" si="49"/>
        <v>-1</v>
      </c>
      <c r="O65" s="11"/>
      <c r="P65" s="7"/>
      <c r="Q65" s="2"/>
      <c r="R65" s="6">
        <f t="shared" si="50"/>
        <v>0</v>
      </c>
      <c r="S65" s="2"/>
      <c r="T65" s="7">
        <v>6000</v>
      </c>
      <c r="U65" s="2"/>
      <c r="V65" s="6">
        <f t="shared" si="51"/>
        <v>0.10344649230185686</v>
      </c>
      <c r="W65" s="2"/>
      <c r="X65" s="7">
        <f t="shared" si="52"/>
        <v>-6000</v>
      </c>
      <c r="Y65" s="2"/>
      <c r="Z65" s="6">
        <f t="shared" si="53"/>
        <v>-1</v>
      </c>
    </row>
    <row r="66" spans="1:26" s="28" customFormat="1" outlineLevel="1" collapsed="1" x14ac:dyDescent="0.3">
      <c r="A66" s="29"/>
      <c r="B66" s="14" t="str">
        <f>CONCATENATE("     ","Telephone/Data Lines                              ")</f>
        <v xml:space="preserve">     Telephone/Data Lines                              </v>
      </c>
      <c r="C66" s="14"/>
      <c r="D66" s="1">
        <f>SUM(OSRRefD22_10x_0)</f>
        <v>-448.5</v>
      </c>
      <c r="E66" s="1"/>
      <c r="F66" s="5">
        <f t="shared" ref="F66:F69" si="54">IF(D$12=0,0,D66/D$12)</f>
        <v>0</v>
      </c>
      <c r="G66" s="1"/>
      <c r="H66" s="1">
        <f>SUM(OSRRefH22_10x_0)</f>
        <v>53</v>
      </c>
      <c r="I66" s="1"/>
      <c r="J66" s="5">
        <f t="shared" ref="J66:J69" si="55">IF(H$12=0,0,H66/H$12)</f>
        <v>5.0289401271467879E-3</v>
      </c>
      <c r="K66" s="1"/>
      <c r="L66" s="1">
        <f t="shared" ref="L66:L69" si="56">+D66-H66</f>
        <v>-501.5</v>
      </c>
      <c r="M66" s="1"/>
      <c r="N66" s="5">
        <f t="shared" ref="N66:N69" si="57">IF(H66=0,0,L66/H66)</f>
        <v>-9.4622641509433958</v>
      </c>
      <c r="O66" s="14"/>
      <c r="P66" s="1">
        <f>SUM(OSRRefP22_10x_0)</f>
        <v>287</v>
      </c>
      <c r="Q66" s="1"/>
      <c r="R66" s="5">
        <f t="shared" ref="R66:R69" si="58">IF(P$12=0,0,P66/P$12)</f>
        <v>0</v>
      </c>
      <c r="S66" s="1"/>
      <c r="T66" s="1">
        <f>SUM(OSRRefT22_10x_0)</f>
        <v>371</v>
      </c>
      <c r="U66" s="1"/>
      <c r="V66" s="5">
        <f t="shared" ref="V66:V69" si="59">IF(T$12=0,0,T66/T$12)</f>
        <v>6.3964414406648164E-3</v>
      </c>
      <c r="W66" s="1"/>
      <c r="X66" s="1">
        <f t="shared" ref="X66:X69" si="60">+P66-T66</f>
        <v>-84</v>
      </c>
      <c r="Y66" s="1"/>
      <c r="Z66" s="5">
        <f t="shared" ref="Z66:Z69" si="61">IF(T66=0,0,X66/T66)</f>
        <v>-0.22641509433962265</v>
      </c>
    </row>
    <row r="67" spans="1:26" s="24" customFormat="1" hidden="1" outlineLevel="2" x14ac:dyDescent="0.3">
      <c r="A67" s="27"/>
      <c r="B67" s="11" t="str">
        <f>CONCATENATE("          ", "6309", " - ", "TELEPHONE")</f>
        <v xml:space="preserve">          6309 - TELEPHONE</v>
      </c>
      <c r="C67" s="11"/>
      <c r="D67" s="7">
        <v>-448.5</v>
      </c>
      <c r="E67" s="2"/>
      <c r="F67" s="6">
        <f t="shared" si="54"/>
        <v>0</v>
      </c>
      <c r="G67" s="2"/>
      <c r="H67" s="7">
        <v>53</v>
      </c>
      <c r="I67" s="2"/>
      <c r="J67" s="6">
        <f t="shared" si="55"/>
        <v>5.0289401271467879E-3</v>
      </c>
      <c r="K67" s="2"/>
      <c r="L67" s="7">
        <f t="shared" si="56"/>
        <v>-501.5</v>
      </c>
      <c r="M67" s="2"/>
      <c r="N67" s="6">
        <f t="shared" si="57"/>
        <v>-9.4622641509433958</v>
      </c>
      <c r="O67" s="11"/>
      <c r="P67" s="7">
        <v>287</v>
      </c>
      <c r="Q67" s="2"/>
      <c r="R67" s="6">
        <f t="shared" si="58"/>
        <v>0</v>
      </c>
      <c r="S67" s="2"/>
      <c r="T67" s="7">
        <v>371</v>
      </c>
      <c r="U67" s="2"/>
      <c r="V67" s="6">
        <f t="shared" si="59"/>
        <v>6.3964414406648164E-3</v>
      </c>
      <c r="W67" s="2"/>
      <c r="X67" s="7">
        <f t="shared" si="60"/>
        <v>-84</v>
      </c>
      <c r="Y67" s="2"/>
      <c r="Z67" s="6">
        <f t="shared" si="61"/>
        <v>-0.22641509433962265</v>
      </c>
    </row>
    <row r="68" spans="1:26" s="28" customFormat="1" outlineLevel="1" collapsed="1" x14ac:dyDescent="0.3">
      <c r="A68" s="29"/>
      <c r="B68" s="14" t="str">
        <f>CONCATENATE("     ","Training                                          ")</f>
        <v xml:space="preserve">     Training                                          </v>
      </c>
      <c r="C68" s="14"/>
      <c r="D68" s="1">
        <f>SUM(OSRRefD22_11x_0)</f>
        <v>0</v>
      </c>
      <c r="E68" s="1"/>
      <c r="F68" s="5">
        <f t="shared" si="54"/>
        <v>0</v>
      </c>
      <c r="G68" s="1"/>
      <c r="H68" s="1">
        <f>SUM(OSRRefH22_11x_0)</f>
        <v>75</v>
      </c>
      <c r="I68" s="1"/>
      <c r="J68" s="5">
        <f t="shared" si="55"/>
        <v>7.1164247082265873E-3</v>
      </c>
      <c r="K68" s="1"/>
      <c r="L68" s="1">
        <f t="shared" si="56"/>
        <v>-75</v>
      </c>
      <c r="M68" s="1"/>
      <c r="N68" s="5">
        <f t="shared" si="57"/>
        <v>-1</v>
      </c>
      <c r="O68" s="14"/>
      <c r="P68" s="1">
        <f>SUM(OSRRefP22_11x_0)</f>
        <v>0</v>
      </c>
      <c r="Q68" s="1"/>
      <c r="R68" s="5">
        <f t="shared" si="58"/>
        <v>0</v>
      </c>
      <c r="S68" s="1"/>
      <c r="T68" s="1">
        <f>SUM(OSRRefT22_11x_0)</f>
        <v>150</v>
      </c>
      <c r="U68" s="1"/>
      <c r="V68" s="5">
        <f t="shared" si="59"/>
        <v>2.5861623075464214E-3</v>
      </c>
      <c r="W68" s="1"/>
      <c r="X68" s="1">
        <f t="shared" si="60"/>
        <v>-150</v>
      </c>
      <c r="Y68" s="1"/>
      <c r="Z68" s="5">
        <f t="shared" si="61"/>
        <v>-1</v>
      </c>
    </row>
    <row r="69" spans="1:26" s="24" customFormat="1" hidden="1" outlineLevel="2" x14ac:dyDescent="0.3">
      <c r="A69" s="27"/>
      <c r="B69" s="11" t="str">
        <f>CONCATENATE("          ", "6376", " - ", "TRAINING")</f>
        <v xml:space="preserve">          6376 - TRAINING</v>
      </c>
      <c r="C69" s="11"/>
      <c r="D69" s="7"/>
      <c r="E69" s="2"/>
      <c r="F69" s="6">
        <f t="shared" si="54"/>
        <v>0</v>
      </c>
      <c r="G69" s="2"/>
      <c r="H69" s="7">
        <v>75</v>
      </c>
      <c r="I69" s="2"/>
      <c r="J69" s="6">
        <f t="shared" si="55"/>
        <v>7.1164247082265873E-3</v>
      </c>
      <c r="K69" s="2"/>
      <c r="L69" s="7">
        <f t="shared" si="56"/>
        <v>-75</v>
      </c>
      <c r="M69" s="2"/>
      <c r="N69" s="6">
        <f t="shared" si="57"/>
        <v>-1</v>
      </c>
      <c r="O69" s="11"/>
      <c r="P69" s="7"/>
      <c r="Q69" s="2"/>
      <c r="R69" s="6">
        <f t="shared" si="58"/>
        <v>0</v>
      </c>
      <c r="S69" s="2"/>
      <c r="T69" s="7">
        <v>150</v>
      </c>
      <c r="U69" s="2"/>
      <c r="V69" s="6">
        <f t="shared" si="59"/>
        <v>2.5861623075464214E-3</v>
      </c>
      <c r="W69" s="2"/>
      <c r="X69" s="7">
        <f t="shared" si="60"/>
        <v>-150</v>
      </c>
      <c r="Y69" s="2"/>
      <c r="Z69" s="6">
        <f t="shared" si="61"/>
        <v>-1</v>
      </c>
    </row>
    <row r="70" spans="1:26" s="55" customFormat="1" x14ac:dyDescent="0.3">
      <c r="A70" s="36"/>
      <c r="B70" s="36"/>
      <c r="C70" s="36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6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3">
      <c r="A71" s="10"/>
      <c r="B71" s="25" t="s">
        <v>293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3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3">
      <c r="A73" s="10"/>
      <c r="B73" s="26" t="s">
        <v>277</v>
      </c>
      <c r="C73" s="26"/>
      <c r="D73" s="21">
        <f>+D20-D22+D71</f>
        <v>-7377.6</v>
      </c>
      <c r="E73" s="13"/>
      <c r="F73" s="22">
        <f>IF(D$12=0,0,D73/D$12)</f>
        <v>0</v>
      </c>
      <c r="G73" s="13"/>
      <c r="H73" s="21">
        <f>+H20-H22+H71</f>
        <v>-2069.6191252500003</v>
      </c>
      <c r="I73" s="13"/>
      <c r="J73" s="22">
        <f>IF(H$12=0,0,H73/H$12)</f>
        <v>-0.19637718239396529</v>
      </c>
      <c r="K73" s="15"/>
      <c r="L73" s="21">
        <f>+D73-H73</f>
        <v>-5307.9808747500001</v>
      </c>
      <c r="M73" s="15"/>
      <c r="N73" s="22">
        <f>IF(H73=0,0,L73/H73)</f>
        <v>2.5647138693255074</v>
      </c>
      <c r="O73" s="25"/>
      <c r="P73" s="21">
        <f>+P20-P22+P71</f>
        <v>-28608.33</v>
      </c>
      <c r="Q73" s="13"/>
      <c r="R73" s="22">
        <f>IF(P$12=0,0,P73/P$12)</f>
        <v>0</v>
      </c>
      <c r="S73" s="13"/>
      <c r="T73" s="21">
        <f>+T20-T22+T71</f>
        <v>-18616.495575250003</v>
      </c>
      <c r="U73" s="13"/>
      <c r="V73" s="22">
        <f>IF(T$12=0,0,T73/T$12)</f>
        <v>-0.32096852770210865</v>
      </c>
      <c r="W73" s="15"/>
      <c r="X73" s="21">
        <f>+P73-T73</f>
        <v>-9991.834424749999</v>
      </c>
      <c r="Y73" s="15"/>
      <c r="Z73" s="22">
        <f>IF(T73=0,0,X73/T73)</f>
        <v>0.53671940480751934</v>
      </c>
    </row>
    <row r="74" spans="1:26" x14ac:dyDescent="0.3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3">
      <c r="A75" s="52"/>
      <c r="B75" s="10" t="s">
        <v>128</v>
      </c>
      <c r="C75" s="10"/>
      <c r="D75" s="4"/>
      <c r="E75" s="4"/>
      <c r="F75" s="12">
        <f>IF(D$12=0,0,D75/D$12)</f>
        <v>0</v>
      </c>
      <c r="G75" s="4"/>
      <c r="H75" s="4">
        <v>1122</v>
      </c>
      <c r="I75" s="4"/>
      <c r="J75" s="12">
        <f>IF(H$12=0,0,H75/H$12)</f>
        <v>0.10646171363506975</v>
      </c>
      <c r="K75" s="4"/>
      <c r="L75" s="4">
        <f>+D75-H75</f>
        <v>-1122</v>
      </c>
      <c r="M75" s="4"/>
      <c r="N75" s="12">
        <f>IF(H75=0,0,L75/H75)</f>
        <v>-1</v>
      </c>
      <c r="O75" s="10"/>
      <c r="P75" s="4"/>
      <c r="Q75" s="4"/>
      <c r="R75" s="12">
        <f>IF(P$12=0,0,P75/P$12)</f>
        <v>0</v>
      </c>
      <c r="S75" s="4"/>
      <c r="T75" s="4">
        <v>7266</v>
      </c>
      <c r="U75" s="4"/>
      <c r="V75" s="12">
        <f>IF(T$12=0,0,T75/T$12)</f>
        <v>0.12527370217754866</v>
      </c>
      <c r="W75" s="4"/>
      <c r="X75" s="4">
        <f>+P75-T75</f>
        <v>-7266</v>
      </c>
      <c r="Y75" s="4"/>
      <c r="Z75" s="12">
        <f>IF(T75=0,0,X75/T75)</f>
        <v>-1</v>
      </c>
    </row>
    <row r="76" spans="1:26" x14ac:dyDescent="0.3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" thickBot="1" x14ac:dyDescent="0.35">
      <c r="A77" s="10"/>
      <c r="B77" s="26" t="s">
        <v>126</v>
      </c>
      <c r="C77" s="26"/>
      <c r="D77" s="32">
        <f>+D73-D75</f>
        <v>-7377.6</v>
      </c>
      <c r="E77" s="13"/>
      <c r="F77" s="31">
        <f>IF(D$12=0,0,D77/D$12)</f>
        <v>0</v>
      </c>
      <c r="G77" s="13"/>
      <c r="H77" s="32">
        <f>+H73-H75</f>
        <v>-3191.6191252500003</v>
      </c>
      <c r="I77" s="13"/>
      <c r="J77" s="31">
        <f>IF(H$12=0,0,H77/H$12)</f>
        <v>-0.30283889602903502</v>
      </c>
      <c r="K77" s="15"/>
      <c r="L77" s="32">
        <f>D77-H77</f>
        <v>-4185.9808747500001</v>
      </c>
      <c r="M77" s="15"/>
      <c r="N77" s="31">
        <f>IF(H77=0,0,L77/H77)</f>
        <v>1.3115540139590156</v>
      </c>
      <c r="O77" s="25"/>
      <c r="P77" s="32">
        <f>+P73-P75</f>
        <v>-28608.33</v>
      </c>
      <c r="Q77" s="13"/>
      <c r="R77" s="31">
        <f>IF(P$12=0,0,P77/P$12)</f>
        <v>0</v>
      </c>
      <c r="S77" s="13"/>
      <c r="T77" s="32">
        <f>+T73-T75</f>
        <v>-25882.495575250003</v>
      </c>
      <c r="U77" s="13"/>
      <c r="V77" s="31">
        <f>IF(T$12=0,0,T77/T$12)</f>
        <v>-0.44624222987965728</v>
      </c>
      <c r="W77" s="15"/>
      <c r="X77" s="32">
        <f>P77-T77</f>
        <v>-2725.834424749999</v>
      </c>
      <c r="Y77" s="15"/>
      <c r="Z77" s="31">
        <f>IF(T77=0,0,X77/T77)</f>
        <v>0.10531574966660338</v>
      </c>
    </row>
    <row r="78" spans="1:26" ht="15" thickTop="1" x14ac:dyDescent="0.3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3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" thickBot="1" x14ac:dyDescent="0.35">
      <c r="A80" s="10"/>
      <c r="B80" s="26" t="s">
        <v>294</v>
      </c>
      <c r="C80" s="26"/>
      <c r="D80" s="34">
        <f>SUM(D77:D79)</f>
        <v>-7377.6</v>
      </c>
      <c r="E80" s="13"/>
      <c r="F80" s="35">
        <f>IF(D$12=0,0,D80/D$12)</f>
        <v>0</v>
      </c>
      <c r="G80" s="13"/>
      <c r="H80" s="34">
        <f>SUM(H77:H79)</f>
        <v>-3191.6191252500003</v>
      </c>
      <c r="I80" s="13"/>
      <c r="J80" s="35">
        <f>IF(H$12=0,0,H80/H$12)</f>
        <v>-0.30283889602903502</v>
      </c>
      <c r="K80" s="15"/>
      <c r="L80" s="34">
        <f>+D80-H80</f>
        <v>-4185.9808747500001</v>
      </c>
      <c r="M80" s="15"/>
      <c r="N80" s="35">
        <f>IF(H80=0,0,L80/H80)</f>
        <v>1.3115540139590156</v>
      </c>
      <c r="O80" s="25"/>
      <c r="P80" s="34">
        <f>SUM(P77:P79)</f>
        <v>-28608.33</v>
      </c>
      <c r="Q80" s="13"/>
      <c r="R80" s="35">
        <f>IF(P$12=0,0,P80/P$12)</f>
        <v>0</v>
      </c>
      <c r="S80" s="13"/>
      <c r="T80" s="34">
        <f>SUM(T77:T79)</f>
        <v>-25882.495575250003</v>
      </c>
      <c r="U80" s="13"/>
      <c r="V80" s="35">
        <f>IF(T$12=0,0,T80/T$12)</f>
        <v>-0.44624222987965728</v>
      </c>
      <c r="W80" s="15"/>
      <c r="X80" s="34">
        <f>+P80-T80</f>
        <v>-2725.834424749999</v>
      </c>
      <c r="Y80" s="15"/>
      <c r="Z80" s="35">
        <f>IF(T80=0,0,X80/T80)</f>
        <v>0.10531574966660338</v>
      </c>
    </row>
    <row r="81" spans="1:24" ht="15" thickTop="1" x14ac:dyDescent="0.3">
      <c r="A81" s="9"/>
      <c r="C81" s="9"/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3">
      <c r="A82" s="9"/>
      <c r="B82" s="53">
        <v>44604.019995405091</v>
      </c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3">
      <c r="A83" s="9"/>
      <c r="B83" s="63" t="s">
        <v>56</v>
      </c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4" x14ac:dyDescent="0.3">
      <c r="A84" s="9"/>
      <c r="B84" s="58"/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4" x14ac:dyDescent="0.3"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2D050"/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","325", " - ", "Outpost C-Store")</f>
        <v>Department 325 - Outpost C-Store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4833.46</v>
      </c>
      <c r="E12" s="4"/>
      <c r="F12" s="12"/>
      <c r="G12" s="4"/>
      <c r="H12" s="4">
        <f>SUM(OSRRefH13x_0)</f>
        <v>24837</v>
      </c>
      <c r="I12" s="4"/>
      <c r="J12" s="12"/>
      <c r="K12" s="4"/>
      <c r="L12" s="4">
        <f t="shared" ref="L12:L14" si="0">+D12-H12</f>
        <v>-20003.54</v>
      </c>
      <c r="M12" s="4"/>
      <c r="N12" s="12">
        <f t="shared" ref="N12:N14" si="1">IF(H12=0,0,L12/H12)</f>
        <v>-0.80539276080041877</v>
      </c>
      <c r="O12" s="10"/>
      <c r="P12" s="4">
        <f>SUM(OSRRefP13x_0)</f>
        <v>80542.239999999991</v>
      </c>
      <c r="Q12" s="4"/>
      <c r="R12" s="12"/>
      <c r="S12" s="4"/>
      <c r="T12" s="4">
        <f>SUM(OSRRefT13x_0)</f>
        <v>130673</v>
      </c>
      <c r="U12" s="4"/>
      <c r="V12" s="12"/>
      <c r="W12" s="4"/>
      <c r="X12" s="4">
        <f t="shared" ref="X12:X14" si="2">+P12-T12</f>
        <v>-50130.760000000009</v>
      </c>
      <c r="Y12" s="4"/>
      <c r="Z12" s="12">
        <f t="shared" ref="Z12:Z14" si="3">IF(T12=0,0,X12/T12)</f>
        <v>-0.38363518094786231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--803.91</f>
        <v>803.91</v>
      </c>
      <c r="E13" s="2"/>
      <c r="F13" s="19"/>
      <c r="G13" s="2"/>
      <c r="H13" s="2">
        <v>4402</v>
      </c>
      <c r="I13" s="2"/>
      <c r="J13" s="19"/>
      <c r="K13" s="2"/>
      <c r="L13" s="2">
        <f t="shared" si="0"/>
        <v>-3598.09</v>
      </c>
      <c r="M13" s="2"/>
      <c r="N13" s="19">
        <f t="shared" si="1"/>
        <v>-0.81737619263970929</v>
      </c>
      <c r="O13" s="11"/>
      <c r="P13" s="2">
        <f>--13554.56</f>
        <v>13554.56</v>
      </c>
      <c r="Q13" s="2"/>
      <c r="R13" s="19"/>
      <c r="S13" s="2"/>
      <c r="T13" s="2">
        <v>23162</v>
      </c>
      <c r="U13" s="2"/>
      <c r="V13" s="19"/>
      <c r="W13" s="2"/>
      <c r="X13" s="2">
        <f t="shared" si="2"/>
        <v>-9607.44</v>
      </c>
      <c r="Y13" s="2"/>
      <c r="Z13" s="19">
        <f t="shared" si="3"/>
        <v>-0.41479319575166224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--4029.55</f>
        <v>4029.55</v>
      </c>
      <c r="E14" s="2"/>
      <c r="F14" s="19"/>
      <c r="G14" s="2"/>
      <c r="H14" s="2">
        <v>20435</v>
      </c>
      <c r="I14" s="2"/>
      <c r="J14" s="19"/>
      <c r="K14" s="2"/>
      <c r="L14" s="2">
        <f t="shared" si="0"/>
        <v>-16405.45</v>
      </c>
      <c r="M14" s="2"/>
      <c r="N14" s="19">
        <f t="shared" si="1"/>
        <v>-0.80281135307071205</v>
      </c>
      <c r="O14" s="11"/>
      <c r="P14" s="2">
        <f>--66987.68</f>
        <v>66987.679999999993</v>
      </c>
      <c r="Q14" s="2"/>
      <c r="R14" s="19"/>
      <c r="S14" s="2"/>
      <c r="T14" s="2">
        <v>107511</v>
      </c>
      <c r="U14" s="2"/>
      <c r="V14" s="19"/>
      <c r="W14" s="2"/>
      <c r="X14" s="2">
        <f t="shared" si="2"/>
        <v>-40523.320000000007</v>
      </c>
      <c r="Y14" s="2"/>
      <c r="Z14" s="19">
        <f t="shared" si="3"/>
        <v>-0.37692254746025994</v>
      </c>
    </row>
    <row r="15" spans="1:26" x14ac:dyDescent="0.3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">
      <c r="A16" s="10"/>
      <c r="B16" s="25" t="s">
        <v>257</v>
      </c>
      <c r="C16" s="10"/>
      <c r="D16" s="4">
        <f>SUM(OSRRefD16x_0)</f>
        <v>2283.37</v>
      </c>
      <c r="E16" s="4"/>
      <c r="F16" s="12">
        <f t="shared" ref="F16:F19" si="4">IF(D$12=0,0,D16/D$12)</f>
        <v>0.47240899893657956</v>
      </c>
      <c r="G16" s="4"/>
      <c r="H16" s="4">
        <f>SUM(OSRRefH16x_0)</f>
        <v>12170</v>
      </c>
      <c r="I16" s="4"/>
      <c r="J16" s="12">
        <f t="shared" ref="J16:J19" si="5">IF(H$12=0,0,H16/H$12)</f>
        <v>0.48999476587349516</v>
      </c>
      <c r="K16" s="4"/>
      <c r="L16" s="4">
        <f t="shared" ref="L16:L19" si="6">+D16-H16</f>
        <v>-9886.630000000001</v>
      </c>
      <c r="M16" s="4"/>
      <c r="N16" s="12">
        <f t="shared" ref="N16:N19" si="7">IF(H16=0,0,L16/H16)</f>
        <v>-0.81237715694330326</v>
      </c>
      <c r="O16" s="10"/>
      <c r="P16" s="4">
        <f>SUM(OSRRefP16x_0)</f>
        <v>40110.480000000003</v>
      </c>
      <c r="Q16" s="4"/>
      <c r="R16" s="12">
        <f t="shared" ref="R16:R19" si="8">IF(P$12=0,0,P16/P$12)</f>
        <v>0.49800551859496345</v>
      </c>
      <c r="S16" s="4"/>
      <c r="T16" s="4">
        <f>SUM(OSRRefT16x_0)</f>
        <v>64030</v>
      </c>
      <c r="U16" s="4"/>
      <c r="V16" s="12">
        <f t="shared" ref="V16:V19" si="9">IF(T$12=0,0,T16/T$12)</f>
        <v>0.49000176011876978</v>
      </c>
      <c r="W16" s="4"/>
      <c r="X16" s="4">
        <f t="shared" ref="X16:X19" si="10">+P16-T16</f>
        <v>-23919.519999999997</v>
      </c>
      <c r="Y16" s="4"/>
      <c r="Z16" s="12">
        <f t="shared" ref="Z16:Z19" si="11">IF(T16=0,0,X16/T16)</f>
        <v>-0.37356739028580349</v>
      </c>
    </row>
    <row r="17" spans="1:26" s="24" customFormat="1" hidden="1" outlineLevel="1" x14ac:dyDescent="0.3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4"/>
        <v>0</v>
      </c>
      <c r="G17" s="2"/>
      <c r="H17" s="2">
        <v>12170</v>
      </c>
      <c r="I17" s="2"/>
      <c r="J17" s="19">
        <f t="shared" si="5"/>
        <v>0.48999476587349516</v>
      </c>
      <c r="K17" s="2"/>
      <c r="L17" s="2">
        <f t="shared" si="6"/>
        <v>-12170</v>
      </c>
      <c r="M17" s="2"/>
      <c r="N17" s="19">
        <f t="shared" si="7"/>
        <v>-1</v>
      </c>
      <c r="O17" s="11"/>
      <c r="P17" s="2"/>
      <c r="Q17" s="2"/>
      <c r="R17" s="19">
        <f t="shared" si="8"/>
        <v>0</v>
      </c>
      <c r="S17" s="2"/>
      <c r="T17" s="2">
        <v>64030</v>
      </c>
      <c r="U17" s="2"/>
      <c r="V17" s="19">
        <f t="shared" si="9"/>
        <v>0.49000176011876978</v>
      </c>
      <c r="W17" s="2"/>
      <c r="X17" s="2">
        <f t="shared" si="10"/>
        <v>-64030</v>
      </c>
      <c r="Y17" s="2"/>
      <c r="Z17" s="19">
        <f t="shared" si="11"/>
        <v>-1</v>
      </c>
    </row>
    <row r="18" spans="1:26" s="24" customFormat="1" hidden="1" outlineLevel="1" x14ac:dyDescent="0.3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238.42</v>
      </c>
      <c r="E18" s="2"/>
      <c r="F18" s="19">
        <f t="shared" si="4"/>
        <v>4.932698315492421E-2</v>
      </c>
      <c r="G18" s="2"/>
      <c r="H18" s="2"/>
      <c r="I18" s="2"/>
      <c r="J18" s="19">
        <f t="shared" si="5"/>
        <v>0</v>
      </c>
      <c r="K18" s="2"/>
      <c r="L18" s="2">
        <f t="shared" si="6"/>
        <v>238.42</v>
      </c>
      <c r="M18" s="2"/>
      <c r="N18" s="19">
        <f t="shared" si="7"/>
        <v>0</v>
      </c>
      <c r="O18" s="11"/>
      <c r="P18" s="2">
        <v>41892.61</v>
      </c>
      <c r="Q18" s="2"/>
      <c r="R18" s="19">
        <f t="shared" si="8"/>
        <v>0.52013216915745086</v>
      </c>
      <c r="S18" s="2"/>
      <c r="T18" s="2"/>
      <c r="U18" s="2"/>
      <c r="V18" s="19">
        <f t="shared" si="9"/>
        <v>0</v>
      </c>
      <c r="W18" s="2"/>
      <c r="X18" s="2">
        <f t="shared" si="10"/>
        <v>41892.61</v>
      </c>
      <c r="Y18" s="2"/>
      <c r="Z18" s="19">
        <f t="shared" si="11"/>
        <v>0</v>
      </c>
    </row>
    <row r="19" spans="1:26" s="24" customFormat="1" hidden="1" outlineLevel="1" x14ac:dyDescent="0.3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2044.95</v>
      </c>
      <c r="E19" s="2"/>
      <c r="F19" s="19">
        <f t="shared" si="4"/>
        <v>0.42308201578165539</v>
      </c>
      <c r="G19" s="2"/>
      <c r="H19" s="2"/>
      <c r="I19" s="2"/>
      <c r="J19" s="19">
        <f t="shared" si="5"/>
        <v>0</v>
      </c>
      <c r="K19" s="2"/>
      <c r="L19" s="2">
        <f t="shared" si="6"/>
        <v>2044.95</v>
      </c>
      <c r="M19" s="2"/>
      <c r="N19" s="19">
        <f t="shared" si="7"/>
        <v>0</v>
      </c>
      <c r="O19" s="11"/>
      <c r="P19" s="2">
        <v>-1782.13</v>
      </c>
      <c r="Q19" s="2"/>
      <c r="R19" s="19">
        <f t="shared" si="8"/>
        <v>-2.2126650562487464E-2</v>
      </c>
      <c r="S19" s="2"/>
      <c r="T19" s="2"/>
      <c r="U19" s="2"/>
      <c r="V19" s="19">
        <f t="shared" si="9"/>
        <v>0</v>
      </c>
      <c r="W19" s="2"/>
      <c r="X19" s="2">
        <f t="shared" si="10"/>
        <v>-1782.13</v>
      </c>
      <c r="Y19" s="2"/>
      <c r="Z19" s="19">
        <f t="shared" si="11"/>
        <v>0</v>
      </c>
    </row>
    <row r="20" spans="1:26" x14ac:dyDescent="0.3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3">
      <c r="A21" s="10"/>
      <c r="B21" s="26" t="s">
        <v>108</v>
      </c>
      <c r="C21" s="26"/>
      <c r="D21" s="21">
        <f>D12-D16</f>
        <v>2550.09</v>
      </c>
      <c r="E21" s="13"/>
      <c r="F21" s="22">
        <f>IF(D$12=0,0,D21/D$12)</f>
        <v>0.52759100106342038</v>
      </c>
      <c r="G21" s="13"/>
      <c r="H21" s="21">
        <f>H12-H16</f>
        <v>12667</v>
      </c>
      <c r="I21" s="13"/>
      <c r="J21" s="22">
        <f>IF(H$12=0,0,H21/H$12)</f>
        <v>0.51000523412650478</v>
      </c>
      <c r="K21" s="15"/>
      <c r="L21" s="21">
        <f>+D21-H21</f>
        <v>-10116.91</v>
      </c>
      <c r="M21" s="15"/>
      <c r="N21" s="22">
        <f>IF(H21=0,0,L21/H21)</f>
        <v>-0.79868240309465544</v>
      </c>
      <c r="O21" s="25"/>
      <c r="P21" s="21">
        <f>P12-P16</f>
        <v>40431.759999999987</v>
      </c>
      <c r="Q21" s="13"/>
      <c r="R21" s="22">
        <f>IF(P$12=0,0,P21/P$12)</f>
        <v>0.50199448140503655</v>
      </c>
      <c r="S21" s="13"/>
      <c r="T21" s="21">
        <f>T12-T16</f>
        <v>66643</v>
      </c>
      <c r="U21" s="13"/>
      <c r="V21" s="22">
        <f>IF(T$12=0,0,T21/T$12)</f>
        <v>0.50999823988123028</v>
      </c>
      <c r="W21" s="15"/>
      <c r="X21" s="21">
        <f>+P21-T21</f>
        <v>-26211.240000000013</v>
      </c>
      <c r="Y21" s="15"/>
      <c r="Z21" s="22">
        <f>IF(T21=0,0,X21/T21)</f>
        <v>-0.39330822441966917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5" t="s">
        <v>295</v>
      </c>
      <c r="C23" s="10"/>
      <c r="D23" s="20">
        <f>SUM(OSRRefD22x_0)</f>
        <v>22372.219999999998</v>
      </c>
      <c r="E23" s="20"/>
      <c r="F23" s="33">
        <f t="shared" ref="F23:F33" si="12">IF(D$12=0,0,D23/D$12)</f>
        <v>4.628613870808902</v>
      </c>
      <c r="G23" s="20"/>
      <c r="H23" s="20">
        <f>SUM(OSRRefH22x_0)</f>
        <v>26698.689544384615</v>
      </c>
      <c r="I23" s="20"/>
      <c r="J23" s="33">
        <f t="shared" ref="J23:J33" si="13">IF(H$12=0,0,H23/H$12)</f>
        <v>1.0749562968307209</v>
      </c>
      <c r="K23" s="4"/>
      <c r="L23" s="20">
        <f t="shared" ref="L23:L33" si="14">+D23-H23</f>
        <v>-4326.4695443846176</v>
      </c>
      <c r="M23" s="4"/>
      <c r="N23" s="33">
        <f t="shared" ref="N23:N33" si="15">IF(H23=0,0,L23/H23)</f>
        <v>-0.16204801127756399</v>
      </c>
      <c r="O23" s="10"/>
      <c r="P23" s="20">
        <f>SUM(OSRRefP22x_0)</f>
        <v>121954.51000000002</v>
      </c>
      <c r="Q23" s="20"/>
      <c r="R23" s="33">
        <f t="shared" ref="R23:R33" si="16">IF(P$12=0,0,P23/P$12)</f>
        <v>1.5141683419780732</v>
      </c>
      <c r="S23" s="20"/>
      <c r="T23" s="20">
        <f>SUM(OSRRefT22x_0)</f>
        <v>190065.72552438459</v>
      </c>
      <c r="U23" s="20"/>
      <c r="V23" s="33">
        <f t="shared" ref="V23:V33" si="17">IF(T$12=0,0,T23/T$12)</f>
        <v>1.4545141347055979</v>
      </c>
      <c r="W23" s="4"/>
      <c r="X23" s="20">
        <f t="shared" ref="X23:X33" si="18">+P23-T23</f>
        <v>-68111.215524384563</v>
      </c>
      <c r="Y23" s="4"/>
      <c r="Z23" s="33">
        <f t="shared" ref="Z23:Z33" si="19">IF(T23=0,0,X23/T23)</f>
        <v>-0.35835611779276949</v>
      </c>
    </row>
    <row r="24" spans="1:26" s="28" customFormat="1" outlineLevel="1" collapsed="1" x14ac:dyDescent="0.3">
      <c r="A24" s="29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3795.8700000000003</v>
      </c>
      <c r="E24" s="1"/>
      <c r="F24" s="5">
        <f t="shared" si="12"/>
        <v>0.78533183268300566</v>
      </c>
      <c r="G24" s="1"/>
      <c r="H24" s="1">
        <f>SUM(OSRRefH22_0x_0)</f>
        <v>4169.3226059230765</v>
      </c>
      <c r="I24" s="1"/>
      <c r="J24" s="5">
        <f t="shared" si="13"/>
        <v>0.16786739968285527</v>
      </c>
      <c r="K24" s="1"/>
      <c r="L24" s="1">
        <f t="shared" si="14"/>
        <v>-373.45260592307613</v>
      </c>
      <c r="M24" s="1"/>
      <c r="N24" s="5">
        <f t="shared" si="15"/>
        <v>-8.9571530251110129E-2</v>
      </c>
      <c r="O24" s="14"/>
      <c r="P24" s="1">
        <f>SUM(OSRRefP22_0x_0)</f>
        <v>5360.19</v>
      </c>
      <c r="Q24" s="1"/>
      <c r="R24" s="5">
        <f t="shared" si="16"/>
        <v>6.6551290353980719E-2</v>
      </c>
      <c r="S24" s="1"/>
      <c r="T24" s="1">
        <f>SUM(OSRRefT22_0x_0)</f>
        <v>28162.338585923088</v>
      </c>
      <c r="U24" s="1"/>
      <c r="V24" s="5">
        <f t="shared" si="17"/>
        <v>0.21551765541407245</v>
      </c>
      <c r="W24" s="1"/>
      <c r="X24" s="1">
        <f t="shared" si="18"/>
        <v>-22802.148585923089</v>
      </c>
      <c r="Y24" s="1"/>
      <c r="Z24" s="5">
        <f t="shared" si="19"/>
        <v>-0.80966815012020044</v>
      </c>
    </row>
    <row r="25" spans="1:26" s="24" customFormat="1" hidden="1" outlineLevel="2" x14ac:dyDescent="0.3">
      <c r="A25" s="27"/>
      <c r="B25" s="11" t="str">
        <f>CONCATENATE("          ", "6111", " - ", "F.I.C.A.")</f>
        <v xml:space="preserve">          6111 - F.I.C.A.</v>
      </c>
      <c r="C25" s="11"/>
      <c r="D25" s="7">
        <v>459.27</v>
      </c>
      <c r="E25" s="2"/>
      <c r="F25" s="6">
        <f t="shared" si="12"/>
        <v>9.5018889160146142E-2</v>
      </c>
      <c r="G25" s="2"/>
      <c r="H25" s="7">
        <v>523.705975153846</v>
      </c>
      <c r="I25" s="2"/>
      <c r="J25" s="6">
        <f t="shared" si="13"/>
        <v>2.1085717886775619E-2</v>
      </c>
      <c r="K25" s="2"/>
      <c r="L25" s="7">
        <f t="shared" si="14"/>
        <v>-64.435975153846016</v>
      </c>
      <c r="M25" s="2"/>
      <c r="N25" s="6">
        <f t="shared" si="15"/>
        <v>-0.12303845709401548</v>
      </c>
      <c r="O25" s="11"/>
      <c r="P25" s="7">
        <v>1527.46</v>
      </c>
      <c r="Q25" s="2"/>
      <c r="R25" s="6">
        <f t="shared" si="16"/>
        <v>1.896470721450012E-2</v>
      </c>
      <c r="S25" s="2"/>
      <c r="T25" s="7">
        <v>3383.3259551538499</v>
      </c>
      <c r="U25" s="2"/>
      <c r="V25" s="6">
        <f t="shared" si="17"/>
        <v>2.5891545729828273E-2</v>
      </c>
      <c r="W25" s="2"/>
      <c r="X25" s="7">
        <f t="shared" si="18"/>
        <v>-1855.8659551538499</v>
      </c>
      <c r="Y25" s="2"/>
      <c r="Z25" s="6">
        <f t="shared" si="19"/>
        <v>-0.54853300561442897</v>
      </c>
    </row>
    <row r="26" spans="1:26" s="24" customFormat="1" hidden="1" outlineLevel="2" x14ac:dyDescent="0.3">
      <c r="A26" s="27"/>
      <c r="B26" s="11" t="str">
        <f>CONCATENATE("          ", "6112", " - ", "COMPENSATION INSURANCE")</f>
        <v xml:space="preserve">          6112 - COMPENSATION INSURANCE</v>
      </c>
      <c r="C26" s="11"/>
      <c r="D26" s="7">
        <v>200.96</v>
      </c>
      <c r="E26" s="2"/>
      <c r="F26" s="6">
        <f t="shared" si="12"/>
        <v>4.1576841434500342E-2</v>
      </c>
      <c r="G26" s="2"/>
      <c r="H26" s="7">
        <v>414.91654723076903</v>
      </c>
      <c r="I26" s="2"/>
      <c r="J26" s="6">
        <f t="shared" si="13"/>
        <v>1.6705582285733746E-2</v>
      </c>
      <c r="K26" s="2"/>
      <c r="L26" s="7">
        <f t="shared" si="14"/>
        <v>-213.95654723076902</v>
      </c>
      <c r="M26" s="2"/>
      <c r="N26" s="6">
        <f t="shared" si="15"/>
        <v>-0.51566164005450066</v>
      </c>
      <c r="O26" s="11"/>
      <c r="P26" s="7">
        <v>556.30999999999995</v>
      </c>
      <c r="Q26" s="2"/>
      <c r="R26" s="6">
        <f t="shared" si="16"/>
        <v>6.9070589544070289E-3</v>
      </c>
      <c r="S26" s="2"/>
      <c r="T26" s="7">
        <v>2894.4103472307702</v>
      </c>
      <c r="U26" s="2"/>
      <c r="V26" s="6">
        <f t="shared" si="17"/>
        <v>2.2150025997954972E-2</v>
      </c>
      <c r="W26" s="2"/>
      <c r="X26" s="7">
        <f t="shared" si="18"/>
        <v>-2338.1003472307702</v>
      </c>
      <c r="Y26" s="2"/>
      <c r="Z26" s="6">
        <f t="shared" si="19"/>
        <v>-0.80779850357698935</v>
      </c>
    </row>
    <row r="27" spans="1:26" s="24" customFormat="1" hidden="1" outlineLevel="2" x14ac:dyDescent="0.3">
      <c r="A27" s="27"/>
      <c r="B27" s="11" t="str">
        <f>CONCATENATE("          ", "6113", " - ", "GROUP INSURANCE")</f>
        <v xml:space="preserve">          6113 - GROUP INSURANCE</v>
      </c>
      <c r="C27" s="11"/>
      <c r="D27" s="7">
        <v>1752.24</v>
      </c>
      <c r="E27" s="2"/>
      <c r="F27" s="6">
        <f t="shared" si="12"/>
        <v>0.36252291319261976</v>
      </c>
      <c r="G27" s="2"/>
      <c r="H27" s="7">
        <v>1977</v>
      </c>
      <c r="I27" s="2"/>
      <c r="J27" s="6">
        <f t="shared" si="13"/>
        <v>7.9598985384708304E-2</v>
      </c>
      <c r="K27" s="2"/>
      <c r="L27" s="7">
        <f t="shared" si="14"/>
        <v>-224.76</v>
      </c>
      <c r="M27" s="2"/>
      <c r="N27" s="6">
        <f t="shared" si="15"/>
        <v>-0.11368740515933232</v>
      </c>
      <c r="O27" s="11"/>
      <c r="P27" s="7">
        <v>1752.24</v>
      </c>
      <c r="Q27" s="2"/>
      <c r="R27" s="6">
        <f t="shared" si="16"/>
        <v>2.1755540943485061E-2</v>
      </c>
      <c r="S27" s="2"/>
      <c r="T27" s="7">
        <v>13839</v>
      </c>
      <c r="U27" s="2"/>
      <c r="V27" s="6">
        <f t="shared" si="17"/>
        <v>0.10590558110703818</v>
      </c>
      <c r="W27" s="2"/>
      <c r="X27" s="7">
        <f t="shared" si="18"/>
        <v>-12086.76</v>
      </c>
      <c r="Y27" s="2"/>
      <c r="Z27" s="6">
        <f t="shared" si="19"/>
        <v>-0.8733839150227618</v>
      </c>
    </row>
    <row r="28" spans="1:26" s="24" customFormat="1" hidden="1" outlineLevel="2" x14ac:dyDescent="0.3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7">
        <v>16.260000000000002</v>
      </c>
      <c r="E28" s="2"/>
      <c r="F28" s="6">
        <f t="shared" si="12"/>
        <v>3.3640497697301729E-3</v>
      </c>
      <c r="G28" s="2"/>
      <c r="H28" s="7">
        <v>22.9900989230769</v>
      </c>
      <c r="I28" s="2"/>
      <c r="J28" s="6">
        <f t="shared" si="13"/>
        <v>9.2563912401163182E-4</v>
      </c>
      <c r="K28" s="2"/>
      <c r="L28" s="7">
        <f t="shared" si="14"/>
        <v>-6.7300989230768984</v>
      </c>
      <c r="M28" s="2"/>
      <c r="N28" s="6">
        <f t="shared" si="15"/>
        <v>-0.29273901541682318</v>
      </c>
      <c r="O28" s="11"/>
      <c r="P28" s="7">
        <v>77.040000000000006</v>
      </c>
      <c r="Q28" s="2"/>
      <c r="R28" s="6">
        <f t="shared" si="16"/>
        <v>9.5651672960672576E-4</v>
      </c>
      <c r="S28" s="2"/>
      <c r="T28" s="7">
        <v>160.376298923077</v>
      </c>
      <c r="U28" s="2"/>
      <c r="V28" s="6">
        <f t="shared" si="17"/>
        <v>1.2273101476439432E-3</v>
      </c>
      <c r="W28" s="2"/>
      <c r="X28" s="7">
        <f t="shared" si="18"/>
        <v>-83.336298923076995</v>
      </c>
      <c r="Y28" s="2"/>
      <c r="Z28" s="6">
        <f t="shared" si="19"/>
        <v>-0.51962976750728285</v>
      </c>
    </row>
    <row r="29" spans="1:26" s="24" customFormat="1" hidden="1" outlineLevel="2" x14ac:dyDescent="0.3">
      <c r="A29" s="27"/>
      <c r="B29" s="11" t="str">
        <f>CONCATENATE("          ", "6115", " - ", "P.E.R.S.")</f>
        <v xml:space="preserve">          6115 - P.E.R.S.</v>
      </c>
      <c r="C29" s="11"/>
      <c r="D29" s="7">
        <v>548.17999999999995</v>
      </c>
      <c r="E29" s="2"/>
      <c r="F29" s="6">
        <f t="shared" si="12"/>
        <v>0.11341357950619224</v>
      </c>
      <c r="G29" s="2"/>
      <c r="H29" s="7">
        <v>497.41076923076901</v>
      </c>
      <c r="I29" s="2"/>
      <c r="J29" s="6">
        <f t="shared" si="13"/>
        <v>2.0027006853918308E-2</v>
      </c>
      <c r="K29" s="2"/>
      <c r="L29" s="7">
        <f t="shared" si="14"/>
        <v>50.769230769230944</v>
      </c>
      <c r="M29" s="2"/>
      <c r="N29" s="6">
        <f t="shared" si="15"/>
        <v>0.10206701163254678</v>
      </c>
      <c r="O29" s="11"/>
      <c r="P29" s="7">
        <v>548.17999999999995</v>
      </c>
      <c r="Q29" s="2"/>
      <c r="R29" s="6">
        <f t="shared" si="16"/>
        <v>6.8061181313060076E-3</v>
      </c>
      <c r="S29" s="2"/>
      <c r="T29" s="7">
        <v>3083.9467692307699</v>
      </c>
      <c r="U29" s="2"/>
      <c r="V29" s="6">
        <f t="shared" si="17"/>
        <v>2.3600489536712021E-2</v>
      </c>
      <c r="W29" s="2"/>
      <c r="X29" s="7">
        <f t="shared" si="18"/>
        <v>-2535.76676923077</v>
      </c>
      <c r="Y29" s="2"/>
      <c r="Z29" s="6">
        <f t="shared" si="19"/>
        <v>-0.82224725618829908</v>
      </c>
    </row>
    <row r="30" spans="1:26" s="24" customFormat="1" hidden="1" outlineLevel="2" x14ac:dyDescent="0.3">
      <c r="A30" s="27"/>
      <c r="B30" s="11" t="str">
        <f>CONCATENATE("          ", "6116", " - ", "EDUCATIONAL BENEFITS")</f>
        <v xml:space="preserve">          6116 - EDUCATIONAL BENEFITS</v>
      </c>
      <c r="C30" s="11"/>
      <c r="D30" s="7"/>
      <c r="E30" s="2"/>
      <c r="F30" s="6">
        <f t="shared" si="12"/>
        <v>0</v>
      </c>
      <c r="G30" s="2"/>
      <c r="H30" s="7">
        <v>0</v>
      </c>
      <c r="I30" s="2"/>
      <c r="J30" s="6">
        <f t="shared" si="13"/>
        <v>0</v>
      </c>
      <c r="K30" s="2"/>
      <c r="L30" s="7">
        <f t="shared" si="14"/>
        <v>0</v>
      </c>
      <c r="M30" s="2"/>
      <c r="N30" s="6">
        <f t="shared" si="15"/>
        <v>0</v>
      </c>
      <c r="O30" s="11"/>
      <c r="P30" s="7"/>
      <c r="Q30" s="2"/>
      <c r="R30" s="6">
        <f t="shared" si="16"/>
        <v>0</v>
      </c>
      <c r="S30" s="2"/>
      <c r="T30" s="7">
        <v>0</v>
      </c>
      <c r="U30" s="2"/>
      <c r="V30" s="6">
        <f t="shared" si="17"/>
        <v>0</v>
      </c>
      <c r="W30" s="2"/>
      <c r="X30" s="7">
        <f t="shared" si="18"/>
        <v>0</v>
      </c>
      <c r="Y30" s="2"/>
      <c r="Z30" s="6">
        <f t="shared" si="19"/>
        <v>0</v>
      </c>
    </row>
    <row r="31" spans="1:26" s="24" customFormat="1" hidden="1" outlineLevel="2" x14ac:dyDescent="0.3">
      <c r="A31" s="27"/>
      <c r="B31" s="11" t="str">
        <f>CONCATENATE("          ", "6118", " - ", "VACATION")</f>
        <v xml:space="preserve">          6118 - VACATION</v>
      </c>
      <c r="C31" s="11"/>
      <c r="D31" s="7">
        <v>368.44</v>
      </c>
      <c r="E31" s="2"/>
      <c r="F31" s="6">
        <f t="shared" si="12"/>
        <v>7.622696784498062E-2</v>
      </c>
      <c r="G31" s="2"/>
      <c r="H31" s="7">
        <v>289.19230769230802</v>
      </c>
      <c r="I31" s="2"/>
      <c r="J31" s="6">
        <f t="shared" si="13"/>
        <v>1.1643608635999034E-2</v>
      </c>
      <c r="K31" s="2"/>
      <c r="L31" s="7">
        <f t="shared" si="14"/>
        <v>79.247692307691977</v>
      </c>
      <c r="M31" s="2"/>
      <c r="N31" s="6">
        <f t="shared" si="15"/>
        <v>0.27403112115972722</v>
      </c>
      <c r="O31" s="11"/>
      <c r="P31" s="7">
        <v>368.44</v>
      </c>
      <c r="Q31" s="2"/>
      <c r="R31" s="6">
        <f t="shared" si="16"/>
        <v>4.5744940791316458E-3</v>
      </c>
      <c r="S31" s="2"/>
      <c r="T31" s="7">
        <v>1792.9923076923101</v>
      </c>
      <c r="U31" s="2"/>
      <c r="V31" s="6">
        <f t="shared" si="17"/>
        <v>1.3721214846925608E-2</v>
      </c>
      <c r="W31" s="2"/>
      <c r="X31" s="7">
        <f t="shared" si="18"/>
        <v>-1424.55230769231</v>
      </c>
      <c r="Y31" s="2"/>
      <c r="Z31" s="6">
        <f t="shared" si="19"/>
        <v>-0.79451110949036663</v>
      </c>
    </row>
    <row r="32" spans="1:26" s="24" customFormat="1" hidden="1" outlineLevel="2" x14ac:dyDescent="0.3">
      <c r="A32" s="27"/>
      <c r="B32" s="11" t="str">
        <f>CONCATENATE("          ", "6119", " - ", "SICK LEAVE")</f>
        <v xml:space="preserve">          6119 - SICK LEAVE</v>
      </c>
      <c r="C32" s="11"/>
      <c r="D32" s="7">
        <v>232.4</v>
      </c>
      <c r="E32" s="2"/>
      <c r="F32" s="6">
        <f t="shared" si="12"/>
        <v>4.8081498553831002E-2</v>
      </c>
      <c r="G32" s="2"/>
      <c r="H32" s="7">
        <v>444.10690769230803</v>
      </c>
      <c r="I32" s="2"/>
      <c r="J32" s="6">
        <f t="shared" si="13"/>
        <v>1.7880859511708661E-2</v>
      </c>
      <c r="K32" s="2"/>
      <c r="L32" s="7">
        <f t="shared" si="14"/>
        <v>-211.70690769230802</v>
      </c>
      <c r="M32" s="2"/>
      <c r="N32" s="6">
        <f t="shared" si="15"/>
        <v>-0.47670257774730579</v>
      </c>
      <c r="O32" s="11"/>
      <c r="P32" s="7">
        <v>232.4</v>
      </c>
      <c r="Q32" s="2"/>
      <c r="R32" s="6">
        <f t="shared" si="16"/>
        <v>2.8854424709320232E-3</v>
      </c>
      <c r="S32" s="2"/>
      <c r="T32" s="7">
        <v>3008.2869076923098</v>
      </c>
      <c r="U32" s="2"/>
      <c r="V32" s="6">
        <f t="shared" si="17"/>
        <v>2.3021488047969434E-2</v>
      </c>
      <c r="W32" s="2"/>
      <c r="X32" s="7">
        <f t="shared" si="18"/>
        <v>-2775.8869076923097</v>
      </c>
      <c r="Y32" s="2"/>
      <c r="Z32" s="6">
        <f t="shared" si="19"/>
        <v>-0.92274673023848086</v>
      </c>
    </row>
    <row r="33" spans="1:26" s="24" customFormat="1" hidden="1" outlineLevel="2" x14ac:dyDescent="0.3">
      <c r="A33" s="27"/>
      <c r="B33" s="11" t="str">
        <f>CONCATENATE("          ", "6156", " - ", "EMPLOYEE MEALS")</f>
        <v xml:space="preserve">          6156 - EMPLOYEE MEALS</v>
      </c>
      <c r="C33" s="11"/>
      <c r="D33" s="7">
        <v>218.12</v>
      </c>
      <c r="E33" s="2"/>
      <c r="F33" s="6">
        <f t="shared" si="12"/>
        <v>4.5127093221005242E-2</v>
      </c>
      <c r="G33" s="2"/>
      <c r="H33" s="7"/>
      <c r="I33" s="2"/>
      <c r="J33" s="6">
        <f t="shared" si="13"/>
        <v>0</v>
      </c>
      <c r="K33" s="2"/>
      <c r="L33" s="7">
        <f t="shared" si="14"/>
        <v>218.12</v>
      </c>
      <c r="M33" s="2"/>
      <c r="N33" s="6">
        <f t="shared" si="15"/>
        <v>0</v>
      </c>
      <c r="O33" s="11"/>
      <c r="P33" s="7">
        <v>298.12</v>
      </c>
      <c r="Q33" s="2"/>
      <c r="R33" s="6">
        <f t="shared" si="16"/>
        <v>3.7014118306121116E-3</v>
      </c>
      <c r="S33" s="2"/>
      <c r="T33" s="7"/>
      <c r="U33" s="2"/>
      <c r="V33" s="6">
        <f t="shared" si="17"/>
        <v>0</v>
      </c>
      <c r="W33" s="2"/>
      <c r="X33" s="7">
        <f t="shared" si="18"/>
        <v>298.12</v>
      </c>
      <c r="Y33" s="2"/>
      <c r="Z33" s="6">
        <f t="shared" si="19"/>
        <v>0</v>
      </c>
    </row>
    <row r="34" spans="1:26" s="28" customFormat="1" outlineLevel="1" collapsed="1" x14ac:dyDescent="0.3">
      <c r="A34" s="29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8192.92</v>
      </c>
      <c r="E34" s="1"/>
      <c r="F34" s="5">
        <f t="shared" ref="F34:F44" si="20">IF(D$12=0,0,D34/D$12)</f>
        <v>1.6950424747489377</v>
      </c>
      <c r="G34" s="1"/>
      <c r="H34" s="1">
        <f>SUM(OSRRefH22_1x_0)</f>
        <v>10214.366938461539</v>
      </c>
      <c r="I34" s="1"/>
      <c r="J34" s="5">
        <f t="shared" ref="J34:J44" si="21">IF(H$12=0,0,H34/H$12)</f>
        <v>0.41125606709592699</v>
      </c>
      <c r="K34" s="1"/>
      <c r="L34" s="1">
        <f t="shared" ref="L34:L44" si="22">+D34-H34</f>
        <v>-2021.4469384615386</v>
      </c>
      <c r="M34" s="1"/>
      <c r="N34" s="5">
        <f t="shared" ref="N34:N44" si="23">IF(H34=0,0,L34/H34)</f>
        <v>-0.19790232235048369</v>
      </c>
      <c r="O34" s="14"/>
      <c r="P34" s="1">
        <f>SUM(OSRRefP22_1x_0)</f>
        <v>30133.61</v>
      </c>
      <c r="Q34" s="1"/>
      <c r="R34" s="5">
        <f t="shared" ref="R34:R44" si="24">IF(P$12=0,0,P34/P$12)</f>
        <v>0.37413424310026644</v>
      </c>
      <c r="S34" s="1"/>
      <c r="T34" s="1">
        <f>SUM(OSRRefT22_1x_0)</f>
        <v>71568.386938461495</v>
      </c>
      <c r="U34" s="1"/>
      <c r="V34" s="5">
        <f t="shared" ref="V34:V44" si="25">IF(T$12=0,0,T34/T$12)</f>
        <v>0.54769070074507742</v>
      </c>
      <c r="W34" s="1"/>
      <c r="X34" s="1">
        <f t="shared" ref="X34:X44" si="26">+P34-T34</f>
        <v>-41434.776938461495</v>
      </c>
      <c r="Y34" s="1"/>
      <c r="Z34" s="5">
        <f t="shared" ref="Z34:Z44" si="27">IF(T34=0,0,X34/T34)</f>
        <v>-0.57895362339365608</v>
      </c>
    </row>
    <row r="35" spans="1:26" s="24" customFormat="1" hidden="1" outlineLevel="2" x14ac:dyDescent="0.3">
      <c r="A35" s="27"/>
      <c r="B35" s="11" t="str">
        <f>CONCATENATE("          ", "6001", " - ", "ADMINISTRATIVE SALARIES")</f>
        <v xml:space="preserve">          6001 - ADMINISTRATIVE SALARIES</v>
      </c>
      <c r="C35" s="11"/>
      <c r="D35" s="7"/>
      <c r="E35" s="2"/>
      <c r="F35" s="6">
        <f t="shared" si="20"/>
        <v>0</v>
      </c>
      <c r="G35" s="2"/>
      <c r="H35" s="7">
        <v>0</v>
      </c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/>
      <c r="Q35" s="2"/>
      <c r="R35" s="6">
        <f t="shared" si="24"/>
        <v>0</v>
      </c>
      <c r="S35" s="2"/>
      <c r="T35" s="7">
        <v>0</v>
      </c>
      <c r="U35" s="2"/>
      <c r="V35" s="6">
        <f t="shared" si="25"/>
        <v>0</v>
      </c>
      <c r="W35" s="2"/>
      <c r="X35" s="7">
        <f t="shared" si="26"/>
        <v>0</v>
      </c>
      <c r="Y35" s="2"/>
      <c r="Z35" s="6">
        <f t="shared" si="27"/>
        <v>0</v>
      </c>
    </row>
    <row r="36" spans="1:26" s="24" customFormat="1" hidden="1" outlineLevel="2" x14ac:dyDescent="0.3">
      <c r="A36" s="27"/>
      <c r="B36" s="11" t="str">
        <f>CONCATENATE("          ", "6002", " - ", "STAFF SALARIES")</f>
        <v xml:space="preserve">          6002 - STAFF SALARIES</v>
      </c>
      <c r="C36" s="11"/>
      <c r="D36" s="7">
        <v>6046.54</v>
      </c>
      <c r="E36" s="2"/>
      <c r="F36" s="6">
        <f t="shared" si="20"/>
        <v>1.2509754916767699</v>
      </c>
      <c r="G36" s="2"/>
      <c r="H36" s="7">
        <v>5205.4615384615399</v>
      </c>
      <c r="I36" s="2"/>
      <c r="J36" s="6">
        <f t="shared" si="21"/>
        <v>0.20958495544798245</v>
      </c>
      <c r="K36" s="2"/>
      <c r="L36" s="7">
        <f t="shared" si="22"/>
        <v>841.07846153846003</v>
      </c>
      <c r="M36" s="2"/>
      <c r="N36" s="6">
        <f t="shared" si="23"/>
        <v>0.16157615522158647</v>
      </c>
      <c r="O36" s="11"/>
      <c r="P36" s="7">
        <v>6046.54</v>
      </c>
      <c r="Q36" s="2"/>
      <c r="R36" s="6">
        <f t="shared" si="24"/>
        <v>7.5072905844188104E-2</v>
      </c>
      <c r="S36" s="2"/>
      <c r="T36" s="7">
        <v>32273.8615384615</v>
      </c>
      <c r="U36" s="2"/>
      <c r="V36" s="6">
        <f t="shared" si="25"/>
        <v>0.24698186724466034</v>
      </c>
      <c r="W36" s="2"/>
      <c r="X36" s="7">
        <f t="shared" si="26"/>
        <v>-26227.3215384615</v>
      </c>
      <c r="Y36" s="2"/>
      <c r="Z36" s="6">
        <f t="shared" si="27"/>
        <v>-0.81264900722232447</v>
      </c>
    </row>
    <row r="37" spans="1:26" s="24" customFormat="1" hidden="1" outlineLevel="2" x14ac:dyDescent="0.3">
      <c r="A37" s="27"/>
      <c r="B37" s="11" t="str">
        <f>CONCATENATE("          ", "6003", " - ", "STAFF HOURLY-9 MONTH")</f>
        <v xml:space="preserve">          6003 - STAFF HOURLY-9 MONTH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3">
      <c r="A38" s="27"/>
      <c r="B38" s="11" t="str">
        <f>CONCATENATE("          ", "6004", " - ", "STAFF HOURLY")</f>
        <v xml:space="preserve">          6004 - STAFF HOURLY</v>
      </c>
      <c r="C38" s="11"/>
      <c r="D38" s="7"/>
      <c r="E38" s="2"/>
      <c r="F38" s="6">
        <f t="shared" si="20"/>
        <v>0</v>
      </c>
      <c r="G38" s="2"/>
      <c r="H38" s="7">
        <v>1027.521</v>
      </c>
      <c r="I38" s="2"/>
      <c r="J38" s="6">
        <f t="shared" si="21"/>
        <v>4.1370576156540641E-2</v>
      </c>
      <c r="K38" s="2"/>
      <c r="L38" s="7">
        <f t="shared" si="22"/>
        <v>-1027.521</v>
      </c>
      <c r="M38" s="2"/>
      <c r="N38" s="6">
        <f t="shared" si="23"/>
        <v>-1</v>
      </c>
      <c r="O38" s="11"/>
      <c r="P38" s="7"/>
      <c r="Q38" s="2"/>
      <c r="R38" s="6">
        <f t="shared" si="24"/>
        <v>0</v>
      </c>
      <c r="S38" s="2"/>
      <c r="T38" s="7">
        <v>8098.8209999999999</v>
      </c>
      <c r="U38" s="2"/>
      <c r="V38" s="6">
        <f t="shared" si="25"/>
        <v>6.1977768934668984E-2</v>
      </c>
      <c r="W38" s="2"/>
      <c r="X38" s="7">
        <f t="shared" si="26"/>
        <v>-8098.8209999999999</v>
      </c>
      <c r="Y38" s="2"/>
      <c r="Z38" s="6">
        <f t="shared" si="27"/>
        <v>-1</v>
      </c>
    </row>
    <row r="39" spans="1:26" s="24" customFormat="1" hidden="1" outlineLevel="2" x14ac:dyDescent="0.3">
      <c r="A39" s="27"/>
      <c r="B39" s="11" t="str">
        <f>CONCATENATE("          ", "6005", " - ", "TEMPORARY WAGES-HOURLY")</f>
        <v xml:space="preserve">          6005 - TEMPORARY WAGES-HOURLY</v>
      </c>
      <c r="C39" s="11"/>
      <c r="D39" s="7">
        <v>890.08</v>
      </c>
      <c r="E39" s="2"/>
      <c r="F39" s="6">
        <f t="shared" si="20"/>
        <v>0.18414965676761574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890.08</v>
      </c>
      <c r="M39" s="2"/>
      <c r="N39" s="6">
        <f t="shared" si="23"/>
        <v>0</v>
      </c>
      <c r="O39" s="11"/>
      <c r="P39" s="7">
        <v>14004.73</v>
      </c>
      <c r="Q39" s="2"/>
      <c r="R39" s="6">
        <f t="shared" si="24"/>
        <v>0.17388056254705606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14004.73</v>
      </c>
      <c r="Y39" s="2"/>
      <c r="Z39" s="6">
        <f t="shared" si="27"/>
        <v>0</v>
      </c>
    </row>
    <row r="40" spans="1:26" s="24" customFormat="1" hidden="1" outlineLevel="2" x14ac:dyDescent="0.3">
      <c r="A40" s="27"/>
      <c r="B40" s="11" t="str">
        <f>CONCATENATE("          ", "6006", " - ", "TEMPORARY PART TIME")</f>
        <v xml:space="preserve">          6006 - TEMPORARY PART TIME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3">
      <c r="A41" s="27"/>
      <c r="B41" s="11" t="str">
        <f>CONCATENATE("          ", "6007", " - ", "STUDENT HOURLY")</f>
        <v xml:space="preserve">          6007 - STUDENT HOURLY</v>
      </c>
      <c r="C41" s="11"/>
      <c r="D41" s="7">
        <v>1256.3</v>
      </c>
      <c r="E41" s="2"/>
      <c r="F41" s="6">
        <f t="shared" si="20"/>
        <v>0.259917326304552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1256.3</v>
      </c>
      <c r="M41" s="2"/>
      <c r="N41" s="6">
        <f t="shared" si="23"/>
        <v>0</v>
      </c>
      <c r="O41" s="11"/>
      <c r="P41" s="7">
        <v>10082.34</v>
      </c>
      <c r="Q41" s="2"/>
      <c r="R41" s="6">
        <f t="shared" si="24"/>
        <v>0.12518077470902225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10082.34</v>
      </c>
      <c r="Y41" s="2"/>
      <c r="Z41" s="6">
        <f t="shared" si="27"/>
        <v>0</v>
      </c>
    </row>
    <row r="42" spans="1:26" s="24" customFormat="1" hidden="1" outlineLevel="2" x14ac:dyDescent="0.3">
      <c r="A42" s="27"/>
      <c r="B42" s="11" t="str">
        <f>CONCATENATE("          ", "6008", " - ", "STUDENT HOURLY-FICA EXEMPT")</f>
        <v xml:space="preserve">          6008 - STUDENT HOURLY-FICA EXEMPT</v>
      </c>
      <c r="C42" s="11"/>
      <c r="D42" s="7"/>
      <c r="E42" s="2"/>
      <c r="F42" s="6">
        <f t="shared" si="20"/>
        <v>0</v>
      </c>
      <c r="G42" s="2"/>
      <c r="H42" s="7">
        <v>3981.3843999999999</v>
      </c>
      <c r="I42" s="2"/>
      <c r="J42" s="6">
        <f t="shared" si="21"/>
        <v>0.16030053549140394</v>
      </c>
      <c r="K42" s="2"/>
      <c r="L42" s="7">
        <f t="shared" si="22"/>
        <v>-3981.3843999999999</v>
      </c>
      <c r="M42" s="2"/>
      <c r="N42" s="6">
        <f t="shared" si="23"/>
        <v>-1</v>
      </c>
      <c r="O42" s="11"/>
      <c r="P42" s="7"/>
      <c r="Q42" s="2"/>
      <c r="R42" s="6">
        <f t="shared" si="24"/>
        <v>0</v>
      </c>
      <c r="S42" s="2"/>
      <c r="T42" s="7">
        <v>31195.704399999999</v>
      </c>
      <c r="U42" s="2"/>
      <c r="V42" s="6">
        <f t="shared" si="25"/>
        <v>0.23873106456574808</v>
      </c>
      <c r="W42" s="2"/>
      <c r="X42" s="7">
        <f t="shared" si="26"/>
        <v>-31195.704399999999</v>
      </c>
      <c r="Y42" s="2"/>
      <c r="Z42" s="6">
        <f t="shared" si="27"/>
        <v>-1</v>
      </c>
    </row>
    <row r="43" spans="1:26" s="24" customFormat="1" hidden="1" outlineLevel="2" x14ac:dyDescent="0.3">
      <c r="A43" s="27"/>
      <c r="B43" s="11" t="str">
        <f>CONCATENATE("          ", "6009", " - ", "TEMPORARY-SEASONAL")</f>
        <v xml:space="preserve">          6009 - TEMPORARY-SEASONAL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3">
      <c r="A44" s="27"/>
      <c r="B44" s="11" t="str">
        <f>CONCATENATE("          ", "6010", " - ", "GRATUITY")</f>
        <v xml:space="preserve">          6010 - GRATUITY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8" customFormat="1" outlineLevel="1" collapsed="1" x14ac:dyDescent="0.3">
      <c r="A45" s="29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SUM(OSRRefD22_2x_0)</f>
        <v>0</v>
      </c>
      <c r="E45" s="1"/>
      <c r="F45" s="5">
        <f t="shared" ref="F45:F53" si="28">IF(D$12=0,0,D45/D$12)</f>
        <v>0</v>
      </c>
      <c r="G45" s="1"/>
      <c r="H45" s="1">
        <f>SUM(OSRRefH22_2x_0)</f>
        <v>0</v>
      </c>
      <c r="I45" s="1"/>
      <c r="J45" s="5">
        <f t="shared" ref="J45:J53" si="29">IF(H$12=0,0,H45/H$12)</f>
        <v>0</v>
      </c>
      <c r="K45" s="1"/>
      <c r="L45" s="1">
        <f t="shared" ref="L45:L53" si="30">+D45-H45</f>
        <v>0</v>
      </c>
      <c r="M45" s="1"/>
      <c r="N45" s="5">
        <f t="shared" ref="N45:N53" si="31">IF(H45=0,0,L45/H45)</f>
        <v>0</v>
      </c>
      <c r="O45" s="14"/>
      <c r="P45" s="1">
        <f>SUM(OSRRefP22_2x_0)</f>
        <v>91.22</v>
      </c>
      <c r="Q45" s="1"/>
      <c r="R45" s="5">
        <f t="shared" ref="R45:R53" si="32">IF(P$12=0,0,P45/P$12)</f>
        <v>1.1325734173770186E-3</v>
      </c>
      <c r="S45" s="1"/>
      <c r="T45" s="1">
        <f>SUM(OSRRefT22_2x_0)</f>
        <v>0</v>
      </c>
      <c r="U45" s="1"/>
      <c r="V45" s="5">
        <f t="shared" ref="V45:V53" si="33">IF(T$12=0,0,T45/T$12)</f>
        <v>0</v>
      </c>
      <c r="W45" s="1"/>
      <c r="X45" s="1">
        <f t="shared" ref="X45:X53" si="34">+P45-T45</f>
        <v>91.22</v>
      </c>
      <c r="Y45" s="1"/>
      <c r="Z45" s="5">
        <f t="shared" ref="Z45:Z53" si="35">IF(T45=0,0,X45/T45)</f>
        <v>0</v>
      </c>
    </row>
    <row r="46" spans="1:26" s="24" customFormat="1" hidden="1" outlineLevel="2" x14ac:dyDescent="0.3">
      <c r="A46" s="27"/>
      <c r="B46" s="11" t="str">
        <f>CONCATENATE("          ", "6362", " - ", "ADVERTISING EXPENSE")</f>
        <v xml:space="preserve">          6362 - ADVERTISING EXPENSE</v>
      </c>
      <c r="C46" s="11"/>
      <c r="D46" s="7"/>
      <c r="E46" s="2"/>
      <c r="F46" s="6">
        <f t="shared" si="28"/>
        <v>0</v>
      </c>
      <c r="G46" s="2"/>
      <c r="H46" s="7"/>
      <c r="I46" s="2"/>
      <c r="J46" s="6">
        <f t="shared" si="29"/>
        <v>0</v>
      </c>
      <c r="K46" s="2"/>
      <c r="L46" s="7">
        <f t="shared" si="30"/>
        <v>0</v>
      </c>
      <c r="M46" s="2"/>
      <c r="N46" s="6">
        <f t="shared" si="31"/>
        <v>0</v>
      </c>
      <c r="O46" s="11"/>
      <c r="P46" s="7">
        <v>91.22</v>
      </c>
      <c r="Q46" s="2"/>
      <c r="R46" s="6">
        <f t="shared" si="32"/>
        <v>1.1325734173770186E-3</v>
      </c>
      <c r="S46" s="2"/>
      <c r="T46" s="7"/>
      <c r="U46" s="2"/>
      <c r="V46" s="6">
        <f t="shared" si="33"/>
        <v>0</v>
      </c>
      <c r="W46" s="2"/>
      <c r="X46" s="7">
        <f t="shared" si="34"/>
        <v>91.22</v>
      </c>
      <c r="Y46" s="2"/>
      <c r="Z46" s="6">
        <f t="shared" si="35"/>
        <v>0</v>
      </c>
    </row>
    <row r="47" spans="1:26" s="28" customFormat="1" outlineLevel="1" collapsed="1" x14ac:dyDescent="0.3">
      <c r="A47" s="29"/>
      <c r="B47" s="14" t="str">
        <f>CONCATENATE("     ","Bad Debts/Over/Short                              ")</f>
        <v xml:space="preserve">     Bad Debts/Over/Short                              </v>
      </c>
      <c r="C47" s="14"/>
      <c r="D47" s="1">
        <f>SUM(OSRRefD22_3x_0)</f>
        <v>-19.52</v>
      </c>
      <c r="E47" s="1"/>
      <c r="F47" s="5">
        <f t="shared" si="28"/>
        <v>-4.0385148527142048E-3</v>
      </c>
      <c r="G47" s="1"/>
      <c r="H47" s="1">
        <f>SUM(OSRRefH22_3x_0)</f>
        <v>0</v>
      </c>
      <c r="I47" s="1"/>
      <c r="J47" s="5">
        <f t="shared" si="29"/>
        <v>0</v>
      </c>
      <c r="K47" s="1"/>
      <c r="L47" s="1">
        <f t="shared" si="30"/>
        <v>-19.52</v>
      </c>
      <c r="M47" s="1"/>
      <c r="N47" s="5">
        <f t="shared" si="31"/>
        <v>0</v>
      </c>
      <c r="O47" s="14"/>
      <c r="P47" s="1">
        <f>SUM(OSRRefP22_3x_0)</f>
        <v>9.32</v>
      </c>
      <c r="Q47" s="1"/>
      <c r="R47" s="5">
        <f t="shared" si="32"/>
        <v>1.1571567912687804E-4</v>
      </c>
      <c r="S47" s="1"/>
      <c r="T47" s="1">
        <f>SUM(OSRRefT22_3x_0)</f>
        <v>0</v>
      </c>
      <c r="U47" s="1"/>
      <c r="V47" s="5">
        <f t="shared" si="33"/>
        <v>0</v>
      </c>
      <c r="W47" s="1"/>
      <c r="X47" s="1">
        <f t="shared" si="34"/>
        <v>9.32</v>
      </c>
      <c r="Y47" s="1"/>
      <c r="Z47" s="5">
        <f t="shared" si="35"/>
        <v>0</v>
      </c>
    </row>
    <row r="48" spans="1:26" s="24" customFormat="1" hidden="1" outlineLevel="2" x14ac:dyDescent="0.3">
      <c r="A48" s="27"/>
      <c r="B48" s="11" t="str">
        <f>CONCATENATE("          ", "6272", " - ", "CASH (OVER/SHORT)")</f>
        <v xml:space="preserve">          6272 - CASH (OVER/SHORT)</v>
      </c>
      <c r="C48" s="11"/>
      <c r="D48" s="7">
        <v>-19.52</v>
      </c>
      <c r="E48" s="2"/>
      <c r="F48" s="6">
        <f t="shared" si="28"/>
        <v>-4.0385148527142048E-3</v>
      </c>
      <c r="G48" s="2"/>
      <c r="H48" s="7">
        <v>0</v>
      </c>
      <c r="I48" s="2"/>
      <c r="J48" s="6">
        <f t="shared" si="29"/>
        <v>0</v>
      </c>
      <c r="K48" s="2"/>
      <c r="L48" s="7">
        <f t="shared" si="30"/>
        <v>-19.52</v>
      </c>
      <c r="M48" s="2"/>
      <c r="N48" s="6">
        <f t="shared" si="31"/>
        <v>0</v>
      </c>
      <c r="O48" s="11"/>
      <c r="P48" s="7">
        <v>9.32</v>
      </c>
      <c r="Q48" s="2"/>
      <c r="R48" s="6">
        <f t="shared" si="32"/>
        <v>1.1571567912687804E-4</v>
      </c>
      <c r="S48" s="2"/>
      <c r="T48" s="7">
        <v>0</v>
      </c>
      <c r="U48" s="2"/>
      <c r="V48" s="6">
        <f t="shared" si="33"/>
        <v>0</v>
      </c>
      <c r="W48" s="2"/>
      <c r="X48" s="7">
        <f t="shared" si="34"/>
        <v>9.32</v>
      </c>
      <c r="Y48" s="2"/>
      <c r="Z48" s="6">
        <f t="shared" si="35"/>
        <v>0</v>
      </c>
    </row>
    <row r="49" spans="1:26" s="28" customFormat="1" outlineLevel="1" collapsed="1" x14ac:dyDescent="0.3">
      <c r="A49" s="29"/>
      <c r="B49" s="14" t="str">
        <f>CONCATENATE("     ","Bank/card Fees                                    ")</f>
        <v xml:space="preserve">     Bank/card Fees                                    </v>
      </c>
      <c r="C49" s="14"/>
      <c r="D49" s="1">
        <f>SUM(OSRRefD22_4x_0)</f>
        <v>144.09</v>
      </c>
      <c r="E49" s="1"/>
      <c r="F49" s="5">
        <f t="shared" si="28"/>
        <v>2.9810942885634722E-2</v>
      </c>
      <c r="G49" s="1"/>
      <c r="H49" s="1">
        <f>SUM(OSRRefH22_4x_0)</f>
        <v>1166</v>
      </c>
      <c r="I49" s="1"/>
      <c r="J49" s="5">
        <f t="shared" si="29"/>
        <v>4.6946088497000445E-2</v>
      </c>
      <c r="K49" s="1"/>
      <c r="L49" s="1">
        <f t="shared" si="30"/>
        <v>-1021.91</v>
      </c>
      <c r="M49" s="1"/>
      <c r="N49" s="5">
        <f t="shared" si="31"/>
        <v>-0.87642367066895366</v>
      </c>
      <c r="O49" s="14"/>
      <c r="P49" s="1">
        <f>SUM(OSRRefP22_4x_0)</f>
        <v>3322.07</v>
      </c>
      <c r="Q49" s="1"/>
      <c r="R49" s="5">
        <f t="shared" si="32"/>
        <v>4.1246307527578081E-2</v>
      </c>
      <c r="S49" s="1"/>
      <c r="T49" s="1">
        <f>SUM(OSRRefT22_4x_0)</f>
        <v>6407</v>
      </c>
      <c r="U49" s="1"/>
      <c r="V49" s="5">
        <f t="shared" si="33"/>
        <v>4.9030786773090078E-2</v>
      </c>
      <c r="W49" s="1"/>
      <c r="X49" s="1">
        <f t="shared" si="34"/>
        <v>-3084.93</v>
      </c>
      <c r="Y49" s="1"/>
      <c r="Z49" s="5">
        <f t="shared" si="35"/>
        <v>-0.48149367878882471</v>
      </c>
    </row>
    <row r="50" spans="1:26" s="24" customFormat="1" hidden="1" outlineLevel="2" x14ac:dyDescent="0.3">
      <c r="A50" s="27"/>
      <c r="B50" s="11" t="str">
        <f>CONCATENATE("          ", "6381", " - ", "BANK/CREDIT CARD FEES")</f>
        <v xml:space="preserve">          6381 - BANK/CREDIT CARD FEES</v>
      </c>
      <c r="C50" s="11"/>
      <c r="D50" s="7">
        <v>144.09</v>
      </c>
      <c r="E50" s="2"/>
      <c r="F50" s="6">
        <f t="shared" si="28"/>
        <v>2.9810942885634722E-2</v>
      </c>
      <c r="G50" s="2"/>
      <c r="H50" s="7">
        <v>1166</v>
      </c>
      <c r="I50" s="2"/>
      <c r="J50" s="6">
        <f t="shared" si="29"/>
        <v>4.6946088497000445E-2</v>
      </c>
      <c r="K50" s="2"/>
      <c r="L50" s="7">
        <f t="shared" si="30"/>
        <v>-1021.91</v>
      </c>
      <c r="M50" s="2"/>
      <c r="N50" s="6">
        <f t="shared" si="31"/>
        <v>-0.87642367066895366</v>
      </c>
      <c r="O50" s="11"/>
      <c r="P50" s="7">
        <v>3322.07</v>
      </c>
      <c r="Q50" s="2"/>
      <c r="R50" s="6">
        <f t="shared" si="32"/>
        <v>4.1246307527578081E-2</v>
      </c>
      <c r="S50" s="2"/>
      <c r="T50" s="7">
        <v>6407</v>
      </c>
      <c r="U50" s="2"/>
      <c r="V50" s="6">
        <f t="shared" si="33"/>
        <v>4.9030786773090078E-2</v>
      </c>
      <c r="W50" s="2"/>
      <c r="X50" s="7">
        <f t="shared" si="34"/>
        <v>-3084.93</v>
      </c>
      <c r="Y50" s="2"/>
      <c r="Z50" s="6">
        <f t="shared" si="35"/>
        <v>-0.48149367878882471</v>
      </c>
    </row>
    <row r="51" spans="1:26" s="28" customFormat="1" outlineLevel="1" collapsed="1" x14ac:dyDescent="0.3">
      <c r="A51" s="29"/>
      <c r="B51" s="14" t="str">
        <f>CONCATENATE("     ","Depreciation                                      ")</f>
        <v xml:space="preserve">     Depreciation                                      </v>
      </c>
      <c r="C51" s="14"/>
      <c r="D51" s="1">
        <f>SUM(OSRRefD22_5x_0)</f>
        <v>5471.21</v>
      </c>
      <c r="E51" s="1"/>
      <c r="F51" s="5">
        <f t="shared" si="28"/>
        <v>1.1319448179978731</v>
      </c>
      <c r="G51" s="1"/>
      <c r="H51" s="1">
        <f>SUM(OSRRefH22_5x_0)</f>
        <v>5471</v>
      </c>
      <c r="I51" s="1"/>
      <c r="J51" s="5">
        <f t="shared" si="29"/>
        <v>0.22027620082940774</v>
      </c>
      <c r="K51" s="1"/>
      <c r="L51" s="1">
        <f t="shared" si="30"/>
        <v>0.21000000000003638</v>
      </c>
      <c r="M51" s="1"/>
      <c r="N51" s="5">
        <f t="shared" si="31"/>
        <v>3.8384207640291792E-5</v>
      </c>
      <c r="O51" s="14"/>
      <c r="P51" s="1">
        <f>SUM(OSRRefP22_5x_0)</f>
        <v>38298.47</v>
      </c>
      <c r="Q51" s="1"/>
      <c r="R51" s="5">
        <f t="shared" si="32"/>
        <v>0.47550788257192755</v>
      </c>
      <c r="S51" s="1"/>
      <c r="T51" s="1">
        <f>SUM(OSRRefT22_5x_0)</f>
        <v>38297</v>
      </c>
      <c r="U51" s="1"/>
      <c r="V51" s="5">
        <f t="shared" si="33"/>
        <v>0.29307508054456544</v>
      </c>
      <c r="W51" s="1"/>
      <c r="X51" s="1">
        <f t="shared" si="34"/>
        <v>1.4700000000011642</v>
      </c>
      <c r="Y51" s="1"/>
      <c r="Z51" s="5">
        <f t="shared" si="35"/>
        <v>3.8384207640315536E-5</v>
      </c>
    </row>
    <row r="52" spans="1:26" s="24" customFormat="1" hidden="1" outlineLevel="2" x14ac:dyDescent="0.3">
      <c r="A52" s="27"/>
      <c r="B52" s="11" t="str">
        <f>CONCATENATE("          ", "6321", " - ", "BUILDING DEPRECIATION")</f>
        <v xml:space="preserve">          6321 - BUILDING DEPRECIATION</v>
      </c>
      <c r="C52" s="11"/>
      <c r="D52" s="7">
        <v>5080.51</v>
      </c>
      <c r="E52" s="2"/>
      <c r="F52" s="6">
        <f t="shared" si="28"/>
        <v>1.0511124536046641</v>
      </c>
      <c r="G52" s="2"/>
      <c r="H52" s="7"/>
      <c r="I52" s="2"/>
      <c r="J52" s="6">
        <f t="shared" si="29"/>
        <v>0</v>
      </c>
      <c r="K52" s="2"/>
      <c r="L52" s="7">
        <f t="shared" si="30"/>
        <v>5080.51</v>
      </c>
      <c r="M52" s="2"/>
      <c r="N52" s="6">
        <f t="shared" si="31"/>
        <v>0</v>
      </c>
      <c r="O52" s="11"/>
      <c r="P52" s="7">
        <v>35563.57</v>
      </c>
      <c r="Q52" s="2"/>
      <c r="R52" s="6">
        <f t="shared" si="32"/>
        <v>0.44155178698779673</v>
      </c>
      <c r="S52" s="2"/>
      <c r="T52" s="7"/>
      <c r="U52" s="2"/>
      <c r="V52" s="6">
        <f t="shared" si="33"/>
        <v>0</v>
      </c>
      <c r="W52" s="2"/>
      <c r="X52" s="7">
        <f t="shared" si="34"/>
        <v>35563.57</v>
      </c>
      <c r="Y52" s="2"/>
      <c r="Z52" s="6">
        <f t="shared" si="35"/>
        <v>0</v>
      </c>
    </row>
    <row r="53" spans="1:26" s="24" customFormat="1" hidden="1" outlineLevel="2" x14ac:dyDescent="0.3">
      <c r="A53" s="27"/>
      <c r="B53" s="11" t="str">
        <f>CONCATENATE("          ", "6322", " - ", "EQUIPMENT DEPRECIATION EXPENSE")</f>
        <v xml:space="preserve">          6322 - EQUIPMENT DEPRECIATION EXPENSE</v>
      </c>
      <c r="C53" s="11"/>
      <c r="D53" s="7">
        <v>390.7</v>
      </c>
      <c r="E53" s="2"/>
      <c r="F53" s="6">
        <f t="shared" si="28"/>
        <v>8.0832364393208997E-2</v>
      </c>
      <c r="G53" s="2"/>
      <c r="H53" s="7">
        <v>5471</v>
      </c>
      <c r="I53" s="2"/>
      <c r="J53" s="6">
        <f t="shared" si="29"/>
        <v>0.22027620082940774</v>
      </c>
      <c r="K53" s="2"/>
      <c r="L53" s="7">
        <f t="shared" si="30"/>
        <v>-5080.3</v>
      </c>
      <c r="M53" s="2"/>
      <c r="N53" s="6">
        <f t="shared" si="31"/>
        <v>-0.92858709559495523</v>
      </c>
      <c r="O53" s="11"/>
      <c r="P53" s="7">
        <v>2734.9</v>
      </c>
      <c r="Q53" s="2"/>
      <c r="R53" s="6">
        <f t="shared" si="32"/>
        <v>3.395609558413077E-2</v>
      </c>
      <c r="S53" s="2"/>
      <c r="T53" s="7">
        <v>38297</v>
      </c>
      <c r="U53" s="2"/>
      <c r="V53" s="6">
        <f t="shared" si="33"/>
        <v>0.29307508054456544</v>
      </c>
      <c r="W53" s="2"/>
      <c r="X53" s="7">
        <f t="shared" si="34"/>
        <v>-35562.1</v>
      </c>
      <c r="Y53" s="2"/>
      <c r="Z53" s="6">
        <f t="shared" si="35"/>
        <v>-0.92858709559495523</v>
      </c>
    </row>
    <row r="54" spans="1:26" s="28" customFormat="1" outlineLevel="1" collapsed="1" x14ac:dyDescent="0.3">
      <c r="A54" s="29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SUM(OSRRefD22_6x_0)</f>
        <v>0</v>
      </c>
      <c r="E54" s="1"/>
      <c r="F54" s="5">
        <f t="shared" ref="F54:F67" si="36">IF(D$12=0,0,D54/D$12)</f>
        <v>0</v>
      </c>
      <c r="G54" s="1"/>
      <c r="H54" s="1">
        <f>SUM(OSRRefH22_6x_0)</f>
        <v>0</v>
      </c>
      <c r="I54" s="1"/>
      <c r="J54" s="5">
        <f t="shared" ref="J54:J67" si="37">IF(H$12=0,0,H54/H$12)</f>
        <v>0</v>
      </c>
      <c r="K54" s="1"/>
      <c r="L54" s="1">
        <f t="shared" ref="L54:L67" si="38">+D54-H54</f>
        <v>0</v>
      </c>
      <c r="M54" s="1"/>
      <c r="N54" s="5">
        <f t="shared" ref="N54:N67" si="39">IF(H54=0,0,L54/H54)</f>
        <v>0</v>
      </c>
      <c r="O54" s="14"/>
      <c r="P54" s="1">
        <f>SUM(OSRRefP22_6x_0)</f>
        <v>0</v>
      </c>
      <c r="Q54" s="1"/>
      <c r="R54" s="5">
        <f t="shared" ref="R54:R67" si="40">IF(P$12=0,0,P54/P$12)</f>
        <v>0</v>
      </c>
      <c r="S54" s="1"/>
      <c r="T54" s="1">
        <f>SUM(OSRRefT22_6x_0)</f>
        <v>50</v>
      </c>
      <c r="U54" s="1"/>
      <c r="V54" s="5">
        <f t="shared" ref="V54:V67" si="41">IF(T$12=0,0,T54/T$12)</f>
        <v>3.8263451516380584E-4</v>
      </c>
      <c r="W54" s="1"/>
      <c r="X54" s="1">
        <f t="shared" ref="X54:X67" si="42">+P54-T54</f>
        <v>-50</v>
      </c>
      <c r="Y54" s="1"/>
      <c r="Z54" s="5">
        <f t="shared" ref="Z54:Z67" si="43">IF(T54=0,0,X54/T54)</f>
        <v>-1</v>
      </c>
    </row>
    <row r="55" spans="1:26" s="24" customFormat="1" hidden="1" outlineLevel="2" x14ac:dyDescent="0.3">
      <c r="A55" s="27"/>
      <c r="B55" s="11" t="str">
        <f>CONCATENATE("          ", "6277", " - ", "EMPLOYEE APPRECIATION")</f>
        <v xml:space="preserve">          6277 - EMPLOYEE APPRECIATION</v>
      </c>
      <c r="C55" s="11"/>
      <c r="D55" s="7"/>
      <c r="E55" s="2"/>
      <c r="F55" s="6">
        <f t="shared" si="36"/>
        <v>0</v>
      </c>
      <c r="G55" s="2"/>
      <c r="H55" s="7"/>
      <c r="I55" s="2"/>
      <c r="J55" s="6">
        <f t="shared" si="37"/>
        <v>0</v>
      </c>
      <c r="K55" s="2"/>
      <c r="L55" s="7">
        <f t="shared" si="38"/>
        <v>0</v>
      </c>
      <c r="M55" s="2"/>
      <c r="N55" s="6">
        <f t="shared" si="39"/>
        <v>0</v>
      </c>
      <c r="O55" s="11"/>
      <c r="P55" s="7"/>
      <c r="Q55" s="2"/>
      <c r="R55" s="6">
        <f t="shared" si="40"/>
        <v>0</v>
      </c>
      <c r="S55" s="2"/>
      <c r="T55" s="7">
        <v>50</v>
      </c>
      <c r="U55" s="2"/>
      <c r="V55" s="6">
        <f t="shared" si="41"/>
        <v>3.8263451516380584E-4</v>
      </c>
      <c r="W55" s="2"/>
      <c r="X55" s="7">
        <f t="shared" si="42"/>
        <v>-50</v>
      </c>
      <c r="Y55" s="2"/>
      <c r="Z55" s="6">
        <f t="shared" si="43"/>
        <v>-1</v>
      </c>
    </row>
    <row r="56" spans="1:26" s="28" customFormat="1" outlineLevel="1" collapsed="1" x14ac:dyDescent="0.3">
      <c r="A56" s="29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SUM(OSRRefD22_7x_0)</f>
        <v>0</v>
      </c>
      <c r="E56" s="1"/>
      <c r="F56" s="5">
        <f t="shared" si="36"/>
        <v>0</v>
      </c>
      <c r="G56" s="1"/>
      <c r="H56" s="1">
        <f>SUM(OSRRefH22_7x_0)</f>
        <v>176</v>
      </c>
      <c r="I56" s="1"/>
      <c r="J56" s="5">
        <f t="shared" si="37"/>
        <v>7.0862020372830861E-3</v>
      </c>
      <c r="K56" s="1"/>
      <c r="L56" s="1">
        <f t="shared" si="38"/>
        <v>-176</v>
      </c>
      <c r="M56" s="1"/>
      <c r="N56" s="5">
        <f t="shared" si="39"/>
        <v>-1</v>
      </c>
      <c r="O56" s="14"/>
      <c r="P56" s="1">
        <f>SUM(OSRRefP22_7x_0)</f>
        <v>0</v>
      </c>
      <c r="Q56" s="1"/>
      <c r="R56" s="5">
        <f t="shared" si="40"/>
        <v>0</v>
      </c>
      <c r="S56" s="1"/>
      <c r="T56" s="1">
        <f>SUM(OSRRefT22_7x_0)</f>
        <v>1232</v>
      </c>
      <c r="U56" s="1"/>
      <c r="V56" s="5">
        <f t="shared" si="41"/>
        <v>9.4281144536361751E-3</v>
      </c>
      <c r="W56" s="1"/>
      <c r="X56" s="1">
        <f t="shared" si="42"/>
        <v>-1232</v>
      </c>
      <c r="Y56" s="1"/>
      <c r="Z56" s="5">
        <f t="shared" si="43"/>
        <v>-1</v>
      </c>
    </row>
    <row r="57" spans="1:26" s="24" customFormat="1" hidden="1" outlineLevel="2" x14ac:dyDescent="0.3">
      <c r="A57" s="27"/>
      <c r="B57" s="11" t="str">
        <f>CONCATENATE("          ", "6351", " - ", "EQUIPMENT RENTAL")</f>
        <v xml:space="preserve">          6351 - EQUIPMENT RENTAL</v>
      </c>
      <c r="C57" s="11"/>
      <c r="D57" s="7"/>
      <c r="E57" s="2"/>
      <c r="F57" s="6">
        <f t="shared" si="36"/>
        <v>0</v>
      </c>
      <c r="G57" s="2"/>
      <c r="H57" s="7">
        <v>176</v>
      </c>
      <c r="I57" s="2"/>
      <c r="J57" s="6">
        <f t="shared" si="37"/>
        <v>7.0862020372830861E-3</v>
      </c>
      <c r="K57" s="2"/>
      <c r="L57" s="7">
        <f t="shared" si="38"/>
        <v>-176</v>
      </c>
      <c r="M57" s="2"/>
      <c r="N57" s="6">
        <f t="shared" si="39"/>
        <v>-1</v>
      </c>
      <c r="O57" s="11"/>
      <c r="P57" s="7"/>
      <c r="Q57" s="2"/>
      <c r="R57" s="6">
        <f t="shared" si="40"/>
        <v>0</v>
      </c>
      <c r="S57" s="2"/>
      <c r="T57" s="7">
        <v>1232</v>
      </c>
      <c r="U57" s="2"/>
      <c r="V57" s="6">
        <f t="shared" si="41"/>
        <v>9.4281144536361751E-3</v>
      </c>
      <c r="W57" s="2"/>
      <c r="X57" s="7">
        <f t="shared" si="42"/>
        <v>-1232</v>
      </c>
      <c r="Y57" s="2"/>
      <c r="Z57" s="6">
        <f t="shared" si="43"/>
        <v>-1</v>
      </c>
    </row>
    <row r="58" spans="1:26" s="28" customFormat="1" outlineLevel="1" collapsed="1" x14ac:dyDescent="0.3">
      <c r="A58" s="29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SUM(OSRRefD22_8x_0)</f>
        <v>0</v>
      </c>
      <c r="E58" s="1"/>
      <c r="F58" s="5">
        <f t="shared" si="36"/>
        <v>0</v>
      </c>
      <c r="G58" s="1"/>
      <c r="H58" s="1">
        <f>SUM(OSRRefH22_8x_0)</f>
        <v>0</v>
      </c>
      <c r="I58" s="1"/>
      <c r="J58" s="5">
        <f t="shared" si="37"/>
        <v>0</v>
      </c>
      <c r="K58" s="1"/>
      <c r="L58" s="1">
        <f t="shared" si="38"/>
        <v>0</v>
      </c>
      <c r="M58" s="1"/>
      <c r="N58" s="5">
        <f t="shared" si="39"/>
        <v>0</v>
      </c>
      <c r="O58" s="14"/>
      <c r="P58" s="1">
        <f>SUM(OSRRefP22_8x_0)</f>
        <v>1002.45</v>
      </c>
      <c r="Q58" s="1"/>
      <c r="R58" s="5">
        <f t="shared" si="40"/>
        <v>1.2446264221109324E-2</v>
      </c>
      <c r="S58" s="1"/>
      <c r="T58" s="1">
        <f>SUM(OSRRefT22_8x_0)</f>
        <v>455</v>
      </c>
      <c r="U58" s="1"/>
      <c r="V58" s="5">
        <f t="shared" si="41"/>
        <v>3.4819740879906331E-3</v>
      </c>
      <c r="W58" s="1"/>
      <c r="X58" s="1">
        <f t="shared" si="42"/>
        <v>547.45000000000005</v>
      </c>
      <c r="Y58" s="1"/>
      <c r="Z58" s="5">
        <f t="shared" si="43"/>
        <v>1.2031868131868133</v>
      </c>
    </row>
    <row r="59" spans="1:26" s="24" customFormat="1" hidden="1" outlineLevel="2" x14ac:dyDescent="0.3">
      <c r="A59" s="27"/>
      <c r="B59" s="11" t="str">
        <f>CONCATENATE("          ", "6279", " - ", "GENERAL EXPENSE")</f>
        <v xml:space="preserve">          6279 - GENERAL EXPENSE</v>
      </c>
      <c r="C59" s="11"/>
      <c r="D59" s="7"/>
      <c r="E59" s="2"/>
      <c r="F59" s="6">
        <f t="shared" si="36"/>
        <v>0</v>
      </c>
      <c r="G59" s="2"/>
      <c r="H59" s="7"/>
      <c r="I59" s="2"/>
      <c r="J59" s="6">
        <f t="shared" si="37"/>
        <v>0</v>
      </c>
      <c r="K59" s="2"/>
      <c r="L59" s="7">
        <f t="shared" si="38"/>
        <v>0</v>
      </c>
      <c r="M59" s="2"/>
      <c r="N59" s="6">
        <f t="shared" si="39"/>
        <v>0</v>
      </c>
      <c r="O59" s="11"/>
      <c r="P59" s="7">
        <v>1002.45</v>
      </c>
      <c r="Q59" s="2"/>
      <c r="R59" s="6">
        <f t="shared" si="40"/>
        <v>1.2446264221109324E-2</v>
      </c>
      <c r="S59" s="2"/>
      <c r="T59" s="7">
        <v>455</v>
      </c>
      <c r="U59" s="2"/>
      <c r="V59" s="6">
        <f t="shared" si="41"/>
        <v>3.4819740879906331E-3</v>
      </c>
      <c r="W59" s="2"/>
      <c r="X59" s="7">
        <f t="shared" si="42"/>
        <v>547.45000000000005</v>
      </c>
      <c r="Y59" s="2"/>
      <c r="Z59" s="6">
        <f t="shared" si="43"/>
        <v>1.2031868131868133</v>
      </c>
    </row>
    <row r="60" spans="1:26" s="28" customFormat="1" outlineLevel="1" collapsed="1" x14ac:dyDescent="0.3">
      <c r="A60" s="29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SUM(OSRRefD22_9x_0)</f>
        <v>331.01</v>
      </c>
      <c r="E60" s="1"/>
      <c r="F60" s="5">
        <f t="shared" si="36"/>
        <v>6.8483032858449228E-2</v>
      </c>
      <c r="G60" s="1"/>
      <c r="H60" s="1">
        <f>SUM(OSRRefH22_9x_0)</f>
        <v>330</v>
      </c>
      <c r="I60" s="1"/>
      <c r="J60" s="5">
        <f t="shared" si="37"/>
        <v>1.3286628819905786E-2</v>
      </c>
      <c r="K60" s="1"/>
      <c r="L60" s="1">
        <f t="shared" si="38"/>
        <v>1.0099999999999909</v>
      </c>
      <c r="M60" s="1"/>
      <c r="N60" s="5">
        <f t="shared" si="39"/>
        <v>3.0606060606060332E-3</v>
      </c>
      <c r="O60" s="14"/>
      <c r="P60" s="1">
        <f>SUM(OSRRefP22_9x_0)</f>
        <v>2317.0700000000002</v>
      </c>
      <c r="Q60" s="1"/>
      <c r="R60" s="5">
        <f t="shared" si="40"/>
        <v>2.8768382900699066E-2</v>
      </c>
      <c r="S60" s="1"/>
      <c r="T60" s="1">
        <f>SUM(OSRRefT22_9x_0)</f>
        <v>2310</v>
      </c>
      <c r="U60" s="1"/>
      <c r="V60" s="5">
        <f t="shared" si="41"/>
        <v>1.7677714600567829E-2</v>
      </c>
      <c r="W60" s="1"/>
      <c r="X60" s="1">
        <f t="shared" si="42"/>
        <v>7.0700000000001637</v>
      </c>
      <c r="Y60" s="1"/>
      <c r="Z60" s="5">
        <f t="shared" si="43"/>
        <v>3.0606060606061317E-3</v>
      </c>
    </row>
    <row r="61" spans="1:26" s="24" customFormat="1" hidden="1" outlineLevel="2" x14ac:dyDescent="0.3">
      <c r="A61" s="27"/>
      <c r="B61" s="11" t="str">
        <f>CONCATENATE("          ", "6314", " - ", "LIABILITY INSURANCE")</f>
        <v xml:space="preserve">          6314 - LIABILITY INSURANCE</v>
      </c>
      <c r="C61" s="11"/>
      <c r="D61" s="7">
        <v>331.01</v>
      </c>
      <c r="E61" s="2"/>
      <c r="F61" s="6">
        <f t="shared" si="36"/>
        <v>6.8483032858449228E-2</v>
      </c>
      <c r="G61" s="2"/>
      <c r="H61" s="7">
        <v>330</v>
      </c>
      <c r="I61" s="2"/>
      <c r="J61" s="6">
        <f t="shared" si="37"/>
        <v>1.3286628819905786E-2</v>
      </c>
      <c r="K61" s="2"/>
      <c r="L61" s="7">
        <f t="shared" si="38"/>
        <v>1.0099999999999909</v>
      </c>
      <c r="M61" s="2"/>
      <c r="N61" s="6">
        <f t="shared" si="39"/>
        <v>3.0606060606060332E-3</v>
      </c>
      <c r="O61" s="11"/>
      <c r="P61" s="7">
        <v>2317.0700000000002</v>
      </c>
      <c r="Q61" s="2"/>
      <c r="R61" s="6">
        <f t="shared" si="40"/>
        <v>2.8768382900699066E-2</v>
      </c>
      <c r="S61" s="2"/>
      <c r="T61" s="7">
        <v>2310</v>
      </c>
      <c r="U61" s="2"/>
      <c r="V61" s="6">
        <f t="shared" si="41"/>
        <v>1.7677714600567829E-2</v>
      </c>
      <c r="W61" s="2"/>
      <c r="X61" s="7">
        <f t="shared" si="42"/>
        <v>7.0700000000001637</v>
      </c>
      <c r="Y61" s="2"/>
      <c r="Z61" s="6">
        <f t="shared" si="43"/>
        <v>3.0606060606061317E-3</v>
      </c>
    </row>
    <row r="62" spans="1:26" s="28" customFormat="1" outlineLevel="1" collapsed="1" x14ac:dyDescent="0.3">
      <c r="A62" s="29"/>
      <c r="B62" s="14" t="str">
        <f>CONCATENATE("     ","Interest                                          ")</f>
        <v xml:space="preserve">     Interest                                          </v>
      </c>
      <c r="C62" s="14"/>
      <c r="D62" s="1">
        <f>SUM(OSRRefD22_10x_0)</f>
        <v>3905</v>
      </c>
      <c r="E62" s="1"/>
      <c r="F62" s="5">
        <f t="shared" si="36"/>
        <v>0.8079098616725906</v>
      </c>
      <c r="G62" s="1"/>
      <c r="H62" s="1">
        <f>SUM(OSRRefH22_10x_0)</f>
        <v>3905</v>
      </c>
      <c r="I62" s="1"/>
      <c r="J62" s="5">
        <f t="shared" si="37"/>
        <v>0.15722510770221845</v>
      </c>
      <c r="K62" s="1"/>
      <c r="L62" s="1">
        <f t="shared" si="38"/>
        <v>0</v>
      </c>
      <c r="M62" s="1"/>
      <c r="N62" s="5">
        <f t="shared" si="39"/>
        <v>0</v>
      </c>
      <c r="O62" s="14"/>
      <c r="P62" s="1">
        <f>SUM(OSRRefP22_10x_0)</f>
        <v>27059</v>
      </c>
      <c r="Q62" s="1"/>
      <c r="R62" s="5">
        <f t="shared" si="40"/>
        <v>0.33596036067534257</v>
      </c>
      <c r="S62" s="1"/>
      <c r="T62" s="1">
        <f>SUM(OSRRefT22_10x_0)</f>
        <v>27335</v>
      </c>
      <c r="U62" s="1"/>
      <c r="V62" s="5">
        <f t="shared" si="41"/>
        <v>0.20918628944005266</v>
      </c>
      <c r="W62" s="1"/>
      <c r="X62" s="1">
        <f t="shared" si="42"/>
        <v>-276</v>
      </c>
      <c r="Y62" s="1"/>
      <c r="Z62" s="5">
        <f t="shared" si="43"/>
        <v>-1.0096945308212913E-2</v>
      </c>
    </row>
    <row r="63" spans="1:26" s="24" customFormat="1" hidden="1" outlineLevel="2" x14ac:dyDescent="0.3">
      <c r="A63" s="27"/>
      <c r="B63" s="11" t="str">
        <f>CONCATENATE("          ", "6401", " - ", "INTEREST EXPENSE")</f>
        <v xml:space="preserve">          6401 - INTEREST EXPENSE</v>
      </c>
      <c r="C63" s="11"/>
      <c r="D63" s="7">
        <v>3905</v>
      </c>
      <c r="E63" s="2"/>
      <c r="F63" s="6">
        <f t="shared" si="36"/>
        <v>0.8079098616725906</v>
      </c>
      <c r="G63" s="2"/>
      <c r="H63" s="7">
        <v>3905</v>
      </c>
      <c r="I63" s="2"/>
      <c r="J63" s="6">
        <f t="shared" si="37"/>
        <v>0.15722510770221845</v>
      </c>
      <c r="K63" s="2"/>
      <c r="L63" s="7">
        <f t="shared" si="38"/>
        <v>0</v>
      </c>
      <c r="M63" s="2"/>
      <c r="N63" s="6">
        <f t="shared" si="39"/>
        <v>0</v>
      </c>
      <c r="O63" s="11"/>
      <c r="P63" s="7">
        <v>27059</v>
      </c>
      <c r="Q63" s="2"/>
      <c r="R63" s="6">
        <f t="shared" si="40"/>
        <v>0.33596036067534257</v>
      </c>
      <c r="S63" s="2"/>
      <c r="T63" s="7">
        <v>27335</v>
      </c>
      <c r="U63" s="2"/>
      <c r="V63" s="6">
        <f t="shared" si="41"/>
        <v>0.20918628944005266</v>
      </c>
      <c r="W63" s="2"/>
      <c r="X63" s="7">
        <f t="shared" si="42"/>
        <v>-276</v>
      </c>
      <c r="Y63" s="2"/>
      <c r="Z63" s="6">
        <f t="shared" si="43"/>
        <v>-1.0096945308212913E-2</v>
      </c>
    </row>
    <row r="64" spans="1:26" s="28" customFormat="1" outlineLevel="1" collapsed="1" x14ac:dyDescent="0.3">
      <c r="A64" s="29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SUM(OSRRefD22_11x_0)</f>
        <v>0</v>
      </c>
      <c r="E64" s="1"/>
      <c r="F64" s="5">
        <f t="shared" si="36"/>
        <v>0</v>
      </c>
      <c r="G64" s="1"/>
      <c r="H64" s="1">
        <f>SUM(OSRRefH22_11x_0)</f>
        <v>100</v>
      </c>
      <c r="I64" s="1"/>
      <c r="J64" s="5">
        <f t="shared" si="37"/>
        <v>4.0262511575472077E-3</v>
      </c>
      <c r="K64" s="1"/>
      <c r="L64" s="1">
        <f t="shared" si="38"/>
        <v>-100</v>
      </c>
      <c r="M64" s="1"/>
      <c r="N64" s="5">
        <f t="shared" si="39"/>
        <v>-1</v>
      </c>
      <c r="O64" s="14"/>
      <c r="P64" s="1">
        <f>SUM(OSRRefP22_11x_0)</f>
        <v>2782.59</v>
      </c>
      <c r="Q64" s="1"/>
      <c r="R64" s="5">
        <f t="shared" si="40"/>
        <v>3.4548207251251024E-2</v>
      </c>
      <c r="S64" s="1"/>
      <c r="T64" s="1">
        <f>SUM(OSRRefT22_11x_0)</f>
        <v>5213</v>
      </c>
      <c r="U64" s="1"/>
      <c r="V64" s="5">
        <f t="shared" si="41"/>
        <v>3.9893474550978393E-2</v>
      </c>
      <c r="W64" s="1"/>
      <c r="X64" s="1">
        <f t="shared" si="42"/>
        <v>-2430.41</v>
      </c>
      <c r="Y64" s="1"/>
      <c r="Z64" s="5">
        <f t="shared" si="43"/>
        <v>-0.46622098599654704</v>
      </c>
    </row>
    <row r="65" spans="1:26" s="24" customFormat="1" hidden="1" outlineLevel="2" x14ac:dyDescent="0.3">
      <c r="A65" s="27"/>
      <c r="B65" s="11" t="str">
        <f>CONCATENATE("          ", "6371", " - ", "COMPUTER SOFTWARE MAINTENANCE")</f>
        <v xml:space="preserve">          6371 - COMPUTER SOFTWARE MAINTENANCE</v>
      </c>
      <c r="C65" s="11"/>
      <c r="D65" s="7"/>
      <c r="E65" s="2"/>
      <c r="F65" s="6">
        <f t="shared" si="36"/>
        <v>0</v>
      </c>
      <c r="G65" s="2"/>
      <c r="H65" s="7"/>
      <c r="I65" s="2"/>
      <c r="J65" s="6">
        <f t="shared" si="37"/>
        <v>0</v>
      </c>
      <c r="K65" s="2"/>
      <c r="L65" s="7">
        <f t="shared" si="38"/>
        <v>0</v>
      </c>
      <c r="M65" s="2"/>
      <c r="N65" s="6">
        <f t="shared" si="39"/>
        <v>0</v>
      </c>
      <c r="O65" s="11"/>
      <c r="P65" s="7"/>
      <c r="Q65" s="2"/>
      <c r="R65" s="6">
        <f t="shared" si="40"/>
        <v>0</v>
      </c>
      <c r="S65" s="2"/>
      <c r="T65" s="7">
        <v>2623</v>
      </c>
      <c r="U65" s="2"/>
      <c r="V65" s="6">
        <f t="shared" si="41"/>
        <v>2.0073006665493255E-2</v>
      </c>
      <c r="W65" s="2"/>
      <c r="X65" s="7">
        <f t="shared" si="42"/>
        <v>-2623</v>
      </c>
      <c r="Y65" s="2"/>
      <c r="Z65" s="6">
        <f t="shared" si="43"/>
        <v>-1</v>
      </c>
    </row>
    <row r="66" spans="1:26" s="24" customFormat="1" hidden="1" outlineLevel="2" x14ac:dyDescent="0.3">
      <c r="A66" s="27"/>
      <c r="B66" s="11" t="str">
        <f>CONCATENATE("          ", "6373", " - ", "MAINTENANCE CONTRACTS")</f>
        <v xml:space="preserve">          6373 - MAINTENANCE CONTRACTS</v>
      </c>
      <c r="C66" s="11"/>
      <c r="D66" s="7"/>
      <c r="E66" s="2"/>
      <c r="F66" s="6">
        <f t="shared" si="36"/>
        <v>0</v>
      </c>
      <c r="G66" s="2"/>
      <c r="H66" s="7"/>
      <c r="I66" s="2"/>
      <c r="J66" s="6">
        <f t="shared" si="37"/>
        <v>0</v>
      </c>
      <c r="K66" s="2"/>
      <c r="L66" s="7">
        <f t="shared" si="38"/>
        <v>0</v>
      </c>
      <c r="M66" s="2"/>
      <c r="N66" s="6">
        <f t="shared" si="39"/>
        <v>0</v>
      </c>
      <c r="O66" s="11"/>
      <c r="P66" s="7">
        <v>621.34</v>
      </c>
      <c r="Q66" s="2"/>
      <c r="R66" s="6">
        <f t="shared" si="40"/>
        <v>7.7144613807612018E-3</v>
      </c>
      <c r="S66" s="2"/>
      <c r="T66" s="7">
        <v>260</v>
      </c>
      <c r="U66" s="2"/>
      <c r="V66" s="6">
        <f t="shared" si="41"/>
        <v>1.9896994788517904E-3</v>
      </c>
      <c r="W66" s="2"/>
      <c r="X66" s="7">
        <f t="shared" si="42"/>
        <v>361.34000000000003</v>
      </c>
      <c r="Y66" s="2"/>
      <c r="Z66" s="6">
        <f t="shared" si="43"/>
        <v>1.3897692307692309</v>
      </c>
    </row>
    <row r="67" spans="1:26" s="24" customFormat="1" hidden="1" outlineLevel="2" x14ac:dyDescent="0.3">
      <c r="A67" s="27"/>
      <c r="B67" s="11" t="str">
        <f>CONCATENATE("          ", "6375", " - ", "OUTSIDE REPAIRS &amp; MAINTENANCE")</f>
        <v xml:space="preserve">          6375 - OUTSIDE REPAIRS &amp; MAINTENANCE</v>
      </c>
      <c r="C67" s="11"/>
      <c r="D67" s="7"/>
      <c r="E67" s="2"/>
      <c r="F67" s="6">
        <f t="shared" si="36"/>
        <v>0</v>
      </c>
      <c r="G67" s="2"/>
      <c r="H67" s="7">
        <v>100</v>
      </c>
      <c r="I67" s="2"/>
      <c r="J67" s="6">
        <f t="shared" si="37"/>
        <v>4.0262511575472077E-3</v>
      </c>
      <c r="K67" s="2"/>
      <c r="L67" s="7">
        <f t="shared" si="38"/>
        <v>-100</v>
      </c>
      <c r="M67" s="2"/>
      <c r="N67" s="6">
        <f t="shared" si="39"/>
        <v>-1</v>
      </c>
      <c r="O67" s="11"/>
      <c r="P67" s="7">
        <v>2161.25</v>
      </c>
      <c r="Q67" s="2"/>
      <c r="R67" s="6">
        <f t="shared" si="40"/>
        <v>2.6833745870489822E-2</v>
      </c>
      <c r="S67" s="2"/>
      <c r="T67" s="7">
        <v>2330</v>
      </c>
      <c r="U67" s="2"/>
      <c r="V67" s="6">
        <f t="shared" si="41"/>
        <v>1.7830768406633352E-2</v>
      </c>
      <c r="W67" s="2"/>
      <c r="X67" s="7">
        <f t="shared" si="42"/>
        <v>-168.75</v>
      </c>
      <c r="Y67" s="2"/>
      <c r="Z67" s="6">
        <f t="shared" si="43"/>
        <v>-7.2424892703862667E-2</v>
      </c>
    </row>
    <row r="68" spans="1:26" s="28" customFormat="1" outlineLevel="1" collapsed="1" x14ac:dyDescent="0.3">
      <c r="A68" s="29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SUM(OSRRefD22_12x_0)</f>
        <v>114.16</v>
      </c>
      <c r="E68" s="1"/>
      <c r="F68" s="5">
        <f t="shared" ref="F68:F71" si="44">IF(D$12=0,0,D68/D$12)</f>
        <v>2.3618691372226105E-2</v>
      </c>
      <c r="G68" s="1"/>
      <c r="H68" s="1">
        <f>SUM(OSRRefH22_12x_0)</f>
        <v>192</v>
      </c>
      <c r="I68" s="1"/>
      <c r="J68" s="5">
        <f t="shared" ref="J68:J71" si="45">IF(H$12=0,0,H68/H$12)</f>
        <v>7.7304022224906387E-3</v>
      </c>
      <c r="K68" s="1"/>
      <c r="L68" s="1">
        <f t="shared" ref="L68:L71" si="46">+D68-H68</f>
        <v>-77.84</v>
      </c>
      <c r="M68" s="1"/>
      <c r="N68" s="5">
        <f t="shared" ref="N68:N71" si="47">IF(H68=0,0,L68/H68)</f>
        <v>-0.4054166666666667</v>
      </c>
      <c r="O68" s="14"/>
      <c r="P68" s="1">
        <f>SUM(OSRRefP22_12x_0)</f>
        <v>8779.880000000001</v>
      </c>
      <c r="Q68" s="1"/>
      <c r="R68" s="5">
        <f t="shared" ref="R68:R71" si="48">IF(P$12=0,0,P68/P$12)</f>
        <v>0.10900963270949507</v>
      </c>
      <c r="S68" s="1"/>
      <c r="T68" s="1">
        <f>SUM(OSRRefT22_12x_0)</f>
        <v>1161</v>
      </c>
      <c r="U68" s="1"/>
      <c r="V68" s="5">
        <f t="shared" ref="V68:V71" si="49">IF(T$12=0,0,T68/T$12)</f>
        <v>8.8847734421035711E-3</v>
      </c>
      <c r="W68" s="1"/>
      <c r="X68" s="1">
        <f t="shared" ref="X68:X71" si="50">+P68-T68</f>
        <v>7618.880000000001</v>
      </c>
      <c r="Y68" s="1"/>
      <c r="Z68" s="5">
        <f t="shared" ref="Z68:Z71" si="51">IF(T68=0,0,X68/T68)</f>
        <v>6.5623428079242041</v>
      </c>
    </row>
    <row r="69" spans="1:26" s="24" customFormat="1" hidden="1" outlineLevel="2" x14ac:dyDescent="0.3">
      <c r="A69" s="27"/>
      <c r="B69" s="11" t="str">
        <f>CONCATENATE("          ", "6282", " - ", "JANITORIAL/EXTERMINATOR EXPENS")</f>
        <v xml:space="preserve">          6282 - JANITORIAL/EXTERMINATOR EXPENS</v>
      </c>
      <c r="C69" s="11"/>
      <c r="D69" s="7"/>
      <c r="E69" s="2"/>
      <c r="F69" s="6">
        <f t="shared" si="44"/>
        <v>0</v>
      </c>
      <c r="G69" s="2"/>
      <c r="H69" s="7">
        <v>158</v>
      </c>
      <c r="I69" s="2"/>
      <c r="J69" s="6">
        <f t="shared" si="45"/>
        <v>6.3614768289245883E-3</v>
      </c>
      <c r="K69" s="2"/>
      <c r="L69" s="7">
        <f t="shared" si="46"/>
        <v>-158</v>
      </c>
      <c r="M69" s="2"/>
      <c r="N69" s="6">
        <f t="shared" si="47"/>
        <v>-1</v>
      </c>
      <c r="O69" s="11"/>
      <c r="P69" s="7">
        <v>1010.4</v>
      </c>
      <c r="Q69" s="2"/>
      <c r="R69" s="6">
        <f t="shared" si="48"/>
        <v>1.2544970192038365E-2</v>
      </c>
      <c r="S69" s="2"/>
      <c r="T69" s="7">
        <v>948</v>
      </c>
      <c r="U69" s="2"/>
      <c r="V69" s="6">
        <f t="shared" si="49"/>
        <v>7.2547504075057582E-3</v>
      </c>
      <c r="W69" s="2"/>
      <c r="X69" s="7">
        <f t="shared" si="50"/>
        <v>62.399999999999977</v>
      </c>
      <c r="Y69" s="2"/>
      <c r="Z69" s="6">
        <f t="shared" si="51"/>
        <v>6.5822784810126558E-2</v>
      </c>
    </row>
    <row r="70" spans="1:26" s="24" customFormat="1" hidden="1" outlineLevel="2" x14ac:dyDescent="0.3">
      <c r="A70" s="27"/>
      <c r="B70" s="11" t="str">
        <f>CONCATENATE("          ", "6285", " - ", "JANITORIAL SERVICES")</f>
        <v xml:space="preserve">          6285 - JANITORIAL SERVICES</v>
      </c>
      <c r="C70" s="11"/>
      <c r="D70" s="7"/>
      <c r="E70" s="2"/>
      <c r="F70" s="6">
        <f t="shared" si="44"/>
        <v>0</v>
      </c>
      <c r="G70" s="2"/>
      <c r="H70" s="7"/>
      <c r="I70" s="2"/>
      <c r="J70" s="6">
        <f t="shared" si="45"/>
        <v>0</v>
      </c>
      <c r="K70" s="2"/>
      <c r="L70" s="7">
        <f t="shared" si="46"/>
        <v>0</v>
      </c>
      <c r="M70" s="2"/>
      <c r="N70" s="6">
        <f t="shared" si="47"/>
        <v>0</v>
      </c>
      <c r="O70" s="11"/>
      <c r="P70" s="7">
        <v>7229.52</v>
      </c>
      <c r="Q70" s="2"/>
      <c r="R70" s="6">
        <f t="shared" si="48"/>
        <v>8.9760602635337694E-2</v>
      </c>
      <c r="S70" s="2"/>
      <c r="T70" s="7"/>
      <c r="U70" s="2"/>
      <c r="V70" s="6">
        <f t="shared" si="49"/>
        <v>0</v>
      </c>
      <c r="W70" s="2"/>
      <c r="X70" s="7">
        <f t="shared" si="50"/>
        <v>7229.52</v>
      </c>
      <c r="Y70" s="2"/>
      <c r="Z70" s="6">
        <f t="shared" si="51"/>
        <v>0</v>
      </c>
    </row>
    <row r="71" spans="1:26" s="24" customFormat="1" hidden="1" outlineLevel="2" x14ac:dyDescent="0.3">
      <c r="A71" s="27"/>
      <c r="B71" s="11" t="str">
        <f>CONCATENATE("          ", "6286", " - ", "LAUNDRY EXPENSE")</f>
        <v xml:space="preserve">          6286 - LAUNDRY EXPENSE</v>
      </c>
      <c r="C71" s="11"/>
      <c r="D71" s="7">
        <v>114.16</v>
      </c>
      <c r="E71" s="2"/>
      <c r="F71" s="6">
        <f t="shared" si="44"/>
        <v>2.3618691372226105E-2</v>
      </c>
      <c r="G71" s="2"/>
      <c r="H71" s="7">
        <v>34</v>
      </c>
      <c r="I71" s="2"/>
      <c r="J71" s="6">
        <f t="shared" si="45"/>
        <v>1.3689253935660506E-3</v>
      </c>
      <c r="K71" s="2"/>
      <c r="L71" s="7">
        <f t="shared" si="46"/>
        <v>80.16</v>
      </c>
      <c r="M71" s="2"/>
      <c r="N71" s="6">
        <f t="shared" si="47"/>
        <v>2.3576470588235292</v>
      </c>
      <c r="O71" s="11"/>
      <c r="P71" s="7">
        <v>539.96</v>
      </c>
      <c r="Q71" s="2"/>
      <c r="R71" s="6">
        <f t="shared" si="48"/>
        <v>6.7040598821189986E-3</v>
      </c>
      <c r="S71" s="2"/>
      <c r="T71" s="7">
        <v>213</v>
      </c>
      <c r="U71" s="2"/>
      <c r="V71" s="6">
        <f t="shared" si="49"/>
        <v>1.6300230345978129E-3</v>
      </c>
      <c r="W71" s="2"/>
      <c r="X71" s="7">
        <f t="shared" si="50"/>
        <v>326.96000000000004</v>
      </c>
      <c r="Y71" s="2"/>
      <c r="Z71" s="6">
        <f t="shared" si="51"/>
        <v>1.5350234741784039</v>
      </c>
    </row>
    <row r="72" spans="1:26" s="28" customFormat="1" outlineLevel="1" collapsed="1" x14ac:dyDescent="0.3">
      <c r="A72" s="29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SUM(OSRRefD22_13x_0)</f>
        <v>262.48</v>
      </c>
      <c r="E72" s="1"/>
      <c r="F72" s="5">
        <f t="shared" ref="F72:F77" si="52">IF(D$12=0,0,D72/D$12)</f>
        <v>5.4304783736702077E-2</v>
      </c>
      <c r="G72" s="1"/>
      <c r="H72" s="1">
        <f>SUM(OSRRefH22_13x_0)</f>
        <v>850</v>
      </c>
      <c r="I72" s="1"/>
      <c r="J72" s="5">
        <f t="shared" ref="J72:J77" si="53">IF(H$12=0,0,H72/H$12)</f>
        <v>3.4223134839151265E-2</v>
      </c>
      <c r="K72" s="1"/>
      <c r="L72" s="1">
        <f t="shared" ref="L72:L77" si="54">+D72-H72</f>
        <v>-587.52</v>
      </c>
      <c r="M72" s="1"/>
      <c r="N72" s="5">
        <f t="shared" ref="N72:N77" si="55">IF(H72=0,0,L72/H72)</f>
        <v>-0.69119999999999993</v>
      </c>
      <c r="O72" s="14"/>
      <c r="P72" s="1">
        <f>SUM(OSRRefP22_13x_0)</f>
        <v>1784.6399999999999</v>
      </c>
      <c r="Q72" s="1"/>
      <c r="R72" s="5">
        <f t="shared" ref="R72:R77" si="56">IF(P$12=0,0,P72/P$12)</f>
        <v>2.215781433444116E-2</v>
      </c>
      <c r="S72" s="1"/>
      <c r="T72" s="1">
        <f>SUM(OSRRefT22_13x_0)</f>
        <v>7000</v>
      </c>
      <c r="U72" s="1"/>
      <c r="V72" s="5">
        <f t="shared" ref="V72:V77" si="57">IF(T$12=0,0,T72/T$12)</f>
        <v>5.356883212293282E-2</v>
      </c>
      <c r="W72" s="1"/>
      <c r="X72" s="1">
        <f t="shared" ref="X72:X77" si="58">+P72-T72</f>
        <v>-5215.3600000000006</v>
      </c>
      <c r="Y72" s="1"/>
      <c r="Z72" s="5">
        <f t="shared" ref="Z72:Z77" si="59">IF(T72=0,0,X72/T72)</f>
        <v>-0.7450514285714287</v>
      </c>
    </row>
    <row r="73" spans="1:26" s="24" customFormat="1" hidden="1" outlineLevel="2" x14ac:dyDescent="0.3">
      <c r="A73" s="27"/>
      <c r="B73" s="11" t="str">
        <f>CONCATENATE("          ", "6234", " - ", "EXPENDABLE SUPPLIES &amp; EQUIPMEN")</f>
        <v xml:space="preserve">          6234 - EXPENDABLE SUPPLIES &amp; EQUIPMEN</v>
      </c>
      <c r="C73" s="11"/>
      <c r="D73" s="7"/>
      <c r="E73" s="2"/>
      <c r="F73" s="6">
        <f t="shared" si="52"/>
        <v>0</v>
      </c>
      <c r="G73" s="2"/>
      <c r="H73" s="7">
        <v>200</v>
      </c>
      <c r="I73" s="2"/>
      <c r="J73" s="6">
        <f t="shared" si="53"/>
        <v>8.0525023150944154E-3</v>
      </c>
      <c r="K73" s="2"/>
      <c r="L73" s="7">
        <f t="shared" si="54"/>
        <v>-200</v>
      </c>
      <c r="M73" s="2"/>
      <c r="N73" s="6">
        <f t="shared" si="55"/>
        <v>-1</v>
      </c>
      <c r="O73" s="11"/>
      <c r="P73" s="7"/>
      <c r="Q73" s="2"/>
      <c r="R73" s="6">
        <f t="shared" si="56"/>
        <v>0</v>
      </c>
      <c r="S73" s="2"/>
      <c r="T73" s="7">
        <v>600</v>
      </c>
      <c r="U73" s="2"/>
      <c r="V73" s="6">
        <f t="shared" si="57"/>
        <v>4.5916141819656699E-3</v>
      </c>
      <c r="W73" s="2"/>
      <c r="X73" s="7">
        <f t="shared" si="58"/>
        <v>-600</v>
      </c>
      <c r="Y73" s="2"/>
      <c r="Z73" s="6">
        <f t="shared" si="59"/>
        <v>-1</v>
      </c>
    </row>
    <row r="74" spans="1:26" s="24" customFormat="1" hidden="1" outlineLevel="2" x14ac:dyDescent="0.3">
      <c r="A74" s="27"/>
      <c r="B74" s="11" t="str">
        <f>CONCATENATE("          ", "6237", " - ", "JANITORIAL SUPPLIES")</f>
        <v xml:space="preserve">          6237 - JANITORIAL SUPPLIES</v>
      </c>
      <c r="C74" s="11"/>
      <c r="D74" s="7">
        <v>51.51</v>
      </c>
      <c r="E74" s="2"/>
      <c r="F74" s="6">
        <f t="shared" si="52"/>
        <v>1.0656962093407206E-2</v>
      </c>
      <c r="G74" s="2"/>
      <c r="H74" s="7">
        <v>50</v>
      </c>
      <c r="I74" s="2"/>
      <c r="J74" s="6">
        <f t="shared" si="53"/>
        <v>2.0131255787736039E-3</v>
      </c>
      <c r="K74" s="2"/>
      <c r="L74" s="7">
        <f t="shared" si="54"/>
        <v>1.509999999999998</v>
      </c>
      <c r="M74" s="2"/>
      <c r="N74" s="6">
        <f t="shared" si="55"/>
        <v>3.019999999999996E-2</v>
      </c>
      <c r="O74" s="11"/>
      <c r="P74" s="7">
        <v>616.89</v>
      </c>
      <c r="Q74" s="2"/>
      <c r="R74" s="6">
        <f t="shared" si="56"/>
        <v>7.6592108687317372E-3</v>
      </c>
      <c r="S74" s="2"/>
      <c r="T74" s="7">
        <v>150</v>
      </c>
      <c r="U74" s="2"/>
      <c r="V74" s="6">
        <f t="shared" si="57"/>
        <v>1.1479035454914175E-3</v>
      </c>
      <c r="W74" s="2"/>
      <c r="X74" s="7">
        <f t="shared" si="58"/>
        <v>466.89</v>
      </c>
      <c r="Y74" s="2"/>
      <c r="Z74" s="6">
        <f t="shared" si="59"/>
        <v>3.1126</v>
      </c>
    </row>
    <row r="75" spans="1:26" s="24" customFormat="1" hidden="1" outlineLevel="2" x14ac:dyDescent="0.3">
      <c r="A75" s="27"/>
      <c r="B75" s="11" t="str">
        <f>CONCATENATE("          ", "6241", " - ", "OFFICE EXPENSE")</f>
        <v xml:space="preserve">          6241 - OFFICE EXPENSE</v>
      </c>
      <c r="C75" s="11"/>
      <c r="D75" s="7">
        <v>136.59</v>
      </c>
      <c r="E75" s="2"/>
      <c r="F75" s="6">
        <f t="shared" si="52"/>
        <v>2.825925941251195E-2</v>
      </c>
      <c r="G75" s="2"/>
      <c r="H75" s="7"/>
      <c r="I75" s="2"/>
      <c r="J75" s="6">
        <f t="shared" si="53"/>
        <v>0</v>
      </c>
      <c r="K75" s="2"/>
      <c r="L75" s="7">
        <f t="shared" si="54"/>
        <v>136.59</v>
      </c>
      <c r="M75" s="2"/>
      <c r="N75" s="6">
        <f t="shared" si="55"/>
        <v>0</v>
      </c>
      <c r="O75" s="11"/>
      <c r="P75" s="7">
        <v>341.88</v>
      </c>
      <c r="Q75" s="2"/>
      <c r="R75" s="6">
        <f t="shared" si="56"/>
        <v>4.2447292253108438E-3</v>
      </c>
      <c r="S75" s="2"/>
      <c r="T75" s="7"/>
      <c r="U75" s="2"/>
      <c r="V75" s="6">
        <f t="shared" si="57"/>
        <v>0</v>
      </c>
      <c r="W75" s="2"/>
      <c r="X75" s="7">
        <f t="shared" si="58"/>
        <v>341.88</v>
      </c>
      <c r="Y75" s="2"/>
      <c r="Z75" s="6">
        <f t="shared" si="59"/>
        <v>0</v>
      </c>
    </row>
    <row r="76" spans="1:26" s="24" customFormat="1" hidden="1" outlineLevel="2" x14ac:dyDescent="0.3">
      <c r="A76" s="27"/>
      <c r="B76" s="11" t="str">
        <f>CONCATENATE("          ", "6243", " - ", "PAPER SUPPLIES")</f>
        <v xml:space="preserve">          6243 - PAPER SUPPLIES</v>
      </c>
      <c r="C76" s="11"/>
      <c r="D76" s="7">
        <v>44.38</v>
      </c>
      <c r="E76" s="2"/>
      <c r="F76" s="6">
        <f t="shared" si="52"/>
        <v>9.1818283382918246E-3</v>
      </c>
      <c r="G76" s="2"/>
      <c r="H76" s="7">
        <v>200</v>
      </c>
      <c r="I76" s="2"/>
      <c r="J76" s="6">
        <f t="shared" si="53"/>
        <v>8.0525023150944154E-3</v>
      </c>
      <c r="K76" s="2"/>
      <c r="L76" s="7">
        <f t="shared" si="54"/>
        <v>-155.62</v>
      </c>
      <c r="M76" s="2"/>
      <c r="N76" s="6">
        <f t="shared" si="55"/>
        <v>-0.77810000000000001</v>
      </c>
      <c r="O76" s="11"/>
      <c r="P76" s="7">
        <v>44.38</v>
      </c>
      <c r="Q76" s="2"/>
      <c r="R76" s="6">
        <f t="shared" si="56"/>
        <v>5.5101521884665745E-4</v>
      </c>
      <c r="S76" s="2"/>
      <c r="T76" s="7">
        <v>1200</v>
      </c>
      <c r="U76" s="2"/>
      <c r="V76" s="6">
        <f t="shared" si="57"/>
        <v>9.1832283639313398E-3</v>
      </c>
      <c r="W76" s="2"/>
      <c r="X76" s="7">
        <f t="shared" si="58"/>
        <v>-1155.6199999999999</v>
      </c>
      <c r="Y76" s="2"/>
      <c r="Z76" s="6">
        <f t="shared" si="59"/>
        <v>-0.96301666666666652</v>
      </c>
    </row>
    <row r="77" spans="1:26" s="24" customFormat="1" hidden="1" outlineLevel="2" x14ac:dyDescent="0.3">
      <c r="A77" s="27"/>
      <c r="B77" s="11" t="str">
        <f>CONCATENATE("          ", "6247", " - ", "STORE SUPPLIES")</f>
        <v xml:space="preserve">          6247 - STORE SUPPLIES</v>
      </c>
      <c r="C77" s="11"/>
      <c r="D77" s="7">
        <v>30</v>
      </c>
      <c r="E77" s="2"/>
      <c r="F77" s="6">
        <f t="shared" si="52"/>
        <v>6.2067338924910931E-3</v>
      </c>
      <c r="G77" s="2"/>
      <c r="H77" s="7">
        <v>400</v>
      </c>
      <c r="I77" s="2"/>
      <c r="J77" s="6">
        <f t="shared" si="53"/>
        <v>1.6105004630188831E-2</v>
      </c>
      <c r="K77" s="2"/>
      <c r="L77" s="7">
        <f t="shared" si="54"/>
        <v>-370</v>
      </c>
      <c r="M77" s="2"/>
      <c r="N77" s="6">
        <f t="shared" si="55"/>
        <v>-0.92500000000000004</v>
      </c>
      <c r="O77" s="11"/>
      <c r="P77" s="7">
        <v>781.49</v>
      </c>
      <c r="Q77" s="2"/>
      <c r="R77" s="6">
        <f t="shared" si="56"/>
        <v>9.7028590215519229E-3</v>
      </c>
      <c r="S77" s="2"/>
      <c r="T77" s="7">
        <v>5050</v>
      </c>
      <c r="U77" s="2"/>
      <c r="V77" s="6">
        <f t="shared" si="57"/>
        <v>3.8646086031544388E-2</v>
      </c>
      <c r="W77" s="2"/>
      <c r="X77" s="7">
        <f t="shared" si="58"/>
        <v>-4268.51</v>
      </c>
      <c r="Y77" s="2"/>
      <c r="Z77" s="6">
        <f t="shared" si="59"/>
        <v>-0.84524950495049511</v>
      </c>
    </row>
    <row r="78" spans="1:26" s="28" customFormat="1" outlineLevel="1" collapsed="1" x14ac:dyDescent="0.3">
      <c r="A78" s="29"/>
      <c r="B78" s="14" t="str">
        <f>CONCATENATE("     ","Telephone/Data Lines                              ")</f>
        <v xml:space="preserve">     Telephone/Data Lines                              </v>
      </c>
      <c r="C78" s="14"/>
      <c r="D78" s="1">
        <f>SUM(OSRRefD22_14x_0)</f>
        <v>75</v>
      </c>
      <c r="E78" s="1"/>
      <c r="F78" s="5">
        <f t="shared" ref="F78:F80" si="60">IF(D$12=0,0,D78/D$12)</f>
        <v>1.5516834731227733E-2</v>
      </c>
      <c r="G78" s="1"/>
      <c r="H78" s="1">
        <f>SUM(OSRRefH22_14x_0)</f>
        <v>125</v>
      </c>
      <c r="I78" s="1"/>
      <c r="J78" s="5">
        <f t="shared" ref="J78:J80" si="61">IF(H$12=0,0,H78/H$12)</f>
        <v>5.0328139469340101E-3</v>
      </c>
      <c r="K78" s="1"/>
      <c r="L78" s="1">
        <f t="shared" ref="L78:L80" si="62">+D78-H78</f>
        <v>-50</v>
      </c>
      <c r="M78" s="1"/>
      <c r="N78" s="5">
        <f t="shared" ref="N78:N80" si="63">IF(H78=0,0,L78/H78)</f>
        <v>-0.4</v>
      </c>
      <c r="O78" s="14"/>
      <c r="P78" s="1">
        <f>SUM(OSRRefP22_14x_0)</f>
        <v>314</v>
      </c>
      <c r="Q78" s="1"/>
      <c r="R78" s="5">
        <f t="shared" ref="R78:R80" si="64">IF(P$12=0,0,P78/P$12)</f>
        <v>3.8985754555622E-3</v>
      </c>
      <c r="S78" s="1"/>
      <c r="T78" s="1">
        <f>SUM(OSRRefT22_14x_0)</f>
        <v>875</v>
      </c>
      <c r="U78" s="1"/>
      <c r="V78" s="5">
        <f t="shared" ref="V78:V80" si="65">IF(T$12=0,0,T78/T$12)</f>
        <v>6.6961040153666026E-3</v>
      </c>
      <c r="W78" s="1"/>
      <c r="X78" s="1">
        <f t="shared" ref="X78:X80" si="66">+P78-T78</f>
        <v>-561</v>
      </c>
      <c r="Y78" s="1"/>
      <c r="Z78" s="5">
        <f t="shared" ref="Z78:Z80" si="67">IF(T78=0,0,X78/T78)</f>
        <v>-0.64114285714285713</v>
      </c>
    </row>
    <row r="79" spans="1:26" s="24" customFormat="1" hidden="1" outlineLevel="2" x14ac:dyDescent="0.3">
      <c r="A79" s="27"/>
      <c r="B79" s="11" t="str">
        <f>CONCATENATE("          ", "6303", " - ", "DATA PHONE LINES")</f>
        <v xml:space="preserve">          6303 - DATA PHONE LINES</v>
      </c>
      <c r="C79" s="11"/>
      <c r="D79" s="7"/>
      <c r="E79" s="2"/>
      <c r="F79" s="6">
        <f t="shared" si="60"/>
        <v>0</v>
      </c>
      <c r="G79" s="2"/>
      <c r="H79" s="7">
        <v>50</v>
      </c>
      <c r="I79" s="2"/>
      <c r="J79" s="6">
        <f t="shared" si="61"/>
        <v>2.0131255787736039E-3</v>
      </c>
      <c r="K79" s="2"/>
      <c r="L79" s="7">
        <f t="shared" si="62"/>
        <v>-50</v>
      </c>
      <c r="M79" s="2"/>
      <c r="N79" s="6">
        <f t="shared" si="63"/>
        <v>-1</v>
      </c>
      <c r="O79" s="11"/>
      <c r="P79" s="7"/>
      <c r="Q79" s="2"/>
      <c r="R79" s="6">
        <f t="shared" si="64"/>
        <v>0</v>
      </c>
      <c r="S79" s="2"/>
      <c r="T79" s="7">
        <v>350</v>
      </c>
      <c r="U79" s="2"/>
      <c r="V79" s="6">
        <f t="shared" si="65"/>
        <v>2.6784416061466408E-3</v>
      </c>
      <c r="W79" s="2"/>
      <c r="X79" s="7">
        <f t="shared" si="66"/>
        <v>-350</v>
      </c>
      <c r="Y79" s="2"/>
      <c r="Z79" s="6">
        <f t="shared" si="67"/>
        <v>-1</v>
      </c>
    </row>
    <row r="80" spans="1:26" s="24" customFormat="1" hidden="1" outlineLevel="2" x14ac:dyDescent="0.3">
      <c r="A80" s="27"/>
      <c r="B80" s="11" t="str">
        <f>CONCATENATE("          ", "6309", " - ", "TELEPHONE")</f>
        <v xml:space="preserve">          6309 - TELEPHONE</v>
      </c>
      <c r="C80" s="11"/>
      <c r="D80" s="7">
        <v>75</v>
      </c>
      <c r="E80" s="2"/>
      <c r="F80" s="6">
        <f t="shared" si="60"/>
        <v>1.5516834731227733E-2</v>
      </c>
      <c r="G80" s="2"/>
      <c r="H80" s="7">
        <v>75</v>
      </c>
      <c r="I80" s="2"/>
      <c r="J80" s="6">
        <f t="shared" si="61"/>
        <v>3.0196883681604058E-3</v>
      </c>
      <c r="K80" s="2"/>
      <c r="L80" s="7">
        <f t="shared" si="62"/>
        <v>0</v>
      </c>
      <c r="M80" s="2"/>
      <c r="N80" s="6">
        <f t="shared" si="63"/>
        <v>0</v>
      </c>
      <c r="O80" s="11"/>
      <c r="P80" s="7">
        <v>314</v>
      </c>
      <c r="Q80" s="2"/>
      <c r="R80" s="6">
        <f t="shared" si="64"/>
        <v>3.8985754555622E-3</v>
      </c>
      <c r="S80" s="2"/>
      <c r="T80" s="7">
        <v>525</v>
      </c>
      <c r="U80" s="2"/>
      <c r="V80" s="6">
        <f t="shared" si="65"/>
        <v>4.0176624092199617E-3</v>
      </c>
      <c r="W80" s="2"/>
      <c r="X80" s="7">
        <f t="shared" si="66"/>
        <v>-211</v>
      </c>
      <c r="Y80" s="2"/>
      <c r="Z80" s="6">
        <f t="shared" si="67"/>
        <v>-0.40190476190476193</v>
      </c>
    </row>
    <row r="81" spans="1:26" s="28" customFormat="1" outlineLevel="1" collapsed="1" x14ac:dyDescent="0.3">
      <c r="A81" s="29"/>
      <c r="B81" s="14" t="str">
        <f>CONCATENATE("     ","Utilities                                         ")</f>
        <v xml:space="preserve">     Utilities                                         </v>
      </c>
      <c r="C81" s="14"/>
      <c r="D81" s="1">
        <f>SUM(OSRRefD22_15x_0)</f>
        <v>100</v>
      </c>
      <c r="E81" s="1"/>
      <c r="F81" s="5">
        <f t="shared" ref="F81:F82" si="68">IF(D$12=0,0,D81/D$12)</f>
        <v>2.0689112974970312E-2</v>
      </c>
      <c r="G81" s="1"/>
      <c r="H81" s="1">
        <f>SUM(OSRRefH22_15x_0)</f>
        <v>0</v>
      </c>
      <c r="I81" s="1"/>
      <c r="J81" s="5">
        <f t="shared" ref="J81:J82" si="69">IF(H$12=0,0,H81/H$12)</f>
        <v>0</v>
      </c>
      <c r="K81" s="1"/>
      <c r="L81" s="1">
        <f t="shared" ref="L81:L82" si="70">+D81-H81</f>
        <v>100</v>
      </c>
      <c r="M81" s="1"/>
      <c r="N81" s="5">
        <f t="shared" ref="N81:N82" si="71">IF(H81=0,0,L81/H81)</f>
        <v>0</v>
      </c>
      <c r="O81" s="14"/>
      <c r="P81" s="1">
        <f>SUM(OSRRefP22_15x_0)</f>
        <v>700</v>
      </c>
      <c r="Q81" s="1"/>
      <c r="R81" s="5">
        <f t="shared" ref="R81:R82" si="72">IF(P$12=0,0,P81/P$12)</f>
        <v>8.6910917799157324E-3</v>
      </c>
      <c r="S81" s="1"/>
      <c r="T81" s="1">
        <f>SUM(OSRRefT22_15x_0)</f>
        <v>0</v>
      </c>
      <c r="U81" s="1"/>
      <c r="V81" s="5">
        <f t="shared" ref="V81:V82" si="73">IF(T$12=0,0,T81/T$12)</f>
        <v>0</v>
      </c>
      <c r="W81" s="1"/>
      <c r="X81" s="1">
        <f t="shared" ref="X81:X82" si="74">+P81-T81</f>
        <v>700</v>
      </c>
      <c r="Y81" s="1"/>
      <c r="Z81" s="5">
        <f t="shared" ref="Z81:Z82" si="75">IF(T81=0,0,X81/T81)</f>
        <v>0</v>
      </c>
    </row>
    <row r="82" spans="1:26" s="24" customFormat="1" hidden="1" outlineLevel="2" x14ac:dyDescent="0.3">
      <c r="A82" s="27"/>
      <c r="B82" s="11" t="str">
        <f>CONCATENATE("          ", "6274", " - ", "UTILITIES")</f>
        <v xml:space="preserve">          6274 - UTILITIES</v>
      </c>
      <c r="C82" s="11"/>
      <c r="D82" s="7">
        <v>100</v>
      </c>
      <c r="E82" s="2"/>
      <c r="F82" s="6">
        <f t="shared" si="68"/>
        <v>2.0689112974970312E-2</v>
      </c>
      <c r="G82" s="2"/>
      <c r="H82" s="7">
        <v>0</v>
      </c>
      <c r="I82" s="2"/>
      <c r="J82" s="6">
        <f t="shared" si="69"/>
        <v>0</v>
      </c>
      <c r="K82" s="2"/>
      <c r="L82" s="7">
        <f t="shared" si="70"/>
        <v>100</v>
      </c>
      <c r="M82" s="2"/>
      <c r="N82" s="6">
        <f t="shared" si="71"/>
        <v>0</v>
      </c>
      <c r="O82" s="11"/>
      <c r="P82" s="7">
        <v>700</v>
      </c>
      <c r="Q82" s="2"/>
      <c r="R82" s="6">
        <f t="shared" si="72"/>
        <v>8.6910917799157324E-3</v>
      </c>
      <c r="S82" s="2"/>
      <c r="T82" s="7">
        <v>0</v>
      </c>
      <c r="U82" s="2"/>
      <c r="V82" s="6">
        <f t="shared" si="73"/>
        <v>0</v>
      </c>
      <c r="W82" s="2"/>
      <c r="X82" s="7">
        <f t="shared" si="74"/>
        <v>700</v>
      </c>
      <c r="Y82" s="2"/>
      <c r="Z82" s="6">
        <f t="shared" si="75"/>
        <v>0</v>
      </c>
    </row>
    <row r="83" spans="1:26" s="55" customFormat="1" x14ac:dyDescent="0.3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3">
      <c r="A84" s="10"/>
      <c r="B84" s="25" t="s">
        <v>293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3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3">
      <c r="A86" s="10"/>
      <c r="B86" s="26" t="s">
        <v>277</v>
      </c>
      <c r="C86" s="26"/>
      <c r="D86" s="21">
        <f>+D21-D23+D84</f>
        <v>-19822.129999999997</v>
      </c>
      <c r="E86" s="13"/>
      <c r="F86" s="22">
        <f>IF(D$12=0,0,D86/D$12)</f>
        <v>-4.1010228697454822</v>
      </c>
      <c r="G86" s="13"/>
      <c r="H86" s="21">
        <f>+H21-H23+H84</f>
        <v>-14031.689544384615</v>
      </c>
      <c r="I86" s="13"/>
      <c r="J86" s="22">
        <f>IF(H$12=0,0,H86/H$12)</f>
        <v>-0.56495106270421613</v>
      </c>
      <c r="K86" s="15"/>
      <c r="L86" s="21">
        <f>+D86-H86</f>
        <v>-5790.4404556153822</v>
      </c>
      <c r="M86" s="15"/>
      <c r="N86" s="22">
        <f>IF(H86=0,0,L86/H86)</f>
        <v>0.41266879781648791</v>
      </c>
      <c r="O86" s="25"/>
      <c r="P86" s="21">
        <f>+P21-P23+P84</f>
        <v>-81522.750000000029</v>
      </c>
      <c r="Q86" s="13"/>
      <c r="R86" s="22">
        <f>IF(P$12=0,0,P86/P$12)</f>
        <v>-1.0121738605730364</v>
      </c>
      <c r="S86" s="13"/>
      <c r="T86" s="21">
        <f>+T21-T23+T84</f>
        <v>-123422.72552438459</v>
      </c>
      <c r="U86" s="13"/>
      <c r="V86" s="22">
        <f>IF(T$12=0,0,T86/T$12)</f>
        <v>-0.9445158948243676</v>
      </c>
      <c r="W86" s="15"/>
      <c r="X86" s="21">
        <f>+P86-T86</f>
        <v>41899.975524384558</v>
      </c>
      <c r="Y86" s="15"/>
      <c r="Z86" s="22">
        <f>IF(T86=0,0,X86/T86)</f>
        <v>-0.33948347313158622</v>
      </c>
    </row>
    <row r="87" spans="1:26" x14ac:dyDescent="0.3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3">
      <c r="A88" s="52"/>
      <c r="B88" s="10" t="s">
        <v>128</v>
      </c>
      <c r="C88" s="10"/>
      <c r="D88" s="4">
        <v>1548.04</v>
      </c>
      <c r="E88" s="4"/>
      <c r="F88" s="12">
        <f>IF(D$12=0,0,D88/D$12)</f>
        <v>0.32027574449773039</v>
      </c>
      <c r="G88" s="4"/>
      <c r="H88" s="4">
        <v>2670</v>
      </c>
      <c r="I88" s="4"/>
      <c r="J88" s="12">
        <f>IF(H$12=0,0,H88/H$12)</f>
        <v>0.10750090590651044</v>
      </c>
      <c r="K88" s="4"/>
      <c r="L88" s="4">
        <f>+D88-H88</f>
        <v>-1121.96</v>
      </c>
      <c r="M88" s="4"/>
      <c r="N88" s="12">
        <f>IF(H88=0,0,L88/H88)</f>
        <v>-0.42020973782771537</v>
      </c>
      <c r="O88" s="10"/>
      <c r="P88" s="4">
        <v>10661.17</v>
      </c>
      <c r="Q88" s="4"/>
      <c r="R88" s="12">
        <f>IF(P$12=0,0,P88/P$12)</f>
        <v>0.13236743850183458</v>
      </c>
      <c r="S88" s="4"/>
      <c r="T88" s="4">
        <v>16373</v>
      </c>
      <c r="U88" s="4"/>
      <c r="V88" s="12">
        <f>IF(T$12=0,0,T88/T$12)</f>
        <v>0.12529749833553985</v>
      </c>
      <c r="W88" s="4"/>
      <c r="X88" s="4">
        <f>+P88-T88</f>
        <v>-5711.83</v>
      </c>
      <c r="Y88" s="4"/>
      <c r="Z88" s="12">
        <f>IF(T88=0,0,X88/T88)</f>
        <v>-0.34885665424784706</v>
      </c>
    </row>
    <row r="89" spans="1:26" x14ac:dyDescent="0.3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" thickBot="1" x14ac:dyDescent="0.35">
      <c r="A90" s="10"/>
      <c r="B90" s="26" t="s">
        <v>126</v>
      </c>
      <c r="C90" s="26"/>
      <c r="D90" s="32">
        <f>+D86-D88</f>
        <v>-21370.17</v>
      </c>
      <c r="E90" s="13"/>
      <c r="F90" s="31">
        <f>IF(D$12=0,0,D90/D$12)</f>
        <v>-4.4212986142432129</v>
      </c>
      <c r="G90" s="13"/>
      <c r="H90" s="32">
        <f>+H86-H88</f>
        <v>-16701.689544384615</v>
      </c>
      <c r="I90" s="13"/>
      <c r="J90" s="31">
        <f>IF(H$12=0,0,H90/H$12)</f>
        <v>-0.67245196861072654</v>
      </c>
      <c r="K90" s="15"/>
      <c r="L90" s="32">
        <f>D90-H90</f>
        <v>-4668.4804556153831</v>
      </c>
      <c r="M90" s="15"/>
      <c r="N90" s="31">
        <f>IF(H90=0,0,L90/H90)</f>
        <v>0.27952144860607853</v>
      </c>
      <c r="O90" s="25"/>
      <c r="P90" s="32">
        <f>+P86-P88</f>
        <v>-92183.920000000027</v>
      </c>
      <c r="Q90" s="13"/>
      <c r="R90" s="31">
        <f>IF(P$12=0,0,P90/P$12)</f>
        <v>-1.1445412990748709</v>
      </c>
      <c r="S90" s="13"/>
      <c r="T90" s="32">
        <f>+T86-T88</f>
        <v>-139795.72552438459</v>
      </c>
      <c r="U90" s="13"/>
      <c r="V90" s="31">
        <f>IF(T$12=0,0,T90/T$12)</f>
        <v>-1.0698133931599074</v>
      </c>
      <c r="W90" s="15"/>
      <c r="X90" s="32">
        <f>P90-T90</f>
        <v>47611.805524384559</v>
      </c>
      <c r="Y90" s="15"/>
      <c r="Z90" s="31">
        <f>IF(T90=0,0,X90/T90)</f>
        <v>-0.34058126846002618</v>
      </c>
    </row>
    <row r="91" spans="1:26" ht="15" thickTop="1" x14ac:dyDescent="0.3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3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" thickBot="1" x14ac:dyDescent="0.35">
      <c r="A93" s="10"/>
      <c r="B93" s="26" t="s">
        <v>294</v>
      </c>
      <c r="C93" s="26"/>
      <c r="D93" s="34">
        <f>SUM(D90:D92)</f>
        <v>-21370.17</v>
      </c>
      <c r="E93" s="13"/>
      <c r="F93" s="35">
        <f>IF(D$12=0,0,D93/D$12)</f>
        <v>-4.4212986142432129</v>
      </c>
      <c r="G93" s="13"/>
      <c r="H93" s="34">
        <f>SUM(H90:H92)</f>
        <v>-16701.689544384615</v>
      </c>
      <c r="I93" s="13"/>
      <c r="J93" s="35">
        <f>IF(H$12=0,0,H93/H$12)</f>
        <v>-0.67245196861072654</v>
      </c>
      <c r="K93" s="15"/>
      <c r="L93" s="34">
        <f>+D93-H93</f>
        <v>-4668.4804556153831</v>
      </c>
      <c r="M93" s="15"/>
      <c r="N93" s="35">
        <f>IF(H93=0,0,L93/H93)</f>
        <v>0.27952144860607853</v>
      </c>
      <c r="O93" s="25"/>
      <c r="P93" s="34">
        <f>SUM(P90:P92)</f>
        <v>-92183.920000000027</v>
      </c>
      <c r="Q93" s="13"/>
      <c r="R93" s="35">
        <f>IF(P$12=0,0,P93/P$12)</f>
        <v>-1.1445412990748709</v>
      </c>
      <c r="S93" s="13"/>
      <c r="T93" s="34">
        <f>SUM(T90:T92)</f>
        <v>-139795.72552438459</v>
      </c>
      <c r="U93" s="13"/>
      <c r="V93" s="35">
        <f>IF(T$12=0,0,T93/T$12)</f>
        <v>-1.0698133931599074</v>
      </c>
      <c r="W93" s="15"/>
      <c r="X93" s="34">
        <f>+P93-T93</f>
        <v>47611.805524384559</v>
      </c>
      <c r="Y93" s="15"/>
      <c r="Z93" s="35">
        <f>IF(T93=0,0,X93/T93)</f>
        <v>-0.34058126846002618</v>
      </c>
    </row>
    <row r="94" spans="1:26" ht="15" thickTop="1" x14ac:dyDescent="0.3">
      <c r="A94" s="9"/>
      <c r="C94" s="9"/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3">
      <c r="A95" s="9"/>
      <c r="B95" s="53">
        <v>44604.019995405091</v>
      </c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3">
      <c r="A96" s="9"/>
      <c r="B96" s="63" t="s">
        <v>56</v>
      </c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1:24" x14ac:dyDescent="0.3">
      <c r="A97" s="9"/>
      <c r="B97" s="58"/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3"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92D050"/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","327", " - ", "C-Store Vending Machine(s)")</f>
        <v>Department 327 - C-Store Vending Machine(s)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50</v>
      </c>
      <c r="I12" s="4"/>
      <c r="J12" s="12"/>
      <c r="K12" s="4"/>
      <c r="L12" s="4">
        <f t="shared" ref="L12:L15" si="0">+D12-H12</f>
        <v>-50</v>
      </c>
      <c r="M12" s="4"/>
      <c r="N12" s="12">
        <f t="shared" ref="N12:N15" si="1">IF(H12=0,0,L12/H12)</f>
        <v>-1</v>
      </c>
      <c r="O12" s="10"/>
      <c r="P12" s="4">
        <f>SUM(OSRRefP13x_0)</f>
        <v>698.72</v>
      </c>
      <c r="Q12" s="4"/>
      <c r="R12" s="12"/>
      <c r="S12" s="4"/>
      <c r="T12" s="4">
        <f>SUM(OSRRefT13x_0)</f>
        <v>325</v>
      </c>
      <c r="U12" s="4"/>
      <c r="V12" s="12"/>
      <c r="W12" s="4"/>
      <c r="X12" s="4">
        <f t="shared" ref="X12:X15" si="2">+P12-T12</f>
        <v>373.72</v>
      </c>
      <c r="Y12" s="4"/>
      <c r="Z12" s="12">
        <f t="shared" ref="Z12:Z15" si="3">IF(T12=0,0,X12/T12)</f>
        <v>1.1499076923076923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19"/>
      <c r="G13" s="2"/>
      <c r="H13" s="2">
        <v>50</v>
      </c>
      <c r="I13" s="2"/>
      <c r="J13" s="19"/>
      <c r="K13" s="2"/>
      <c r="L13" s="2">
        <f t="shared" si="0"/>
        <v>-50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325</v>
      </c>
      <c r="U13" s="2"/>
      <c r="V13" s="19"/>
      <c r="W13" s="2"/>
      <c r="X13" s="2">
        <f t="shared" si="2"/>
        <v>-325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--698.72</f>
        <v>698.72</v>
      </c>
      <c r="Q14" s="2"/>
      <c r="R14" s="19"/>
      <c r="S14" s="2"/>
      <c r="T14" s="2"/>
      <c r="U14" s="2"/>
      <c r="V14" s="19"/>
      <c r="W14" s="2"/>
      <c r="X14" s="2">
        <f t="shared" si="2"/>
        <v>698.72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x14ac:dyDescent="0.3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3">
      <c r="A17" s="10"/>
      <c r="B17" s="25" t="s">
        <v>257</v>
      </c>
      <c r="C17" s="10"/>
      <c r="D17" s="4">
        <f>SUM(OSRRefD16x_0)</f>
        <v>0</v>
      </c>
      <c r="E17" s="4"/>
      <c r="F17" s="12">
        <f t="shared" ref="F17:F20" si="5">IF(D$12=0,0,D17/D$12)</f>
        <v>0</v>
      </c>
      <c r="G17" s="4"/>
      <c r="H17" s="4">
        <f>SUM(OSRRefH16x_0)</f>
        <v>25</v>
      </c>
      <c r="I17" s="4"/>
      <c r="J17" s="12">
        <f t="shared" ref="J17:J20" si="6">IF(H$12=0,0,H17/H$12)</f>
        <v>0.5</v>
      </c>
      <c r="K17" s="4"/>
      <c r="L17" s="4">
        <f t="shared" ref="L17:L20" si="7">+D17-H17</f>
        <v>-25</v>
      </c>
      <c r="M17" s="4"/>
      <c r="N17" s="12">
        <f t="shared" ref="N17:N20" si="8">IF(H17=0,0,L17/H17)</f>
        <v>-1</v>
      </c>
      <c r="O17" s="10"/>
      <c r="P17" s="4">
        <f>SUM(OSRRefP16x_0)</f>
        <v>-8.7999999999999972</v>
      </c>
      <c r="Q17" s="4"/>
      <c r="R17" s="12">
        <f t="shared" ref="R17:R20" si="9">IF(P$12=0,0,P17/P$12)</f>
        <v>-1.2594458438287149E-2</v>
      </c>
      <c r="S17" s="4"/>
      <c r="T17" s="4">
        <f>SUM(OSRRefT16x_0)</f>
        <v>163</v>
      </c>
      <c r="U17" s="4"/>
      <c r="V17" s="12">
        <f t="shared" ref="V17:V20" si="10">IF(T$12=0,0,T17/T$12)</f>
        <v>0.50153846153846149</v>
      </c>
      <c r="W17" s="4"/>
      <c r="X17" s="4">
        <f t="shared" ref="X17:X20" si="11">+P17-T17</f>
        <v>-171.8</v>
      </c>
      <c r="Y17" s="4"/>
      <c r="Z17" s="12">
        <f t="shared" ref="Z17:Z20" si="12">IF(T17=0,0,X17/T17)</f>
        <v>-1.0539877300613498</v>
      </c>
    </row>
    <row r="18" spans="1:26" s="24" customFormat="1" hidden="1" outlineLevel="1" x14ac:dyDescent="0.3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5"/>
        <v>0</v>
      </c>
      <c r="G18" s="2"/>
      <c r="H18" s="2">
        <v>25</v>
      </c>
      <c r="I18" s="2"/>
      <c r="J18" s="19">
        <f t="shared" si="6"/>
        <v>0.5</v>
      </c>
      <c r="K18" s="2"/>
      <c r="L18" s="2">
        <f t="shared" si="7"/>
        <v>-25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163</v>
      </c>
      <c r="U18" s="2"/>
      <c r="V18" s="19">
        <f t="shared" si="10"/>
        <v>0.50153846153846149</v>
      </c>
      <c r="W18" s="2"/>
      <c r="X18" s="2">
        <f t="shared" si="11"/>
        <v>-163</v>
      </c>
      <c r="Y18" s="2"/>
      <c r="Z18" s="19">
        <f t="shared" si="12"/>
        <v>-1</v>
      </c>
    </row>
    <row r="19" spans="1:26" s="24" customFormat="1" hidden="1" outlineLevel="1" x14ac:dyDescent="0.3">
      <c r="A19" s="44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0</v>
      </c>
      <c r="M19" s="2"/>
      <c r="N19" s="19">
        <f t="shared" si="8"/>
        <v>0</v>
      </c>
      <c r="O19" s="11"/>
      <c r="P19" s="2">
        <v>45</v>
      </c>
      <c r="Q19" s="2"/>
      <c r="R19" s="19">
        <f t="shared" si="9"/>
        <v>6.4403480650332037E-2</v>
      </c>
      <c r="S19" s="2"/>
      <c r="T19" s="2"/>
      <c r="U19" s="2"/>
      <c r="V19" s="19">
        <f t="shared" si="10"/>
        <v>0</v>
      </c>
      <c r="W19" s="2"/>
      <c r="X19" s="2">
        <f t="shared" si="11"/>
        <v>45</v>
      </c>
      <c r="Y19" s="2"/>
      <c r="Z19" s="19">
        <f t="shared" si="12"/>
        <v>0</v>
      </c>
    </row>
    <row r="20" spans="1:26" s="24" customFormat="1" hidden="1" outlineLevel="1" x14ac:dyDescent="0.3">
      <c r="A20" s="44"/>
      <c r="B20" s="11" t="str">
        <f>CONCATENATE("          ", "5059", " - ", "PURCHASES @ COST-FOOD")</f>
        <v xml:space="preserve">          5059 -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-53.8</v>
      </c>
      <c r="Q20" s="2"/>
      <c r="R20" s="19">
        <f t="shared" si="9"/>
        <v>-7.6997939088619183E-2</v>
      </c>
      <c r="S20" s="2"/>
      <c r="T20" s="2"/>
      <c r="U20" s="2"/>
      <c r="V20" s="19">
        <f t="shared" si="10"/>
        <v>0</v>
      </c>
      <c r="W20" s="2"/>
      <c r="X20" s="2">
        <f t="shared" si="11"/>
        <v>-53.8</v>
      </c>
      <c r="Y20" s="2"/>
      <c r="Z20" s="19">
        <f t="shared" si="12"/>
        <v>0</v>
      </c>
    </row>
    <row r="21" spans="1:26" x14ac:dyDescent="0.3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3">
      <c r="A22" s="10"/>
      <c r="B22" s="26" t="s">
        <v>108</v>
      </c>
      <c r="C22" s="26"/>
      <c r="D22" s="21">
        <f>D12-D17</f>
        <v>0</v>
      </c>
      <c r="E22" s="13"/>
      <c r="F22" s="22">
        <f>IF(D$12=0,0,D22/D$12)</f>
        <v>0</v>
      </c>
      <c r="G22" s="13"/>
      <c r="H22" s="21">
        <f>H12-H17</f>
        <v>25</v>
      </c>
      <c r="I22" s="13"/>
      <c r="J22" s="22">
        <f>IF(H$12=0,0,H22/H$12)</f>
        <v>0.5</v>
      </c>
      <c r="K22" s="15"/>
      <c r="L22" s="21">
        <f>+D22-H22</f>
        <v>-25</v>
      </c>
      <c r="M22" s="15"/>
      <c r="N22" s="22">
        <f>IF(H22=0,0,L22/H22)</f>
        <v>-1</v>
      </c>
      <c r="O22" s="25"/>
      <c r="P22" s="21">
        <f>P12-P17</f>
        <v>707.52</v>
      </c>
      <c r="Q22" s="13"/>
      <c r="R22" s="22">
        <f>IF(P$12=0,0,P22/P$12)</f>
        <v>1.0125944584382871</v>
      </c>
      <c r="S22" s="13"/>
      <c r="T22" s="21">
        <f>T12-T17</f>
        <v>162</v>
      </c>
      <c r="U22" s="13"/>
      <c r="V22" s="22">
        <f>IF(T$12=0,0,T22/T$12)</f>
        <v>0.49846153846153846</v>
      </c>
      <c r="W22" s="15"/>
      <c r="X22" s="21">
        <f>+P22-T22</f>
        <v>545.52</v>
      </c>
      <c r="Y22" s="15"/>
      <c r="Z22" s="22">
        <f>IF(T22=0,0,X22/T22)</f>
        <v>3.3674074074074074</v>
      </c>
    </row>
    <row r="23" spans="1:26" x14ac:dyDescent="0.3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3">
      <c r="A24" s="10"/>
      <c r="B24" s="25" t="s">
        <v>295</v>
      </c>
      <c r="C24" s="10"/>
      <c r="D24" s="20">
        <f>SUM(OSRRefD22x_0)</f>
        <v>758.88</v>
      </c>
      <c r="E24" s="20"/>
      <c r="F24" s="33">
        <f t="shared" ref="F24:F28" si="13">IF(D$12=0,0,D24/D$12)</f>
        <v>0</v>
      </c>
      <c r="G24" s="20"/>
      <c r="H24" s="20">
        <f>SUM(OSRRefH22x_0)</f>
        <v>4.5</v>
      </c>
      <c r="I24" s="20"/>
      <c r="J24" s="33">
        <f t="shared" ref="J24:J28" si="14">IF(H$12=0,0,H24/H$12)</f>
        <v>0.09</v>
      </c>
      <c r="K24" s="4"/>
      <c r="L24" s="20">
        <f t="shared" ref="L24:L28" si="15">+D24-H24</f>
        <v>754.38</v>
      </c>
      <c r="M24" s="4"/>
      <c r="N24" s="33">
        <f t="shared" ref="N24:N28" si="16">IF(H24=0,0,L24/H24)</f>
        <v>167.64</v>
      </c>
      <c r="O24" s="10"/>
      <c r="P24" s="20">
        <f>SUM(OSRRefP22x_0)</f>
        <v>1125.53</v>
      </c>
      <c r="Q24" s="20"/>
      <c r="R24" s="33">
        <f t="shared" ref="R24:R28" si="17">IF(P$12=0,0,P24/P$12)</f>
        <v>1.6108455461415159</v>
      </c>
      <c r="S24" s="20"/>
      <c r="T24" s="20">
        <f>SUM(OSRRefT22x_0)</f>
        <v>29.25</v>
      </c>
      <c r="U24" s="20"/>
      <c r="V24" s="33">
        <f t="shared" ref="V24:V28" si="18">IF(T$12=0,0,T24/T$12)</f>
        <v>0.09</v>
      </c>
      <c r="W24" s="4"/>
      <c r="X24" s="20">
        <f t="shared" ref="X24:X28" si="19">+P24-T24</f>
        <v>1096.28</v>
      </c>
      <c r="Y24" s="4"/>
      <c r="Z24" s="33">
        <f t="shared" ref="Z24:Z28" si="20">IF(T24=0,0,X24/T24)</f>
        <v>37.479658119658119</v>
      </c>
    </row>
    <row r="25" spans="1:26" s="28" customFormat="1" outlineLevel="1" collapsed="1" x14ac:dyDescent="0.3">
      <c r="A25" s="29"/>
      <c r="B25" s="14" t="str">
        <f>CONCATENATE("     ","Bank/card Fees                                    ")</f>
        <v xml:space="preserve">     Bank/card Fees                                    </v>
      </c>
      <c r="C25" s="14"/>
      <c r="D25" s="1">
        <f>SUM(OSRRefD22_0x_0)</f>
        <v>0</v>
      </c>
      <c r="E25" s="1"/>
      <c r="F25" s="5">
        <f t="shared" si="13"/>
        <v>0</v>
      </c>
      <c r="G25" s="1"/>
      <c r="H25" s="1">
        <f>SUM(OSRRefH22_0x_0)</f>
        <v>4.5</v>
      </c>
      <c r="I25" s="1"/>
      <c r="J25" s="5">
        <f t="shared" si="14"/>
        <v>0.09</v>
      </c>
      <c r="K25" s="1"/>
      <c r="L25" s="1">
        <f t="shared" si="15"/>
        <v>-4.5</v>
      </c>
      <c r="M25" s="1"/>
      <c r="N25" s="5">
        <f t="shared" si="16"/>
        <v>-1</v>
      </c>
      <c r="O25" s="14"/>
      <c r="P25" s="1">
        <f>SUM(OSRRefP22_0x_0)</f>
        <v>366.65</v>
      </c>
      <c r="Q25" s="1"/>
      <c r="R25" s="5">
        <f t="shared" si="17"/>
        <v>0.52474524845431636</v>
      </c>
      <c r="S25" s="1"/>
      <c r="T25" s="1">
        <f>SUM(OSRRefT22_0x_0)</f>
        <v>29.25</v>
      </c>
      <c r="U25" s="1"/>
      <c r="V25" s="5">
        <f t="shared" si="18"/>
        <v>0.09</v>
      </c>
      <c r="W25" s="1"/>
      <c r="X25" s="1">
        <f t="shared" si="19"/>
        <v>337.4</v>
      </c>
      <c r="Y25" s="1"/>
      <c r="Z25" s="5">
        <f t="shared" si="20"/>
        <v>11.535042735042735</v>
      </c>
    </row>
    <row r="26" spans="1:26" s="24" customFormat="1" hidden="1" outlineLevel="2" x14ac:dyDescent="0.3">
      <c r="A26" s="27"/>
      <c r="B26" s="11" t="str">
        <f>CONCATENATE("          ", "6381", " - ", "BANK/CREDIT CARD FEES")</f>
        <v xml:space="preserve">          6381 - BANK/CREDIT CARD FEES</v>
      </c>
      <c r="C26" s="11"/>
      <c r="D26" s="7"/>
      <c r="E26" s="2"/>
      <c r="F26" s="6">
        <f t="shared" si="13"/>
        <v>0</v>
      </c>
      <c r="G26" s="2"/>
      <c r="H26" s="7">
        <v>4.5</v>
      </c>
      <c r="I26" s="2"/>
      <c r="J26" s="6">
        <f t="shared" si="14"/>
        <v>0.09</v>
      </c>
      <c r="K26" s="2"/>
      <c r="L26" s="7">
        <f t="shared" si="15"/>
        <v>-4.5</v>
      </c>
      <c r="M26" s="2"/>
      <c r="N26" s="6">
        <f t="shared" si="16"/>
        <v>-1</v>
      </c>
      <c r="O26" s="11"/>
      <c r="P26" s="7">
        <v>366.65</v>
      </c>
      <c r="Q26" s="2"/>
      <c r="R26" s="6">
        <f t="shared" si="17"/>
        <v>0.52474524845431636</v>
      </c>
      <c r="S26" s="2"/>
      <c r="T26" s="7">
        <v>29.25</v>
      </c>
      <c r="U26" s="2"/>
      <c r="V26" s="6">
        <f t="shared" si="18"/>
        <v>0.09</v>
      </c>
      <c r="W26" s="2"/>
      <c r="X26" s="7">
        <f t="shared" si="19"/>
        <v>337.4</v>
      </c>
      <c r="Y26" s="2"/>
      <c r="Z26" s="6">
        <f t="shared" si="20"/>
        <v>11.535042735042735</v>
      </c>
    </row>
    <row r="27" spans="1:26" s="28" customFormat="1" outlineLevel="1" collapsed="1" x14ac:dyDescent="0.3">
      <c r="A27" s="29"/>
      <c r="B27" s="14" t="str">
        <f>CONCATENATE("     ","General                                           ")</f>
        <v xml:space="preserve">     General                                           </v>
      </c>
      <c r="C27" s="14"/>
      <c r="D27" s="1">
        <f>SUM(OSRRefD22_1x_0)</f>
        <v>758.88</v>
      </c>
      <c r="E27" s="1"/>
      <c r="F27" s="5">
        <f t="shared" si="13"/>
        <v>0</v>
      </c>
      <c r="G27" s="1"/>
      <c r="H27" s="1">
        <f>SUM(OSRRefH22_1x_0)</f>
        <v>0</v>
      </c>
      <c r="I27" s="1"/>
      <c r="J27" s="5">
        <f t="shared" si="14"/>
        <v>0</v>
      </c>
      <c r="K27" s="1"/>
      <c r="L27" s="1">
        <f t="shared" si="15"/>
        <v>758.88</v>
      </c>
      <c r="M27" s="1"/>
      <c r="N27" s="5">
        <f t="shared" si="16"/>
        <v>0</v>
      </c>
      <c r="O27" s="14"/>
      <c r="P27" s="1">
        <f>SUM(OSRRefP22_1x_0)</f>
        <v>758.88</v>
      </c>
      <c r="Q27" s="1"/>
      <c r="R27" s="5">
        <f t="shared" si="17"/>
        <v>1.0861002976871994</v>
      </c>
      <c r="S27" s="1"/>
      <c r="T27" s="1">
        <f>SUM(OSRRefT22_1x_0)</f>
        <v>0</v>
      </c>
      <c r="U27" s="1"/>
      <c r="V27" s="5">
        <f t="shared" si="18"/>
        <v>0</v>
      </c>
      <c r="W27" s="1"/>
      <c r="X27" s="1">
        <f t="shared" si="19"/>
        <v>758.88</v>
      </c>
      <c r="Y27" s="1"/>
      <c r="Z27" s="5">
        <f t="shared" si="20"/>
        <v>0</v>
      </c>
    </row>
    <row r="28" spans="1:26" s="24" customFormat="1" hidden="1" outlineLevel="2" x14ac:dyDescent="0.3">
      <c r="A28" s="27"/>
      <c r="B28" s="11" t="str">
        <f>CONCATENATE("          ", "6279", " - ", "GENERAL EXPENSE")</f>
        <v xml:space="preserve">          6279 - GENERAL EXPENSE</v>
      </c>
      <c r="C28" s="11"/>
      <c r="D28" s="7">
        <v>758.88</v>
      </c>
      <c r="E28" s="2"/>
      <c r="F28" s="6">
        <f t="shared" si="13"/>
        <v>0</v>
      </c>
      <c r="G28" s="2"/>
      <c r="H28" s="7"/>
      <c r="I28" s="2"/>
      <c r="J28" s="6">
        <f t="shared" si="14"/>
        <v>0</v>
      </c>
      <c r="K28" s="2"/>
      <c r="L28" s="7">
        <f t="shared" si="15"/>
        <v>758.88</v>
      </c>
      <c r="M28" s="2"/>
      <c r="N28" s="6">
        <f t="shared" si="16"/>
        <v>0</v>
      </c>
      <c r="O28" s="11"/>
      <c r="P28" s="7">
        <v>758.88</v>
      </c>
      <c r="Q28" s="2"/>
      <c r="R28" s="6">
        <f t="shared" si="17"/>
        <v>1.0861002976871994</v>
      </c>
      <c r="S28" s="2"/>
      <c r="T28" s="7"/>
      <c r="U28" s="2"/>
      <c r="V28" s="6">
        <f t="shared" si="18"/>
        <v>0</v>
      </c>
      <c r="W28" s="2"/>
      <c r="X28" s="7">
        <f t="shared" si="19"/>
        <v>758.88</v>
      </c>
      <c r="Y28" s="2"/>
      <c r="Z28" s="6">
        <f t="shared" si="20"/>
        <v>0</v>
      </c>
    </row>
    <row r="29" spans="1:26" s="55" customFormat="1" x14ac:dyDescent="0.3">
      <c r="A29" s="36"/>
      <c r="B29" s="36"/>
      <c r="C29" s="36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3">
      <c r="A30" s="10"/>
      <c r="B30" s="25" t="s">
        <v>293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3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3">
      <c r="A32" s="10"/>
      <c r="B32" s="26" t="s">
        <v>277</v>
      </c>
      <c r="C32" s="26"/>
      <c r="D32" s="21">
        <f>+D22-D24+D30</f>
        <v>-758.88</v>
      </c>
      <c r="E32" s="13"/>
      <c r="F32" s="22">
        <f>IF(D$12=0,0,D32/D$12)</f>
        <v>0</v>
      </c>
      <c r="G32" s="13"/>
      <c r="H32" s="21">
        <f>+H22-H24+H30</f>
        <v>20.5</v>
      </c>
      <c r="I32" s="13"/>
      <c r="J32" s="22">
        <f>IF(H$12=0,0,H32/H$12)</f>
        <v>0.41</v>
      </c>
      <c r="K32" s="15"/>
      <c r="L32" s="21">
        <f>+D32-H32</f>
        <v>-779.38</v>
      </c>
      <c r="M32" s="15"/>
      <c r="N32" s="22">
        <f>IF(H32=0,0,L32/H32)</f>
        <v>-38.018536585365851</v>
      </c>
      <c r="O32" s="25"/>
      <c r="P32" s="21">
        <f>+P22-P24+P30</f>
        <v>-418.01</v>
      </c>
      <c r="Q32" s="13"/>
      <c r="R32" s="22">
        <f>IF(P$12=0,0,P32/P$12)</f>
        <v>-0.59825108770322877</v>
      </c>
      <c r="S32" s="13"/>
      <c r="T32" s="21">
        <f>+T22-T24+T30</f>
        <v>132.75</v>
      </c>
      <c r="U32" s="13"/>
      <c r="V32" s="22">
        <f>IF(T$12=0,0,T32/T$12)</f>
        <v>0.40846153846153849</v>
      </c>
      <c r="W32" s="15"/>
      <c r="X32" s="21">
        <f>+P32-T32</f>
        <v>-550.76</v>
      </c>
      <c r="Y32" s="15"/>
      <c r="Z32" s="22">
        <f>IF(T32=0,0,X32/T32)</f>
        <v>-4.1488512241054609</v>
      </c>
    </row>
    <row r="33" spans="1:26" x14ac:dyDescent="0.3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3">
      <c r="A34" s="52"/>
      <c r="B34" s="10" t="s">
        <v>128</v>
      </c>
      <c r="C34" s="10"/>
      <c r="D34" s="4">
        <v>8.3800000000000008</v>
      </c>
      <c r="E34" s="4"/>
      <c r="F34" s="12">
        <f>IF(D$12=0,0,D34/D$12)</f>
        <v>0</v>
      </c>
      <c r="G34" s="4"/>
      <c r="H34" s="4">
        <v>5</v>
      </c>
      <c r="I34" s="4"/>
      <c r="J34" s="12">
        <f>IF(H$12=0,0,H34/H$12)</f>
        <v>0.1</v>
      </c>
      <c r="K34" s="4"/>
      <c r="L34" s="4">
        <f>+D34-H34</f>
        <v>3.3800000000000008</v>
      </c>
      <c r="M34" s="4"/>
      <c r="N34" s="12">
        <f>IF(H34=0,0,L34/H34)</f>
        <v>0.67600000000000016</v>
      </c>
      <c r="O34" s="10"/>
      <c r="P34" s="4">
        <v>92.49</v>
      </c>
      <c r="Q34" s="4"/>
      <c r="R34" s="12">
        <f>IF(P$12=0,0,P34/P$12)</f>
        <v>0.13237062056331578</v>
      </c>
      <c r="S34" s="4"/>
      <c r="T34" s="4">
        <v>41</v>
      </c>
      <c r="U34" s="4"/>
      <c r="V34" s="12">
        <f>IF(T$12=0,0,T34/T$12)</f>
        <v>0.12615384615384614</v>
      </c>
      <c r="W34" s="4"/>
      <c r="X34" s="4">
        <f>+P34-T34</f>
        <v>51.489999999999995</v>
      </c>
      <c r="Y34" s="4"/>
      <c r="Z34" s="12">
        <f>IF(T34=0,0,X34/T34)</f>
        <v>1.2558536585365851</v>
      </c>
    </row>
    <row r="35" spans="1:26" x14ac:dyDescent="0.3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126</v>
      </c>
      <c r="C36" s="26"/>
      <c r="D36" s="32">
        <f>+D32-D34</f>
        <v>-767.26</v>
      </c>
      <c r="E36" s="13"/>
      <c r="F36" s="31">
        <f>IF(D$12=0,0,D36/D$12)</f>
        <v>0</v>
      </c>
      <c r="G36" s="13"/>
      <c r="H36" s="32">
        <f>+H32-H34</f>
        <v>15.5</v>
      </c>
      <c r="I36" s="13"/>
      <c r="J36" s="31">
        <f>IF(H$12=0,0,H36/H$12)</f>
        <v>0.31</v>
      </c>
      <c r="K36" s="15"/>
      <c r="L36" s="32">
        <f>D36-H36</f>
        <v>-782.76</v>
      </c>
      <c r="M36" s="15"/>
      <c r="N36" s="31">
        <f>IF(H36=0,0,L36/H36)</f>
        <v>-50.500645161290322</v>
      </c>
      <c r="O36" s="25"/>
      <c r="P36" s="32">
        <f>+P32-P34</f>
        <v>-510.5</v>
      </c>
      <c r="Q36" s="13"/>
      <c r="R36" s="31">
        <f>IF(P$12=0,0,P36/P$12)</f>
        <v>-0.73062170826654449</v>
      </c>
      <c r="S36" s="13"/>
      <c r="T36" s="32">
        <f>+T32-T34</f>
        <v>91.75</v>
      </c>
      <c r="U36" s="13"/>
      <c r="V36" s="31">
        <f>IF(T$12=0,0,T36/T$12)</f>
        <v>0.28230769230769232</v>
      </c>
      <c r="W36" s="15"/>
      <c r="X36" s="32">
        <f>P36-T36</f>
        <v>-602.25</v>
      </c>
      <c r="Y36" s="15"/>
      <c r="Z36" s="31">
        <f>IF(T36=0,0,X36/T36)</f>
        <v>-6.5640326975476837</v>
      </c>
    </row>
    <row r="37" spans="1:26" ht="15" thickTop="1" x14ac:dyDescent="0.3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3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" thickBot="1" x14ac:dyDescent="0.35">
      <c r="A39" s="10"/>
      <c r="B39" s="26" t="s">
        <v>294</v>
      </c>
      <c r="C39" s="26"/>
      <c r="D39" s="34">
        <f>SUM(D36:D38)</f>
        <v>-767.26</v>
      </c>
      <c r="E39" s="13"/>
      <c r="F39" s="35">
        <f>IF(D$12=0,0,D39/D$12)</f>
        <v>0</v>
      </c>
      <c r="G39" s="13"/>
      <c r="H39" s="34">
        <f>SUM(H36:H38)</f>
        <v>15.5</v>
      </c>
      <c r="I39" s="13"/>
      <c r="J39" s="35">
        <f>IF(H$12=0,0,H39/H$12)</f>
        <v>0.31</v>
      </c>
      <c r="K39" s="15"/>
      <c r="L39" s="34">
        <f>+D39-H39</f>
        <v>-782.76</v>
      </c>
      <c r="M39" s="15"/>
      <c r="N39" s="35">
        <f>IF(H39=0,0,L39/H39)</f>
        <v>-50.500645161290322</v>
      </c>
      <c r="O39" s="25"/>
      <c r="P39" s="34">
        <f>SUM(P36:P38)</f>
        <v>-510.5</v>
      </c>
      <c r="Q39" s="13"/>
      <c r="R39" s="35">
        <f>IF(P$12=0,0,P39/P$12)</f>
        <v>-0.73062170826654449</v>
      </c>
      <c r="S39" s="13"/>
      <c r="T39" s="34">
        <f>SUM(T36:T38)</f>
        <v>91.75</v>
      </c>
      <c r="U39" s="13"/>
      <c r="V39" s="35">
        <f>IF(T$12=0,0,T39/T$12)</f>
        <v>0.28230769230769232</v>
      </c>
      <c r="W39" s="15"/>
      <c r="X39" s="34">
        <f>+P39-T39</f>
        <v>-602.25</v>
      </c>
      <c r="Y39" s="15"/>
      <c r="Z39" s="35">
        <f>IF(T39=0,0,X39/T39)</f>
        <v>-6.5640326975476837</v>
      </c>
    </row>
    <row r="40" spans="1:26" ht="15" thickTop="1" x14ac:dyDescent="0.3">
      <c r="A40" s="9"/>
      <c r="C40" s="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A41" s="9"/>
      <c r="B41" s="53">
        <v>44604.019995405091</v>
      </c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3">
      <c r="A42" s="9"/>
      <c r="B42" s="63" t="s">
        <v>56</v>
      </c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  <row r="43" spans="1:26" x14ac:dyDescent="0.3">
      <c r="A43" s="9"/>
      <c r="B43" s="58"/>
      <c r="D43" s="17"/>
      <c r="E43" s="17"/>
      <c r="G43" s="17"/>
      <c r="H43" s="17"/>
      <c r="I43" s="17"/>
      <c r="J43" s="43"/>
      <c r="K43" s="17"/>
      <c r="L43" s="17"/>
      <c r="M43" s="17"/>
      <c r="P43" s="17"/>
      <c r="Q43" s="17"/>
      <c r="R43" s="43"/>
      <c r="S43" s="17"/>
      <c r="T43" s="17"/>
      <c r="U43" s="17"/>
      <c r="V43" s="43"/>
      <c r="W43" s="17"/>
      <c r="X43" s="17"/>
    </row>
    <row r="44" spans="1:26" x14ac:dyDescent="0.3">
      <c r="D44" s="17"/>
      <c r="E44" s="17"/>
      <c r="G44" s="17"/>
      <c r="H44" s="17"/>
      <c r="I44" s="17"/>
      <c r="J44" s="43"/>
      <c r="K44" s="17"/>
      <c r="L44" s="17"/>
      <c r="M44" s="17"/>
      <c r="P44" s="17"/>
      <c r="Q44" s="17"/>
      <c r="R44" s="43"/>
      <c r="S44" s="17"/>
      <c r="T44" s="17"/>
      <c r="U44" s="17"/>
      <c r="V44" s="43"/>
      <c r="W44" s="17"/>
      <c r="X44" s="17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C000"/>
    <outlinePr summaryBelow="0" summaryRight="0"/>
  </sheetPr>
  <dimension ref="A2:Z13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200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646859.62</v>
      </c>
      <c r="E12" s="4"/>
      <c r="F12" s="12"/>
      <c r="G12" s="4"/>
      <c r="H12" s="4">
        <f>SUM(OSRRefH13x_0)</f>
        <v>595049</v>
      </c>
      <c r="I12" s="4"/>
      <c r="J12" s="12"/>
      <c r="K12" s="4"/>
      <c r="L12" s="4">
        <f t="shared" ref="L12:L18" si="0">+D12-H12</f>
        <v>51810.619999999995</v>
      </c>
      <c r="M12" s="4"/>
      <c r="N12" s="12">
        <f t="shared" ref="N12:N18" si="1">IF(H12=0,0,L12/H12)</f>
        <v>8.706950183934431E-2</v>
      </c>
      <c r="O12" s="10"/>
      <c r="P12" s="4">
        <f>SUM(OSRRefP13x_0)</f>
        <v>7028717.5200000005</v>
      </c>
      <c r="Q12" s="4"/>
      <c r="R12" s="12"/>
      <c r="S12" s="4"/>
      <c r="T12" s="4">
        <f>SUM(OSRRefT13x_0)</f>
        <v>5610797</v>
      </c>
      <c r="U12" s="4"/>
      <c r="V12" s="12"/>
      <c r="W12" s="4"/>
      <c r="X12" s="4">
        <f t="shared" ref="X12:X18" si="2">+P12-T12</f>
        <v>1417920.5200000005</v>
      </c>
      <c r="Y12" s="4"/>
      <c r="Z12" s="12">
        <f t="shared" ref="Z12:Z18" si="3">IF(T12=0,0,X12/T12)</f>
        <v>0.25271285345023187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69166</v>
      </c>
      <c r="I13" s="2"/>
      <c r="J13" s="19"/>
      <c r="K13" s="2"/>
      <c r="L13" s="2">
        <f t="shared" si="0"/>
        <v>-69166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220875</v>
      </c>
      <c r="U13" s="2"/>
      <c r="V13" s="19"/>
      <c r="W13" s="2"/>
      <c r="X13" s="2">
        <f t="shared" si="2"/>
        <v>-220875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--2376.57</f>
        <v>2376.5700000000002</v>
      </c>
      <c r="E14" s="2"/>
      <c r="F14" s="19"/>
      <c r="G14" s="2"/>
      <c r="H14" s="2"/>
      <c r="I14" s="2"/>
      <c r="J14" s="19"/>
      <c r="K14" s="2"/>
      <c r="L14" s="2">
        <f t="shared" si="0"/>
        <v>2376.5700000000002</v>
      </c>
      <c r="M14" s="2"/>
      <c r="N14" s="19">
        <f t="shared" si="1"/>
        <v>0</v>
      </c>
      <c r="O14" s="11"/>
      <c r="P14" s="2">
        <f>--149359.36</f>
        <v>149359.35999999999</v>
      </c>
      <c r="Q14" s="2"/>
      <c r="R14" s="19"/>
      <c r="S14" s="2"/>
      <c r="T14" s="2"/>
      <c r="U14" s="2"/>
      <c r="V14" s="19"/>
      <c r="W14" s="2"/>
      <c r="X14" s="2">
        <f t="shared" si="2"/>
        <v>149359.35999999999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--1512.98</f>
        <v>1512.98</v>
      </c>
      <c r="E15" s="2"/>
      <c r="F15" s="19"/>
      <c r="G15" s="2"/>
      <c r="H15" s="2"/>
      <c r="I15" s="2"/>
      <c r="J15" s="19"/>
      <c r="K15" s="2"/>
      <c r="L15" s="2">
        <f t="shared" si="0"/>
        <v>1512.98</v>
      </c>
      <c r="M15" s="2"/>
      <c r="N15" s="19">
        <f t="shared" si="1"/>
        <v>0</v>
      </c>
      <c r="O15" s="11"/>
      <c r="P15" s="2">
        <f>--11476.43</f>
        <v>11476.43</v>
      </c>
      <c r="Q15" s="2"/>
      <c r="R15" s="19"/>
      <c r="S15" s="2"/>
      <c r="T15" s="2"/>
      <c r="U15" s="2"/>
      <c r="V15" s="19"/>
      <c r="W15" s="2"/>
      <c r="X15" s="2">
        <f t="shared" si="2"/>
        <v>11476.43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0</f>
        <v>0</v>
      </c>
      <c r="E16" s="2"/>
      <c r="F16" s="19"/>
      <c r="G16" s="2"/>
      <c r="H16" s="2">
        <v>525883</v>
      </c>
      <c r="I16" s="2"/>
      <c r="J16" s="19"/>
      <c r="K16" s="2"/>
      <c r="L16" s="2">
        <f t="shared" si="0"/>
        <v>-525883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v>5389922</v>
      </c>
      <c r="U16" s="2"/>
      <c r="V16" s="19"/>
      <c r="W16" s="2"/>
      <c r="X16" s="2">
        <f t="shared" si="2"/>
        <v>-5389922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"4151", " - ", "NON-TAXABLE SALES-FOOD")</f>
        <v xml:space="preserve">          4151 - NON-TAXABLE SALES-FOOD</v>
      </c>
      <c r="C17" s="11"/>
      <c r="D17" s="2">
        <f>--637954.74</f>
        <v>637954.74</v>
      </c>
      <c r="E17" s="2"/>
      <c r="F17" s="19"/>
      <c r="G17" s="2"/>
      <c r="H17" s="2"/>
      <c r="I17" s="2"/>
      <c r="J17" s="19"/>
      <c r="K17" s="2"/>
      <c r="L17" s="2">
        <f t="shared" si="0"/>
        <v>637954.74</v>
      </c>
      <c r="M17" s="2"/>
      <c r="N17" s="19">
        <f t="shared" si="1"/>
        <v>0</v>
      </c>
      <c r="O17" s="11"/>
      <c r="P17" s="2">
        <f>--6806400.41</f>
        <v>6806400.4100000001</v>
      </c>
      <c r="Q17" s="2"/>
      <c r="R17" s="19"/>
      <c r="S17" s="2"/>
      <c r="T17" s="2"/>
      <c r="U17" s="2"/>
      <c r="V17" s="19"/>
      <c r="W17" s="2"/>
      <c r="X17" s="2">
        <f t="shared" si="2"/>
        <v>6806400.4100000001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"4153", " - ", "NON-TAXABLE SALES-FOOD")</f>
        <v xml:space="preserve">          4153 - NON-TAXABLE SALES-FOOD</v>
      </c>
      <c r="C18" s="11"/>
      <c r="D18" s="2">
        <f>--5015.33</f>
        <v>5015.33</v>
      </c>
      <c r="E18" s="2"/>
      <c r="F18" s="19"/>
      <c r="G18" s="2"/>
      <c r="H18" s="2"/>
      <c r="I18" s="2"/>
      <c r="J18" s="19"/>
      <c r="K18" s="2"/>
      <c r="L18" s="2">
        <f t="shared" si="0"/>
        <v>5015.33</v>
      </c>
      <c r="M18" s="2"/>
      <c r="N18" s="19">
        <f t="shared" si="1"/>
        <v>0</v>
      </c>
      <c r="O18" s="11"/>
      <c r="P18" s="2">
        <f>--61481.32</f>
        <v>61481.32</v>
      </c>
      <c r="Q18" s="2"/>
      <c r="R18" s="19"/>
      <c r="S18" s="2"/>
      <c r="T18" s="2"/>
      <c r="U18" s="2"/>
      <c r="V18" s="19"/>
      <c r="W18" s="2"/>
      <c r="X18" s="2">
        <f t="shared" si="2"/>
        <v>61481.32</v>
      </c>
      <c r="Y18" s="2"/>
      <c r="Z18" s="19">
        <f t="shared" si="3"/>
        <v>0</v>
      </c>
    </row>
    <row r="19" spans="1:26" x14ac:dyDescent="0.3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3">
      <c r="A20" s="10"/>
      <c r="B20" s="25" t="s">
        <v>257</v>
      </c>
      <c r="C20" s="10"/>
      <c r="D20" s="4">
        <f>SUM(OSRRefD16x_0)</f>
        <v>107409.64000000001</v>
      </c>
      <c r="E20" s="4"/>
      <c r="F20" s="12">
        <f t="shared" ref="F20:F23" si="4">IF(D$12=0,0,D20/D$12)</f>
        <v>0.1660478358503813</v>
      </c>
      <c r="G20" s="4"/>
      <c r="H20" s="4">
        <f>SUM(OSRRefH16x_0)</f>
        <v>182501</v>
      </c>
      <c r="I20" s="4"/>
      <c r="J20" s="12">
        <f t="shared" ref="J20:J23" si="5">IF(H$12=0,0,H20/H$12)</f>
        <v>0.3066991121739554</v>
      </c>
      <c r="K20" s="4"/>
      <c r="L20" s="4">
        <f t="shared" ref="L20:L23" si="6">+D20-H20</f>
        <v>-75091.359999999986</v>
      </c>
      <c r="M20" s="4"/>
      <c r="N20" s="12">
        <f t="shared" ref="N20:N23" si="7">IF(H20=0,0,L20/H20)</f>
        <v>-0.41145725228902846</v>
      </c>
      <c r="O20" s="10"/>
      <c r="P20" s="4">
        <f>SUM(OSRRefP16x_0)</f>
        <v>1845197</v>
      </c>
      <c r="Q20" s="4"/>
      <c r="R20" s="12">
        <f t="shared" ref="R20:R23" si="8">IF(P$12=0,0,P20/P$12)</f>
        <v>0.26252257182758426</v>
      </c>
      <c r="S20" s="4"/>
      <c r="T20" s="4">
        <f>SUM(OSRRefT16x_0)</f>
        <v>1642167</v>
      </c>
      <c r="U20" s="4"/>
      <c r="V20" s="12">
        <f t="shared" ref="V20:V23" si="9">IF(T$12=0,0,T20/T$12)</f>
        <v>0.29267981001629539</v>
      </c>
      <c r="W20" s="4"/>
      <c r="X20" s="4">
        <f t="shared" ref="X20:X23" si="10">+P20-T20</f>
        <v>203030</v>
      </c>
      <c r="Y20" s="4"/>
      <c r="Z20" s="12">
        <f t="shared" ref="Z20:Z23" si="11">IF(T20=0,0,X20/T20)</f>
        <v>0.12363541588644761</v>
      </c>
    </row>
    <row r="21" spans="1:26" s="24" customFormat="1" hidden="1" outlineLevel="1" x14ac:dyDescent="0.3">
      <c r="A21" s="44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19">
        <f t="shared" si="4"/>
        <v>0</v>
      </c>
      <c r="G21" s="2"/>
      <c r="H21" s="2">
        <v>182501</v>
      </c>
      <c r="I21" s="2"/>
      <c r="J21" s="19">
        <f t="shared" si="5"/>
        <v>0.3066991121739554</v>
      </c>
      <c r="K21" s="2"/>
      <c r="L21" s="2">
        <f t="shared" si="6"/>
        <v>-182501</v>
      </c>
      <c r="M21" s="2"/>
      <c r="N21" s="19">
        <f t="shared" si="7"/>
        <v>-1</v>
      </c>
      <c r="O21" s="11"/>
      <c r="P21" s="2"/>
      <c r="Q21" s="2"/>
      <c r="R21" s="19">
        <f t="shared" si="8"/>
        <v>0</v>
      </c>
      <c r="S21" s="2"/>
      <c r="T21" s="2">
        <v>1642167</v>
      </c>
      <c r="U21" s="2"/>
      <c r="V21" s="19">
        <f t="shared" si="9"/>
        <v>0.29267981001629539</v>
      </c>
      <c r="W21" s="2"/>
      <c r="X21" s="2">
        <f t="shared" si="10"/>
        <v>-1642167</v>
      </c>
      <c r="Y21" s="2"/>
      <c r="Z21" s="19">
        <f t="shared" si="11"/>
        <v>-1</v>
      </c>
    </row>
    <row r="22" spans="1:26" s="24" customFormat="1" hidden="1" outlineLevel="1" x14ac:dyDescent="0.3">
      <c r="A22" s="44"/>
      <c r="B22" s="11" t="str">
        <f>CONCATENATE("          ", "5053", " - ", "PURCHASES @ COST-FOOD")</f>
        <v xml:space="preserve">          5053 - PURCHASES @ COST-FOOD</v>
      </c>
      <c r="C22" s="11"/>
      <c r="D22" s="2">
        <v>143478.16</v>
      </c>
      <c r="E22" s="2"/>
      <c r="F22" s="19">
        <f t="shared" si="4"/>
        <v>0.22180726012855773</v>
      </c>
      <c r="G22" s="2"/>
      <c r="H22" s="2"/>
      <c r="I22" s="2"/>
      <c r="J22" s="19">
        <f t="shared" si="5"/>
        <v>0</v>
      </c>
      <c r="K22" s="2"/>
      <c r="L22" s="2">
        <f t="shared" si="6"/>
        <v>143478.16</v>
      </c>
      <c r="M22" s="2"/>
      <c r="N22" s="19">
        <f t="shared" si="7"/>
        <v>0</v>
      </c>
      <c r="O22" s="11"/>
      <c r="P22" s="2">
        <v>1871902.85</v>
      </c>
      <c r="Q22" s="2"/>
      <c r="R22" s="19">
        <f t="shared" si="8"/>
        <v>0.2663221056577616</v>
      </c>
      <c r="S22" s="2"/>
      <c r="T22" s="2"/>
      <c r="U22" s="2"/>
      <c r="V22" s="19">
        <f t="shared" si="9"/>
        <v>0</v>
      </c>
      <c r="W22" s="2"/>
      <c r="X22" s="2">
        <f t="shared" si="10"/>
        <v>1871902.85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"5059", " - ", "PURCHASES @ COST-FOOD")</f>
        <v xml:space="preserve">          5059 - PURCHASES @ COST-FOOD</v>
      </c>
      <c r="C23" s="11"/>
      <c r="D23" s="2">
        <v>-36068.519999999997</v>
      </c>
      <c r="E23" s="2"/>
      <c r="F23" s="19">
        <f t="shared" si="4"/>
        <v>-5.5759424278176456E-2</v>
      </c>
      <c r="G23" s="2"/>
      <c r="H23" s="2"/>
      <c r="I23" s="2"/>
      <c r="J23" s="19">
        <f t="shared" si="5"/>
        <v>0</v>
      </c>
      <c r="K23" s="2"/>
      <c r="L23" s="2">
        <f t="shared" si="6"/>
        <v>-36068.519999999997</v>
      </c>
      <c r="M23" s="2"/>
      <c r="N23" s="19">
        <f t="shared" si="7"/>
        <v>0</v>
      </c>
      <c r="O23" s="11"/>
      <c r="P23" s="2">
        <v>-26705.85</v>
      </c>
      <c r="Q23" s="2"/>
      <c r="R23" s="19">
        <f t="shared" si="8"/>
        <v>-3.7995338301773148E-3</v>
      </c>
      <c r="S23" s="2"/>
      <c r="T23" s="2"/>
      <c r="U23" s="2"/>
      <c r="V23" s="19">
        <f t="shared" si="9"/>
        <v>0</v>
      </c>
      <c r="W23" s="2"/>
      <c r="X23" s="2">
        <f t="shared" si="10"/>
        <v>-26705.85</v>
      </c>
      <c r="Y23" s="2"/>
      <c r="Z23" s="19">
        <f t="shared" si="11"/>
        <v>0</v>
      </c>
    </row>
    <row r="24" spans="1:26" x14ac:dyDescent="0.3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3">
      <c r="A25" s="10"/>
      <c r="B25" s="26" t="s">
        <v>108</v>
      </c>
      <c r="C25" s="26"/>
      <c r="D25" s="21">
        <f>D12-D20</f>
        <v>539449.98</v>
      </c>
      <c r="E25" s="13"/>
      <c r="F25" s="22">
        <f>IF(D$12=0,0,D25/D$12)</f>
        <v>0.8339521641496187</v>
      </c>
      <c r="G25" s="13"/>
      <c r="H25" s="21">
        <f>H12-H20</f>
        <v>412548</v>
      </c>
      <c r="I25" s="13"/>
      <c r="J25" s="22">
        <f>IF(H$12=0,0,H25/H$12)</f>
        <v>0.6933008878260446</v>
      </c>
      <c r="K25" s="15"/>
      <c r="L25" s="21">
        <f>+D25-H25</f>
        <v>126901.97999999998</v>
      </c>
      <c r="M25" s="15"/>
      <c r="N25" s="22">
        <f>IF(H25=0,0,L25/H25)</f>
        <v>0.30760536955699697</v>
      </c>
      <c r="O25" s="25"/>
      <c r="P25" s="21">
        <f>P12-P20</f>
        <v>5183520.5200000005</v>
      </c>
      <c r="Q25" s="13"/>
      <c r="R25" s="22">
        <f>IF(P$12=0,0,P25/P$12)</f>
        <v>0.73747742817241579</v>
      </c>
      <c r="S25" s="13"/>
      <c r="T25" s="21">
        <f>T12-T20</f>
        <v>3968630</v>
      </c>
      <c r="U25" s="13"/>
      <c r="V25" s="22">
        <f>IF(T$12=0,0,T25/T$12)</f>
        <v>0.70732018998370461</v>
      </c>
      <c r="W25" s="15"/>
      <c r="X25" s="21">
        <f>+P25-T25</f>
        <v>1214890.5200000005</v>
      </c>
      <c r="Y25" s="15"/>
      <c r="Z25" s="22">
        <f>IF(T25=0,0,X25/T25)</f>
        <v>0.30612340278635208</v>
      </c>
    </row>
    <row r="26" spans="1:26" x14ac:dyDescent="0.3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3">
      <c r="A27" s="10"/>
      <c r="B27" s="25" t="s">
        <v>295</v>
      </c>
      <c r="C27" s="10"/>
      <c r="D27" s="20">
        <f>SUM(OSRRefD22x_0)</f>
        <v>521590.43000000017</v>
      </c>
      <c r="E27" s="20"/>
      <c r="F27" s="33">
        <f t="shared" ref="F27:F38" si="12">IF(D$12=0,0,D27/D$12)</f>
        <v>0.80634254152392471</v>
      </c>
      <c r="G27" s="20"/>
      <c r="H27" s="20">
        <f>SUM(OSRRefH22x_0)</f>
        <v>709754.28774074814</v>
      </c>
      <c r="I27" s="20"/>
      <c r="J27" s="33">
        <f t="shared" ref="J27:J38" si="13">IF(H$12=0,0,H27/H$12)</f>
        <v>1.192766121345886</v>
      </c>
      <c r="K27" s="4"/>
      <c r="L27" s="20">
        <f t="shared" ref="L27:L38" si="14">+D27-H27</f>
        <v>-188163.85774074798</v>
      </c>
      <c r="M27" s="4"/>
      <c r="N27" s="33">
        <f t="shared" ref="N27:N38" si="15">IF(H27=0,0,L27/H27)</f>
        <v>-0.26511126595613971</v>
      </c>
      <c r="O27" s="10"/>
      <c r="P27" s="20">
        <f>SUM(OSRRefP22x_0)</f>
        <v>4294975.88</v>
      </c>
      <c r="Q27" s="20"/>
      <c r="R27" s="33">
        <f t="shared" ref="R27:R38" si="16">IF(P$12=0,0,P27/P$12)</f>
        <v>0.6110611029364571</v>
      </c>
      <c r="S27" s="20"/>
      <c r="T27" s="20">
        <f>SUM(OSRRefT22x_0)</f>
        <v>4723495.8309952673</v>
      </c>
      <c r="U27" s="20"/>
      <c r="V27" s="33">
        <f t="shared" ref="V27:V38" si="17">IF(T$12=0,0,T27/T$12)</f>
        <v>0.84185826558958865</v>
      </c>
      <c r="W27" s="4"/>
      <c r="X27" s="20">
        <f t="shared" ref="X27:X38" si="18">+P27-T27</f>
        <v>-428519.95099526737</v>
      </c>
      <c r="Y27" s="4"/>
      <c r="Z27" s="33">
        <f t="shared" ref="Z27:Z38" si="19">IF(T27=0,0,X27/T27)</f>
        <v>-9.0720933462743375E-2</v>
      </c>
    </row>
    <row r="28" spans="1:26" s="28" customFormat="1" outlineLevel="1" collapsed="1" x14ac:dyDescent="0.3">
      <c r="A28" s="29"/>
      <c r="B28" s="14" t="str">
        <f>CONCATENATE("     ","*Benefits                                         ")</f>
        <v xml:space="preserve">     *Benefits                                         </v>
      </c>
      <c r="C28" s="14"/>
      <c r="D28" s="1">
        <f>SUM(OSRRefD22_0x_0)</f>
        <v>127417.18000000001</v>
      </c>
      <c r="E28" s="1"/>
      <c r="F28" s="5">
        <f t="shared" si="12"/>
        <v>0.19697810167838273</v>
      </c>
      <c r="G28" s="1"/>
      <c r="H28" s="1">
        <f>SUM(OSRRefH22_0x_0)</f>
        <v>156487.10588344061</v>
      </c>
      <c r="I28" s="1"/>
      <c r="J28" s="5">
        <f t="shared" si="13"/>
        <v>0.26298188196844396</v>
      </c>
      <c r="K28" s="1"/>
      <c r="L28" s="1">
        <f t="shared" si="14"/>
        <v>-29069.925883440606</v>
      </c>
      <c r="M28" s="1"/>
      <c r="N28" s="5">
        <f t="shared" si="15"/>
        <v>-0.18576563046091052</v>
      </c>
      <c r="O28" s="14"/>
      <c r="P28" s="1">
        <f>SUM(OSRRefP22_0x_0)</f>
        <v>816286.07</v>
      </c>
      <c r="Q28" s="1"/>
      <c r="R28" s="5">
        <f t="shared" si="16"/>
        <v>0.11613584806577913</v>
      </c>
      <c r="S28" s="1"/>
      <c r="T28" s="1">
        <f>SUM(OSRRefT22_0x_0)</f>
        <v>993438.91692795977</v>
      </c>
      <c r="U28" s="1"/>
      <c r="V28" s="5">
        <f t="shared" si="17"/>
        <v>0.17705843161461016</v>
      </c>
      <c r="W28" s="1"/>
      <c r="X28" s="1">
        <f t="shared" si="18"/>
        <v>-177152.84692795982</v>
      </c>
      <c r="Y28" s="1"/>
      <c r="Z28" s="5">
        <f t="shared" si="19"/>
        <v>-0.17832283788093861</v>
      </c>
    </row>
    <row r="29" spans="1:26" s="24" customFormat="1" hidden="1" outlineLevel="2" x14ac:dyDescent="0.3">
      <c r="A29" s="27"/>
      <c r="B29" s="11" t="str">
        <f>CONCATENATE("          ", "6111", " - ", "F.I.C.A.")</f>
        <v xml:space="preserve">          6111 - F.I.C.A.</v>
      </c>
      <c r="C29" s="11"/>
      <c r="D29" s="7">
        <v>12695.37</v>
      </c>
      <c r="E29" s="2"/>
      <c r="F29" s="6">
        <f t="shared" si="12"/>
        <v>1.9626159382154663E-2</v>
      </c>
      <c r="G29" s="2"/>
      <c r="H29" s="7">
        <v>18831.8723673637</v>
      </c>
      <c r="I29" s="2"/>
      <c r="J29" s="6">
        <f t="shared" si="13"/>
        <v>3.1647599386544135E-2</v>
      </c>
      <c r="K29" s="2"/>
      <c r="L29" s="7">
        <f t="shared" si="14"/>
        <v>-6136.5023673636988</v>
      </c>
      <c r="M29" s="2"/>
      <c r="N29" s="6">
        <f t="shared" si="15"/>
        <v>-0.32585726196819781</v>
      </c>
      <c r="O29" s="11"/>
      <c r="P29" s="7">
        <v>111878.04</v>
      </c>
      <c r="Q29" s="2"/>
      <c r="R29" s="6">
        <f t="shared" si="16"/>
        <v>1.5917276470658333E-2</v>
      </c>
      <c r="S29" s="2"/>
      <c r="T29" s="7">
        <v>116904.819165268</v>
      </c>
      <c r="U29" s="2"/>
      <c r="V29" s="6">
        <f t="shared" si="17"/>
        <v>2.0835688613447964E-2</v>
      </c>
      <c r="W29" s="2"/>
      <c r="X29" s="7">
        <f t="shared" si="18"/>
        <v>-5026.7791652680025</v>
      </c>
      <c r="Y29" s="2"/>
      <c r="Z29" s="6">
        <f t="shared" si="19"/>
        <v>-4.2998904588883197E-2</v>
      </c>
    </row>
    <row r="30" spans="1:26" s="24" customFormat="1" hidden="1" outlineLevel="2" x14ac:dyDescent="0.3">
      <c r="A30" s="27"/>
      <c r="B30" s="11" t="str">
        <f>CONCATENATE("          ", "6112", " - ", "COMPENSATION INSURANCE")</f>
        <v xml:space="preserve">          6112 - COMPENSATION INSURANCE</v>
      </c>
      <c r="C30" s="11"/>
      <c r="D30" s="7">
        <v>6049.65</v>
      </c>
      <c r="E30" s="2"/>
      <c r="F30" s="6">
        <f t="shared" si="12"/>
        <v>9.3523383017786767E-3</v>
      </c>
      <c r="G30" s="2"/>
      <c r="H30" s="7">
        <v>13818.7420245415</v>
      </c>
      <c r="I30" s="2"/>
      <c r="J30" s="6">
        <f t="shared" si="13"/>
        <v>2.3222864040678162E-2</v>
      </c>
      <c r="K30" s="2"/>
      <c r="L30" s="7">
        <f t="shared" si="14"/>
        <v>-7769.0920245415</v>
      </c>
      <c r="M30" s="2"/>
      <c r="N30" s="6">
        <f t="shared" si="15"/>
        <v>-0.56221412996522568</v>
      </c>
      <c r="O30" s="11"/>
      <c r="P30" s="7">
        <v>63011</v>
      </c>
      <c r="Q30" s="2"/>
      <c r="R30" s="6">
        <f t="shared" si="16"/>
        <v>8.9647933382874089E-3</v>
      </c>
      <c r="S30" s="2"/>
      <c r="T30" s="7">
        <v>88642.580407261601</v>
      </c>
      <c r="U30" s="2"/>
      <c r="V30" s="6">
        <f t="shared" si="17"/>
        <v>1.5798572004522993E-2</v>
      </c>
      <c r="W30" s="2"/>
      <c r="X30" s="7">
        <f t="shared" si="18"/>
        <v>-25631.580407261601</v>
      </c>
      <c r="Y30" s="2"/>
      <c r="Z30" s="6">
        <f t="shared" si="19"/>
        <v>-0.28915652375527939</v>
      </c>
    </row>
    <row r="31" spans="1:26" s="24" customFormat="1" hidden="1" outlineLevel="2" x14ac:dyDescent="0.3">
      <c r="A31" s="27"/>
      <c r="B31" s="11" t="str">
        <f>CONCATENATE("          ", "6113", " - ", "GROUP INSURANCE")</f>
        <v xml:space="preserve">          6113 - GROUP INSURANCE</v>
      </c>
      <c r="C31" s="11"/>
      <c r="D31" s="7">
        <v>53812.43</v>
      </c>
      <c r="E31" s="2"/>
      <c r="F31" s="6">
        <f t="shared" si="12"/>
        <v>8.3190275503671113E-2</v>
      </c>
      <c r="G31" s="2"/>
      <c r="H31" s="7">
        <v>87938.323076923101</v>
      </c>
      <c r="I31" s="2"/>
      <c r="J31" s="6">
        <f t="shared" si="13"/>
        <v>0.14778333057768872</v>
      </c>
      <c r="K31" s="2"/>
      <c r="L31" s="7">
        <f t="shared" si="14"/>
        <v>-34125.893076923101</v>
      </c>
      <c r="M31" s="2"/>
      <c r="N31" s="6">
        <f t="shared" si="15"/>
        <v>-0.38806622508677863</v>
      </c>
      <c r="O31" s="11"/>
      <c r="P31" s="7">
        <v>387756.86</v>
      </c>
      <c r="Q31" s="2"/>
      <c r="R31" s="6">
        <f t="shared" si="16"/>
        <v>5.5167512266163739E-2</v>
      </c>
      <c r="S31" s="2"/>
      <c r="T31" s="7">
        <v>561843.48846153799</v>
      </c>
      <c r="U31" s="2"/>
      <c r="V31" s="6">
        <f t="shared" si="17"/>
        <v>0.10013612833640889</v>
      </c>
      <c r="W31" s="2"/>
      <c r="X31" s="7">
        <f t="shared" si="18"/>
        <v>-174086.628461538</v>
      </c>
      <c r="Y31" s="2"/>
      <c r="Z31" s="6">
        <f t="shared" si="19"/>
        <v>-0.30984897402340439</v>
      </c>
    </row>
    <row r="32" spans="1:26" s="24" customFormat="1" hidden="1" outlineLevel="2" x14ac:dyDescent="0.3">
      <c r="A32" s="27"/>
      <c r="B32" s="11" t="str">
        <f>CONCATENATE("          ", "6114", " - ", "STATE UNEMPLOYMENT INSURANCE")</f>
        <v xml:space="preserve">          6114 - STATE UNEMPLOYMENT INSURANCE</v>
      </c>
      <c r="C32" s="11"/>
      <c r="D32" s="7">
        <v>467.03</v>
      </c>
      <c r="E32" s="2"/>
      <c r="F32" s="6">
        <f t="shared" si="12"/>
        <v>7.2199591002449642E-4</v>
      </c>
      <c r="G32" s="2"/>
      <c r="H32" s="7">
        <v>765.68227576615402</v>
      </c>
      <c r="I32" s="2"/>
      <c r="J32" s="6">
        <f t="shared" si="13"/>
        <v>1.2867549996154167E-3</v>
      </c>
      <c r="K32" s="2"/>
      <c r="L32" s="7">
        <f t="shared" si="14"/>
        <v>-298.65227576615405</v>
      </c>
      <c r="M32" s="2"/>
      <c r="N32" s="6">
        <f t="shared" si="15"/>
        <v>-0.39004726270739098</v>
      </c>
      <c r="O32" s="11"/>
      <c r="P32" s="7">
        <v>4772.5200000000004</v>
      </c>
      <c r="Q32" s="2"/>
      <c r="R32" s="6">
        <f t="shared" si="16"/>
        <v>6.7900295984579557E-4</v>
      </c>
      <c r="S32" s="2"/>
      <c r="T32" s="7">
        <v>4911.59416504616</v>
      </c>
      <c r="U32" s="2"/>
      <c r="V32" s="6">
        <f t="shared" si="17"/>
        <v>8.753826176648629E-4</v>
      </c>
      <c r="W32" s="2"/>
      <c r="X32" s="7">
        <f t="shared" si="18"/>
        <v>-139.07416504615958</v>
      </c>
      <c r="Y32" s="2"/>
      <c r="Z32" s="6">
        <f t="shared" si="19"/>
        <v>-2.8315483806845131E-2</v>
      </c>
    </row>
    <row r="33" spans="1:26" s="24" customFormat="1" hidden="1" outlineLevel="2" x14ac:dyDescent="0.3">
      <c r="A33" s="27"/>
      <c r="B33" s="11" t="str">
        <f>CONCATENATE("          ", "6115", " - ", "P.E.R.S.")</f>
        <v xml:space="preserve">          6115 - P.E.R.S.</v>
      </c>
      <c r="C33" s="11"/>
      <c r="D33" s="7">
        <v>7282.68</v>
      </c>
      <c r="E33" s="2"/>
      <c r="F33" s="6">
        <f t="shared" si="12"/>
        <v>1.1258516956121021E-2</v>
      </c>
      <c r="G33" s="2"/>
      <c r="H33" s="7">
        <v>8320.4133384615507</v>
      </c>
      <c r="I33" s="2"/>
      <c r="J33" s="6">
        <f t="shared" si="13"/>
        <v>1.398273644432904E-2</v>
      </c>
      <c r="K33" s="2"/>
      <c r="L33" s="7">
        <f t="shared" si="14"/>
        <v>-1037.7333384615504</v>
      </c>
      <c r="M33" s="2"/>
      <c r="N33" s="6">
        <f t="shared" si="15"/>
        <v>-0.12472136854843174</v>
      </c>
      <c r="O33" s="11"/>
      <c r="P33" s="7">
        <v>53711.94</v>
      </c>
      <c r="Q33" s="2"/>
      <c r="R33" s="6">
        <f t="shared" si="16"/>
        <v>7.6417838456538222E-3</v>
      </c>
      <c r="S33" s="2"/>
      <c r="T33" s="7">
        <v>48495.5498384616</v>
      </c>
      <c r="U33" s="2"/>
      <c r="V33" s="6">
        <f t="shared" si="17"/>
        <v>8.6432551094722549E-3</v>
      </c>
      <c r="W33" s="2"/>
      <c r="X33" s="7">
        <f t="shared" si="18"/>
        <v>5216.390161538402</v>
      </c>
      <c r="Y33" s="2"/>
      <c r="Z33" s="6">
        <f t="shared" si="19"/>
        <v>0.10756430598094398</v>
      </c>
    </row>
    <row r="34" spans="1:26" s="24" customFormat="1" hidden="1" outlineLevel="2" x14ac:dyDescent="0.3">
      <c r="A34" s="27"/>
      <c r="B34" s="11" t="str">
        <f>CONCATENATE("          ", "6116", " - ", "EDUCATIONAL BENEFITS")</f>
        <v xml:space="preserve">          6116 - EDUCATIONAL BENEFITS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3">
      <c r="A35" s="27"/>
      <c r="B35" s="11" t="str">
        <f>CONCATENATE("          ", "6117", " - ", "RETIREMENT STAFF HOURLY")</f>
        <v xml:space="preserve">          6117 - RETIREMENT STAFF HOURLY</v>
      </c>
      <c r="C35" s="11"/>
      <c r="D35" s="7">
        <v>2041.18</v>
      </c>
      <c r="E35" s="2"/>
      <c r="F35" s="6">
        <f t="shared" si="12"/>
        <v>3.1555223682071857E-3</v>
      </c>
      <c r="G35" s="2"/>
      <c r="H35" s="7"/>
      <c r="I35" s="2"/>
      <c r="J35" s="6">
        <f t="shared" si="13"/>
        <v>0</v>
      </c>
      <c r="K35" s="2"/>
      <c r="L35" s="7">
        <f t="shared" si="14"/>
        <v>2041.18</v>
      </c>
      <c r="M35" s="2"/>
      <c r="N35" s="6">
        <f t="shared" si="15"/>
        <v>0</v>
      </c>
      <c r="O35" s="11"/>
      <c r="P35" s="7">
        <v>11985.41</v>
      </c>
      <c r="Q35" s="2"/>
      <c r="R35" s="6">
        <f t="shared" si="16"/>
        <v>1.7052058168358427E-3</v>
      </c>
      <c r="S35" s="2"/>
      <c r="T35" s="7"/>
      <c r="U35" s="2"/>
      <c r="V35" s="6">
        <f t="shared" si="17"/>
        <v>0</v>
      </c>
      <c r="W35" s="2"/>
      <c r="X35" s="7">
        <f t="shared" si="18"/>
        <v>11985.41</v>
      </c>
      <c r="Y35" s="2"/>
      <c r="Z35" s="6">
        <f t="shared" si="19"/>
        <v>0</v>
      </c>
    </row>
    <row r="36" spans="1:26" s="24" customFormat="1" hidden="1" outlineLevel="2" x14ac:dyDescent="0.3">
      <c r="A36" s="27"/>
      <c r="B36" s="11" t="str">
        <f>CONCATENATE("          ", "6118", " - ", "VACATION")</f>
        <v xml:space="preserve">          6118 - VACATION</v>
      </c>
      <c r="C36" s="11"/>
      <c r="D36" s="7">
        <v>18800.02</v>
      </c>
      <c r="E36" s="2"/>
      <c r="F36" s="6">
        <f t="shared" si="12"/>
        <v>2.9063523860091933E-2</v>
      </c>
      <c r="G36" s="2"/>
      <c r="H36" s="7">
        <v>10048.1787636923</v>
      </c>
      <c r="I36" s="2"/>
      <c r="J36" s="6">
        <f t="shared" si="13"/>
        <v>1.6886304764300586E-2</v>
      </c>
      <c r="K36" s="2"/>
      <c r="L36" s="7">
        <f t="shared" si="14"/>
        <v>8751.8412363077005</v>
      </c>
      <c r="M36" s="2"/>
      <c r="N36" s="6">
        <f t="shared" si="15"/>
        <v>0.87098781203328757</v>
      </c>
      <c r="O36" s="11"/>
      <c r="P36" s="7">
        <v>82634.92</v>
      </c>
      <c r="Q36" s="2"/>
      <c r="R36" s="6">
        <f t="shared" si="16"/>
        <v>1.1756756444524178E-2</v>
      </c>
      <c r="S36" s="2"/>
      <c r="T36" s="7">
        <v>61537.0386876923</v>
      </c>
      <c r="U36" s="2"/>
      <c r="V36" s="6">
        <f t="shared" si="17"/>
        <v>1.0967610962879659E-2</v>
      </c>
      <c r="W36" s="2"/>
      <c r="X36" s="7">
        <f t="shared" si="18"/>
        <v>21097.881312307698</v>
      </c>
      <c r="Y36" s="2"/>
      <c r="Z36" s="6">
        <f t="shared" si="19"/>
        <v>0.34284849843655824</v>
      </c>
    </row>
    <row r="37" spans="1:26" s="24" customFormat="1" hidden="1" outlineLevel="2" x14ac:dyDescent="0.3">
      <c r="A37" s="27"/>
      <c r="B37" s="11" t="str">
        <f>CONCATENATE("          ", "6119", " - ", "SICK LEAVE")</f>
        <v xml:space="preserve">          6119 - SICK LEAVE</v>
      </c>
      <c r="C37" s="11"/>
      <c r="D37" s="7">
        <v>22508.61</v>
      </c>
      <c r="E37" s="2"/>
      <c r="F37" s="6">
        <f t="shared" si="12"/>
        <v>3.4796746162637268E-2</v>
      </c>
      <c r="G37" s="2"/>
      <c r="H37" s="7">
        <v>10418.8940366923</v>
      </c>
      <c r="I37" s="2"/>
      <c r="J37" s="6">
        <f t="shared" si="13"/>
        <v>1.7509304337444982E-2</v>
      </c>
      <c r="K37" s="2"/>
      <c r="L37" s="7">
        <f t="shared" si="14"/>
        <v>12089.715963307701</v>
      </c>
      <c r="M37" s="2"/>
      <c r="N37" s="6">
        <f t="shared" si="15"/>
        <v>1.1603646145868509</v>
      </c>
      <c r="O37" s="11"/>
      <c r="P37" s="7">
        <v>67604.83</v>
      </c>
      <c r="Q37" s="2"/>
      <c r="R37" s="6">
        <f t="shared" si="16"/>
        <v>9.6183734525726108E-3</v>
      </c>
      <c r="S37" s="2"/>
      <c r="T37" s="7">
        <v>67360.846202692293</v>
      </c>
      <c r="U37" s="2"/>
      <c r="V37" s="6">
        <f t="shared" si="17"/>
        <v>1.2005575358134022E-2</v>
      </c>
      <c r="W37" s="2"/>
      <c r="X37" s="7">
        <f t="shared" si="18"/>
        <v>243.9837973077083</v>
      </c>
      <c r="Y37" s="2"/>
      <c r="Z37" s="6">
        <f t="shared" si="19"/>
        <v>3.6220417506862717E-3</v>
      </c>
    </row>
    <row r="38" spans="1:26" s="24" customFormat="1" hidden="1" outlineLevel="2" x14ac:dyDescent="0.3">
      <c r="A38" s="27"/>
      <c r="B38" s="11" t="str">
        <f>CONCATENATE("          ", "6156", " - ", "EMPLOYEE MEALS")</f>
        <v xml:space="preserve">          6156 - EMPLOYEE MEALS</v>
      </c>
      <c r="C38" s="11"/>
      <c r="D38" s="7">
        <v>3760.21</v>
      </c>
      <c r="E38" s="2"/>
      <c r="F38" s="6">
        <f t="shared" si="12"/>
        <v>5.8130232336963622E-3</v>
      </c>
      <c r="G38" s="2"/>
      <c r="H38" s="7">
        <v>6345</v>
      </c>
      <c r="I38" s="2"/>
      <c r="J38" s="6">
        <f t="shared" si="13"/>
        <v>1.06629874178429E-2</v>
      </c>
      <c r="K38" s="2"/>
      <c r="L38" s="7">
        <f t="shared" si="14"/>
        <v>-2584.79</v>
      </c>
      <c r="M38" s="2"/>
      <c r="N38" s="6">
        <f t="shared" si="15"/>
        <v>-0.40737431048069345</v>
      </c>
      <c r="O38" s="11"/>
      <c r="P38" s="7">
        <v>32930.550000000003</v>
      </c>
      <c r="Q38" s="2"/>
      <c r="R38" s="6">
        <f t="shared" si="16"/>
        <v>4.6851434712374103E-3</v>
      </c>
      <c r="S38" s="2"/>
      <c r="T38" s="7">
        <v>43743</v>
      </c>
      <c r="U38" s="2"/>
      <c r="V38" s="6">
        <f t="shared" si="17"/>
        <v>7.7962186120795317E-3</v>
      </c>
      <c r="W38" s="2"/>
      <c r="X38" s="7">
        <f t="shared" si="18"/>
        <v>-10812.449999999997</v>
      </c>
      <c r="Y38" s="2"/>
      <c r="Z38" s="6">
        <f t="shared" si="19"/>
        <v>-0.24718126328784026</v>
      </c>
    </row>
    <row r="39" spans="1:26" s="28" customFormat="1" outlineLevel="1" collapsed="1" x14ac:dyDescent="0.3">
      <c r="A39" s="29"/>
      <c r="B39" s="14" t="str">
        <f>CONCATENATE("     ","*Payroll                                          ")</f>
        <v xml:space="preserve">     *Payroll                                          </v>
      </c>
      <c r="C39" s="14"/>
      <c r="D39" s="1">
        <f>SUM(OSRRefD22_1x_0)</f>
        <v>235141.97999999995</v>
      </c>
      <c r="E39" s="1"/>
      <c r="F39" s="5">
        <f t="shared" ref="F39:F49" si="20">IF(D$12=0,0,D39/D$12)</f>
        <v>0.3635131529774574</v>
      </c>
      <c r="G39" s="1"/>
      <c r="H39" s="1">
        <f>SUM(OSRRefH22_1x_0)</f>
        <v>345566.18185730756</v>
      </c>
      <c r="I39" s="1"/>
      <c r="J39" s="5">
        <f t="shared" ref="J39:J49" si="21">IF(H$12=0,0,H39/H$12)</f>
        <v>0.58073567362907519</v>
      </c>
      <c r="K39" s="1"/>
      <c r="L39" s="1">
        <f t="shared" ref="L39:L49" si="22">+D39-H39</f>
        <v>-110424.20185730761</v>
      </c>
      <c r="M39" s="1"/>
      <c r="N39" s="5">
        <f t="shared" ref="N39:N49" si="23">IF(H39=0,0,L39/H39)</f>
        <v>-0.31954574161109423</v>
      </c>
      <c r="O39" s="14"/>
      <c r="P39" s="1">
        <f>SUM(OSRRefP22_1x_0)</f>
        <v>1960655.1300000001</v>
      </c>
      <c r="Q39" s="1"/>
      <c r="R39" s="5">
        <f t="shared" ref="R39:R49" si="24">IF(P$12=0,0,P39/P$12)</f>
        <v>0.27894920010955282</v>
      </c>
      <c r="S39" s="1"/>
      <c r="T39" s="1">
        <f>SUM(OSRRefT22_1x_0)</f>
        <v>2217529.9140673075</v>
      </c>
      <c r="U39" s="1"/>
      <c r="V39" s="5">
        <f t="shared" ref="V39:V49" si="25">IF(T$12=0,0,T39/T$12)</f>
        <v>0.39522547582229539</v>
      </c>
      <c r="W39" s="1"/>
      <c r="X39" s="1">
        <f t="shared" ref="X39:X49" si="26">+P39-T39</f>
        <v>-256874.78406730737</v>
      </c>
      <c r="Y39" s="1"/>
      <c r="Z39" s="5">
        <f t="shared" ref="Z39:Z49" si="27">IF(T39=0,0,X39/T39)</f>
        <v>-0.11583824977411808</v>
      </c>
    </row>
    <row r="40" spans="1:26" s="24" customFormat="1" hidden="1" outlineLevel="2" x14ac:dyDescent="0.3">
      <c r="A40" s="27"/>
      <c r="B40" s="11" t="str">
        <f>CONCATENATE("          ", "6001", " - ", "ADMINISTRATIVE SALARIES")</f>
        <v xml:space="preserve">          6001 - ADMINISTRATIVE SALARIES</v>
      </c>
      <c r="C40" s="11"/>
      <c r="D40" s="7">
        <v>24173.39</v>
      </c>
      <c r="E40" s="2"/>
      <c r="F40" s="6">
        <f t="shared" si="20"/>
        <v>3.7370380299824556E-2</v>
      </c>
      <c r="G40" s="2"/>
      <c r="H40" s="7">
        <v>12835.384615384601</v>
      </c>
      <c r="I40" s="2"/>
      <c r="J40" s="6">
        <f t="shared" si="21"/>
        <v>2.1570298606307381E-2</v>
      </c>
      <c r="K40" s="2"/>
      <c r="L40" s="7">
        <f t="shared" si="22"/>
        <v>11338.005384615399</v>
      </c>
      <c r="M40" s="2"/>
      <c r="N40" s="6">
        <f t="shared" si="23"/>
        <v>0.88333974589476416</v>
      </c>
      <c r="O40" s="11"/>
      <c r="P40" s="7">
        <v>143789.35999999999</v>
      </c>
      <c r="Q40" s="2"/>
      <c r="R40" s="6">
        <f t="shared" si="24"/>
        <v>2.0457410557594861E-2</v>
      </c>
      <c r="S40" s="2"/>
      <c r="T40" s="7">
        <v>79579.384615384595</v>
      </c>
      <c r="U40" s="2"/>
      <c r="V40" s="6">
        <f t="shared" si="25"/>
        <v>1.4183258566543148E-2</v>
      </c>
      <c r="W40" s="2"/>
      <c r="X40" s="7">
        <f t="shared" si="26"/>
        <v>64209.975384615391</v>
      </c>
      <c r="Y40" s="2"/>
      <c r="Z40" s="6">
        <f t="shared" si="27"/>
        <v>0.80686695046649137</v>
      </c>
    </row>
    <row r="41" spans="1:26" s="24" customFormat="1" hidden="1" outlineLevel="2" x14ac:dyDescent="0.3">
      <c r="A41" s="27"/>
      <c r="B41" s="11" t="str">
        <f>CONCATENATE("          ", "6002", " - ", "STAFF SALARIES")</f>
        <v xml:space="preserve">          6002 - STAFF SALARIES</v>
      </c>
      <c r="C41" s="11"/>
      <c r="D41" s="7">
        <v>63640.67</v>
      </c>
      <c r="E41" s="2"/>
      <c r="F41" s="6">
        <f t="shared" si="20"/>
        <v>9.8384051241287865E-2</v>
      </c>
      <c r="G41" s="2"/>
      <c r="H41" s="7">
        <v>77521.928951922993</v>
      </c>
      <c r="I41" s="2"/>
      <c r="J41" s="6">
        <f t="shared" si="21"/>
        <v>0.13027822742651948</v>
      </c>
      <c r="K41" s="2"/>
      <c r="L41" s="7">
        <f t="shared" si="22"/>
        <v>-13881.258951922995</v>
      </c>
      <c r="M41" s="2"/>
      <c r="N41" s="6">
        <f t="shared" si="23"/>
        <v>-0.17906235228656109</v>
      </c>
      <c r="O41" s="11"/>
      <c r="P41" s="7">
        <v>423338.48</v>
      </c>
      <c r="Q41" s="2"/>
      <c r="R41" s="6">
        <f t="shared" si="24"/>
        <v>6.0229832653738512E-2</v>
      </c>
      <c r="S41" s="2"/>
      <c r="T41" s="7">
        <v>446491.05000192299</v>
      </c>
      <c r="U41" s="2"/>
      <c r="V41" s="6">
        <f t="shared" si="25"/>
        <v>7.9577117119354529E-2</v>
      </c>
      <c r="W41" s="2"/>
      <c r="X41" s="7">
        <f t="shared" si="26"/>
        <v>-23152.570001923013</v>
      </c>
      <c r="Y41" s="2"/>
      <c r="Z41" s="6">
        <f t="shared" si="27"/>
        <v>-5.1854499663147327E-2</v>
      </c>
    </row>
    <row r="42" spans="1:26" s="24" customFormat="1" hidden="1" outlineLevel="2" x14ac:dyDescent="0.3">
      <c r="A42" s="27"/>
      <c r="B42" s="11" t="str">
        <f>CONCATENATE("          ", "6003", " - ", "STAFF HOURLY-9 MONTH")</f>
        <v xml:space="preserve">          6003 - STAFF HOURLY-9 MONTH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3">
      <c r="A43" s="27"/>
      <c r="B43" s="11" t="str">
        <f>CONCATENATE("          ", "6004", " - ", "STAFF HOURLY")</f>
        <v xml:space="preserve">          6004 - STAFF HOURLY</v>
      </c>
      <c r="C43" s="11"/>
      <c r="D43" s="7">
        <v>61086.71</v>
      </c>
      <c r="E43" s="2"/>
      <c r="F43" s="6">
        <f t="shared" si="20"/>
        <v>9.4435806643796999E-2</v>
      </c>
      <c r="G43" s="2"/>
      <c r="H43" s="7">
        <v>138048.94144</v>
      </c>
      <c r="I43" s="2"/>
      <c r="J43" s="6">
        <f t="shared" si="21"/>
        <v>0.23199592208372755</v>
      </c>
      <c r="K43" s="2"/>
      <c r="L43" s="7">
        <f t="shared" si="22"/>
        <v>-76962.231440000003</v>
      </c>
      <c r="M43" s="2"/>
      <c r="N43" s="6">
        <f t="shared" si="23"/>
        <v>-0.55749961308794227</v>
      </c>
      <c r="O43" s="11"/>
      <c r="P43" s="7">
        <v>578387.66</v>
      </c>
      <c r="Q43" s="2"/>
      <c r="R43" s="6">
        <f t="shared" si="24"/>
        <v>8.2289216824294853E-2</v>
      </c>
      <c r="S43" s="2"/>
      <c r="T43" s="7">
        <v>845024.65760000004</v>
      </c>
      <c r="U43" s="2"/>
      <c r="V43" s="6">
        <f t="shared" si="25"/>
        <v>0.15060688483293908</v>
      </c>
      <c r="W43" s="2"/>
      <c r="X43" s="7">
        <f t="shared" si="26"/>
        <v>-266636.9976</v>
      </c>
      <c r="Y43" s="2"/>
      <c r="Z43" s="6">
        <f t="shared" si="27"/>
        <v>-0.31553753514990923</v>
      </c>
    </row>
    <row r="44" spans="1:26" s="24" customFormat="1" hidden="1" outlineLevel="2" x14ac:dyDescent="0.3">
      <c r="A44" s="27"/>
      <c r="B44" s="11" t="str">
        <f>CONCATENATE("          ", "6005", " - ", "TEMPORARY WAGES-HOURLY")</f>
        <v xml:space="preserve">          6005 - TEMPORARY WAGES-HOURLY</v>
      </c>
      <c r="C44" s="11"/>
      <c r="D44" s="7">
        <v>20998.52</v>
      </c>
      <c r="E44" s="2"/>
      <c r="F44" s="6">
        <f t="shared" si="20"/>
        <v>3.2462252010722205E-2</v>
      </c>
      <c r="G44" s="2"/>
      <c r="H44" s="7">
        <v>26529.3933</v>
      </c>
      <c r="I44" s="2"/>
      <c r="J44" s="6">
        <f t="shared" si="21"/>
        <v>4.4583544044271985E-2</v>
      </c>
      <c r="K44" s="2"/>
      <c r="L44" s="7">
        <f t="shared" si="22"/>
        <v>-5530.8732999999993</v>
      </c>
      <c r="M44" s="2"/>
      <c r="N44" s="6">
        <f t="shared" si="23"/>
        <v>-0.20848095685625798</v>
      </c>
      <c r="O44" s="11"/>
      <c r="P44" s="7">
        <v>332428.65999999997</v>
      </c>
      <c r="Q44" s="2"/>
      <c r="R44" s="6">
        <f t="shared" si="24"/>
        <v>4.7295777509066828E-2</v>
      </c>
      <c r="S44" s="2"/>
      <c r="T44" s="7">
        <v>199296.57829999999</v>
      </c>
      <c r="U44" s="2"/>
      <c r="V44" s="6">
        <f t="shared" si="25"/>
        <v>3.5520190500565249E-2</v>
      </c>
      <c r="W44" s="2"/>
      <c r="X44" s="7">
        <f t="shared" si="26"/>
        <v>133132.08169999998</v>
      </c>
      <c r="Y44" s="2"/>
      <c r="Z44" s="6">
        <f t="shared" si="27"/>
        <v>0.66800987169783232</v>
      </c>
    </row>
    <row r="45" spans="1:26" s="24" customFormat="1" hidden="1" outlineLevel="2" x14ac:dyDescent="0.3">
      <c r="A45" s="27"/>
      <c r="B45" s="11" t="str">
        <f>CONCATENATE("          ", "6006", " - ", "TEMPORARY PART TIME")</f>
        <v xml:space="preserve">          6006 - TEMPORARY PART TIME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3">
      <c r="A46" s="27"/>
      <c r="B46" s="11" t="str">
        <f>CONCATENATE("          ", "6007", " - ", "STUDENT HOURLY")</f>
        <v xml:space="preserve">          6007 - STUDENT HOURLY</v>
      </c>
      <c r="C46" s="11"/>
      <c r="D46" s="7">
        <v>56501.36</v>
      </c>
      <c r="E46" s="2"/>
      <c r="F46" s="6">
        <f t="shared" si="20"/>
        <v>8.7347174337455161E-2</v>
      </c>
      <c r="G46" s="2"/>
      <c r="H46" s="7">
        <v>1415.6956</v>
      </c>
      <c r="I46" s="2"/>
      <c r="J46" s="6">
        <f t="shared" si="21"/>
        <v>2.3791244082420103E-3</v>
      </c>
      <c r="K46" s="2"/>
      <c r="L46" s="7">
        <f t="shared" si="22"/>
        <v>55085.664400000001</v>
      </c>
      <c r="M46" s="2"/>
      <c r="N46" s="6">
        <f t="shared" si="23"/>
        <v>38.910670062123522</v>
      </c>
      <c r="O46" s="11"/>
      <c r="P46" s="7">
        <v>398569.63</v>
      </c>
      <c r="Q46" s="2"/>
      <c r="R46" s="6">
        <f t="shared" si="24"/>
        <v>5.6705882526347423E-2</v>
      </c>
      <c r="S46" s="2"/>
      <c r="T46" s="7">
        <v>55571.455600000001</v>
      </c>
      <c r="U46" s="2"/>
      <c r="V46" s="6">
        <f t="shared" si="25"/>
        <v>9.9043782193510115E-3</v>
      </c>
      <c r="W46" s="2"/>
      <c r="X46" s="7">
        <f t="shared" si="26"/>
        <v>342998.17440000002</v>
      </c>
      <c r="Y46" s="2"/>
      <c r="Z46" s="6">
        <f t="shared" si="27"/>
        <v>6.1722006504360847</v>
      </c>
    </row>
    <row r="47" spans="1:26" s="24" customFormat="1" hidden="1" outlineLevel="2" x14ac:dyDescent="0.3">
      <c r="A47" s="27"/>
      <c r="B47" s="11" t="str">
        <f>CONCATENATE("          ", "6008", " - ", "STUDENT HOURLY-FICA EXEMPT")</f>
        <v xml:space="preserve">          6008 - STUDENT HOURLY-FICA EXEMPT</v>
      </c>
      <c r="C47" s="11"/>
      <c r="D47" s="7">
        <v>8741.33</v>
      </c>
      <c r="E47" s="2"/>
      <c r="F47" s="6">
        <f t="shared" si="20"/>
        <v>1.3513488444370666E-2</v>
      </c>
      <c r="G47" s="2"/>
      <c r="H47" s="7">
        <v>89214.837950000001</v>
      </c>
      <c r="I47" s="2"/>
      <c r="J47" s="6">
        <f t="shared" si="21"/>
        <v>0.14992855706000682</v>
      </c>
      <c r="K47" s="2"/>
      <c r="L47" s="7">
        <f t="shared" si="22"/>
        <v>-80473.507949999999</v>
      </c>
      <c r="M47" s="2"/>
      <c r="N47" s="6">
        <f t="shared" si="23"/>
        <v>-0.90201932547477093</v>
      </c>
      <c r="O47" s="11"/>
      <c r="P47" s="7">
        <v>84141.34</v>
      </c>
      <c r="Q47" s="2"/>
      <c r="R47" s="6">
        <f t="shared" si="24"/>
        <v>1.1971080038510353E-2</v>
      </c>
      <c r="S47" s="2"/>
      <c r="T47" s="7">
        <v>591566.78795000003</v>
      </c>
      <c r="U47" s="2"/>
      <c r="V47" s="6">
        <f t="shared" si="25"/>
        <v>0.10543364658354241</v>
      </c>
      <c r="W47" s="2"/>
      <c r="X47" s="7">
        <f t="shared" si="26"/>
        <v>-507425.44795000006</v>
      </c>
      <c r="Y47" s="2"/>
      <c r="Z47" s="6">
        <f t="shared" si="27"/>
        <v>-0.85776527399115632</v>
      </c>
    </row>
    <row r="48" spans="1:26" s="24" customFormat="1" hidden="1" outlineLevel="2" x14ac:dyDescent="0.3">
      <c r="A48" s="27"/>
      <c r="B48" s="11" t="str">
        <f>CONCATENATE("          ", "6009", " - ", "TEMPORARY-SEASONAL")</f>
        <v xml:space="preserve">          6009 - TEMPORARY-SEASONAL</v>
      </c>
      <c r="C48" s="11"/>
      <c r="D48" s="7"/>
      <c r="E48" s="2"/>
      <c r="F48" s="6">
        <f t="shared" si="20"/>
        <v>0</v>
      </c>
      <c r="G48" s="2"/>
      <c r="H48" s="7">
        <v>0</v>
      </c>
      <c r="I48" s="2"/>
      <c r="J48" s="6">
        <f t="shared" si="21"/>
        <v>0</v>
      </c>
      <c r="K48" s="2"/>
      <c r="L48" s="7">
        <f t="shared" si="22"/>
        <v>0</v>
      </c>
      <c r="M48" s="2"/>
      <c r="N48" s="6">
        <f t="shared" si="23"/>
        <v>0</v>
      </c>
      <c r="O48" s="11"/>
      <c r="P48" s="7"/>
      <c r="Q48" s="2"/>
      <c r="R48" s="6">
        <f t="shared" si="24"/>
        <v>0</v>
      </c>
      <c r="S48" s="2"/>
      <c r="T48" s="7">
        <v>0</v>
      </c>
      <c r="U48" s="2"/>
      <c r="V48" s="6">
        <f t="shared" si="25"/>
        <v>0</v>
      </c>
      <c r="W48" s="2"/>
      <c r="X48" s="7">
        <f t="shared" si="26"/>
        <v>0</v>
      </c>
      <c r="Y48" s="2"/>
      <c r="Z48" s="6">
        <f t="shared" si="27"/>
        <v>0</v>
      </c>
    </row>
    <row r="49" spans="1:26" s="24" customFormat="1" hidden="1" outlineLevel="2" x14ac:dyDescent="0.3">
      <c r="A49" s="27"/>
      <c r="B49" s="11" t="str">
        <f>CONCATENATE("          ", "6010", " - ", "GRATUITY")</f>
        <v xml:space="preserve">          6010 - GRATUITY</v>
      </c>
      <c r="C49" s="11"/>
      <c r="D49" s="7"/>
      <c r="E49" s="2"/>
      <c r="F49" s="6">
        <f t="shared" si="20"/>
        <v>0</v>
      </c>
      <c r="G49" s="2"/>
      <c r="H49" s="7">
        <v>0</v>
      </c>
      <c r="I49" s="2"/>
      <c r="J49" s="6">
        <f t="shared" si="21"/>
        <v>0</v>
      </c>
      <c r="K49" s="2"/>
      <c r="L49" s="7">
        <f t="shared" si="22"/>
        <v>0</v>
      </c>
      <c r="M49" s="2"/>
      <c r="N49" s="6">
        <f t="shared" si="23"/>
        <v>0</v>
      </c>
      <c r="O49" s="11"/>
      <c r="P49" s="7"/>
      <c r="Q49" s="2"/>
      <c r="R49" s="6">
        <f t="shared" si="24"/>
        <v>0</v>
      </c>
      <c r="S49" s="2"/>
      <c r="T49" s="7">
        <v>0</v>
      </c>
      <c r="U49" s="2"/>
      <c r="V49" s="6">
        <f t="shared" si="25"/>
        <v>0</v>
      </c>
      <c r="W49" s="2"/>
      <c r="X49" s="7">
        <f t="shared" si="26"/>
        <v>0</v>
      </c>
      <c r="Y49" s="2"/>
      <c r="Z49" s="6">
        <f t="shared" si="27"/>
        <v>0</v>
      </c>
    </row>
    <row r="50" spans="1:26" s="28" customFormat="1" outlineLevel="1" collapsed="1" x14ac:dyDescent="0.3">
      <c r="A50" s="29"/>
      <c r="B50" s="14" t="str">
        <f>CONCATENATE("     ","Advertising/Promo                                 ")</f>
        <v xml:space="preserve">     Advertising/Promo                                 </v>
      </c>
      <c r="C50" s="14"/>
      <c r="D50" s="1">
        <f>SUM(OSRRefD22_2x_0)</f>
        <v>485.5</v>
      </c>
      <c r="E50" s="1"/>
      <c r="F50" s="5">
        <f t="shared" ref="F50:F58" si="28">IF(D$12=0,0,D50/D$12)</f>
        <v>7.5054924590902739E-4</v>
      </c>
      <c r="G50" s="1"/>
      <c r="H50" s="1">
        <f>SUM(OSRRefH22_2x_0)</f>
        <v>1319</v>
      </c>
      <c r="I50" s="1"/>
      <c r="J50" s="5">
        <f t="shared" ref="J50:J58" si="29">IF(H$12=0,0,H50/H$12)</f>
        <v>2.2166241771686031E-3</v>
      </c>
      <c r="K50" s="1"/>
      <c r="L50" s="1">
        <f t="shared" ref="L50:L58" si="30">+D50-H50</f>
        <v>-833.5</v>
      </c>
      <c r="M50" s="1"/>
      <c r="N50" s="5">
        <f t="shared" ref="N50:N58" si="31">IF(H50=0,0,L50/H50)</f>
        <v>-0.63191811978771795</v>
      </c>
      <c r="O50" s="14"/>
      <c r="P50" s="1">
        <f>SUM(OSRRefP22_2x_0)</f>
        <v>4596.3599999999997</v>
      </c>
      <c r="Q50" s="1"/>
      <c r="R50" s="5">
        <f t="shared" ref="R50:R58" si="32">IF(P$12=0,0,P50/P$12)</f>
        <v>6.5394006615306392E-4</v>
      </c>
      <c r="S50" s="1"/>
      <c r="T50" s="1">
        <f>SUM(OSRRefT22_2x_0)</f>
        <v>9233</v>
      </c>
      <c r="U50" s="1"/>
      <c r="V50" s="5">
        <f t="shared" ref="V50:V58" si="33">IF(T$12=0,0,T50/T$12)</f>
        <v>1.6455772682561853E-3</v>
      </c>
      <c r="W50" s="1"/>
      <c r="X50" s="1">
        <f t="shared" ref="X50:X58" si="34">+P50-T50</f>
        <v>-4636.6400000000003</v>
      </c>
      <c r="Y50" s="1"/>
      <c r="Z50" s="5">
        <f t="shared" ref="Z50:Z58" si="35">IF(T50=0,0,X50/T50)</f>
        <v>-0.50218130618433887</v>
      </c>
    </row>
    <row r="51" spans="1:26" s="24" customFormat="1" hidden="1" outlineLevel="2" x14ac:dyDescent="0.3">
      <c r="A51" s="27"/>
      <c r="B51" s="11" t="str">
        <f>CONCATENATE("          ", "6362", " - ", "ADVERTISING EXPENSE")</f>
        <v xml:space="preserve">          6362 - ADVERTISING EXPENSE</v>
      </c>
      <c r="C51" s="11"/>
      <c r="D51" s="7">
        <v>485.5</v>
      </c>
      <c r="E51" s="2"/>
      <c r="F51" s="6">
        <f t="shared" si="28"/>
        <v>7.5054924590902739E-4</v>
      </c>
      <c r="G51" s="2"/>
      <c r="H51" s="7">
        <v>1319</v>
      </c>
      <c r="I51" s="2"/>
      <c r="J51" s="6">
        <f t="shared" si="29"/>
        <v>2.2166241771686031E-3</v>
      </c>
      <c r="K51" s="2"/>
      <c r="L51" s="7">
        <f t="shared" si="30"/>
        <v>-833.5</v>
      </c>
      <c r="M51" s="2"/>
      <c r="N51" s="6">
        <f t="shared" si="31"/>
        <v>-0.63191811978771795</v>
      </c>
      <c r="O51" s="11"/>
      <c r="P51" s="7">
        <v>4596.3599999999997</v>
      </c>
      <c r="Q51" s="2"/>
      <c r="R51" s="6">
        <f t="shared" si="32"/>
        <v>6.5394006615306392E-4</v>
      </c>
      <c r="S51" s="2"/>
      <c r="T51" s="7">
        <v>9233</v>
      </c>
      <c r="U51" s="2"/>
      <c r="V51" s="6">
        <f t="shared" si="33"/>
        <v>1.6455772682561853E-3</v>
      </c>
      <c r="W51" s="2"/>
      <c r="X51" s="7">
        <f t="shared" si="34"/>
        <v>-4636.6400000000003</v>
      </c>
      <c r="Y51" s="2"/>
      <c r="Z51" s="6">
        <f t="shared" si="35"/>
        <v>-0.50218130618433887</v>
      </c>
    </row>
    <row r="52" spans="1:26" s="28" customFormat="1" outlineLevel="1" collapsed="1" x14ac:dyDescent="0.3">
      <c r="A52" s="29"/>
      <c r="B52" s="14" t="str">
        <f>CONCATENATE("     ","Bad Debts/Over/Short                              ")</f>
        <v xml:space="preserve">     Bad Debts/Over/Short                              </v>
      </c>
      <c r="C52" s="14"/>
      <c r="D52" s="1">
        <f>SUM(OSRRefD22_3x_0)</f>
        <v>16.059999999999999</v>
      </c>
      <c r="E52" s="1"/>
      <c r="F52" s="5">
        <f t="shared" si="28"/>
        <v>2.4827643438308915E-5</v>
      </c>
      <c r="G52" s="1"/>
      <c r="H52" s="1">
        <f>SUM(OSRRefH22_3x_0)</f>
        <v>33</v>
      </c>
      <c r="I52" s="1"/>
      <c r="J52" s="5">
        <f t="shared" si="29"/>
        <v>5.5457617776015085E-5</v>
      </c>
      <c r="K52" s="1"/>
      <c r="L52" s="1">
        <f t="shared" si="30"/>
        <v>-16.940000000000001</v>
      </c>
      <c r="M52" s="1"/>
      <c r="N52" s="5">
        <f t="shared" si="31"/>
        <v>-0.51333333333333342</v>
      </c>
      <c r="O52" s="14"/>
      <c r="P52" s="1">
        <f>SUM(OSRRefP22_3x_0)</f>
        <v>-88.75</v>
      </c>
      <c r="Q52" s="1"/>
      <c r="R52" s="5">
        <f t="shared" si="32"/>
        <v>-1.2626770068289784E-5</v>
      </c>
      <c r="S52" s="1"/>
      <c r="T52" s="1">
        <f>SUM(OSRRefT22_3x_0)</f>
        <v>263</v>
      </c>
      <c r="U52" s="1"/>
      <c r="V52" s="5">
        <f t="shared" si="33"/>
        <v>4.6873911139540427E-5</v>
      </c>
      <c r="W52" s="1"/>
      <c r="X52" s="1">
        <f t="shared" si="34"/>
        <v>-351.75</v>
      </c>
      <c r="Y52" s="1"/>
      <c r="Z52" s="5">
        <f t="shared" si="35"/>
        <v>-1.3374524714828897</v>
      </c>
    </row>
    <row r="53" spans="1:26" s="24" customFormat="1" hidden="1" outlineLevel="2" x14ac:dyDescent="0.3">
      <c r="A53" s="27"/>
      <c r="B53" s="11" t="str">
        <f>CONCATENATE("          ", "6272", " - ", "CASH (OVER/SHORT)")</f>
        <v xml:space="preserve">          6272 - CASH (OVER/SHORT)</v>
      </c>
      <c r="C53" s="11"/>
      <c r="D53" s="7">
        <v>16.059999999999999</v>
      </c>
      <c r="E53" s="2"/>
      <c r="F53" s="6">
        <f t="shared" si="28"/>
        <v>2.4827643438308915E-5</v>
      </c>
      <c r="G53" s="2"/>
      <c r="H53" s="7">
        <v>33</v>
      </c>
      <c r="I53" s="2"/>
      <c r="J53" s="6">
        <f t="shared" si="29"/>
        <v>5.5457617776015085E-5</v>
      </c>
      <c r="K53" s="2"/>
      <c r="L53" s="7">
        <f t="shared" si="30"/>
        <v>-16.940000000000001</v>
      </c>
      <c r="M53" s="2"/>
      <c r="N53" s="6">
        <f t="shared" si="31"/>
        <v>-0.51333333333333342</v>
      </c>
      <c r="O53" s="11"/>
      <c r="P53" s="7">
        <v>-88.75</v>
      </c>
      <c r="Q53" s="2"/>
      <c r="R53" s="6">
        <f t="shared" si="32"/>
        <v>-1.2626770068289784E-5</v>
      </c>
      <c r="S53" s="2"/>
      <c r="T53" s="7">
        <v>263</v>
      </c>
      <c r="U53" s="2"/>
      <c r="V53" s="6">
        <f t="shared" si="33"/>
        <v>4.6873911139540427E-5</v>
      </c>
      <c r="W53" s="2"/>
      <c r="X53" s="7">
        <f t="shared" si="34"/>
        <v>-351.75</v>
      </c>
      <c r="Y53" s="2"/>
      <c r="Z53" s="6">
        <f t="shared" si="35"/>
        <v>-1.3374524714828897</v>
      </c>
    </row>
    <row r="54" spans="1:26" s="28" customFormat="1" outlineLevel="1" collapsed="1" x14ac:dyDescent="0.3">
      <c r="A54" s="29"/>
      <c r="B54" s="14" t="str">
        <f>CONCATENATE("     ","Bank/card Fees                                    ")</f>
        <v xml:space="preserve">     Bank/card Fees                                    </v>
      </c>
      <c r="C54" s="14"/>
      <c r="D54" s="1">
        <f>SUM(OSRRefD22_4x_0)</f>
        <v>605.08000000000004</v>
      </c>
      <c r="E54" s="1"/>
      <c r="F54" s="5">
        <f t="shared" si="28"/>
        <v>9.3541161218256292E-4</v>
      </c>
      <c r="G54" s="1"/>
      <c r="H54" s="1">
        <f>SUM(OSRRefH22_4x_0)</f>
        <v>7713</v>
      </c>
      <c r="I54" s="1"/>
      <c r="J54" s="5">
        <f t="shared" si="29"/>
        <v>1.2961957754739526E-2</v>
      </c>
      <c r="K54" s="1"/>
      <c r="L54" s="1">
        <f t="shared" si="30"/>
        <v>-7107.92</v>
      </c>
      <c r="M54" s="1"/>
      <c r="N54" s="5">
        <f t="shared" si="31"/>
        <v>-0.92155062880850513</v>
      </c>
      <c r="O54" s="14"/>
      <c r="P54" s="1">
        <f>SUM(OSRRefP22_4x_0)</f>
        <v>23998.63</v>
      </c>
      <c r="Q54" s="1"/>
      <c r="R54" s="5">
        <f t="shared" si="32"/>
        <v>3.4143682587488592E-3</v>
      </c>
      <c r="S54" s="1"/>
      <c r="T54" s="1">
        <f>SUM(OSRRefT22_4x_0)</f>
        <v>36360</v>
      </c>
      <c r="U54" s="1"/>
      <c r="V54" s="5">
        <f t="shared" si="33"/>
        <v>6.4803627719912165E-3</v>
      </c>
      <c r="W54" s="1"/>
      <c r="X54" s="1">
        <f t="shared" si="34"/>
        <v>-12361.369999999999</v>
      </c>
      <c r="Y54" s="1"/>
      <c r="Z54" s="5">
        <f t="shared" si="35"/>
        <v>-0.33997167216721669</v>
      </c>
    </row>
    <row r="55" spans="1:26" s="24" customFormat="1" hidden="1" outlineLevel="2" x14ac:dyDescent="0.3">
      <c r="A55" s="27"/>
      <c r="B55" s="11" t="str">
        <f>CONCATENATE("          ", "6381", " - ", "BANK/CREDIT CARD FEES")</f>
        <v xml:space="preserve">          6381 - BANK/CREDIT CARD FEES</v>
      </c>
      <c r="C55" s="11"/>
      <c r="D55" s="7">
        <v>605.08000000000004</v>
      </c>
      <c r="E55" s="2"/>
      <c r="F55" s="6">
        <f t="shared" si="28"/>
        <v>9.3541161218256292E-4</v>
      </c>
      <c r="G55" s="2"/>
      <c r="H55" s="7">
        <v>7713</v>
      </c>
      <c r="I55" s="2"/>
      <c r="J55" s="6">
        <f t="shared" si="29"/>
        <v>1.2961957754739526E-2</v>
      </c>
      <c r="K55" s="2"/>
      <c r="L55" s="7">
        <f t="shared" si="30"/>
        <v>-7107.92</v>
      </c>
      <c r="M55" s="2"/>
      <c r="N55" s="6">
        <f t="shared" si="31"/>
        <v>-0.92155062880850513</v>
      </c>
      <c r="O55" s="11"/>
      <c r="P55" s="7">
        <v>23998.63</v>
      </c>
      <c r="Q55" s="2"/>
      <c r="R55" s="6">
        <f t="shared" si="32"/>
        <v>3.4143682587488592E-3</v>
      </c>
      <c r="S55" s="2"/>
      <c r="T55" s="7">
        <v>36360</v>
      </c>
      <c r="U55" s="2"/>
      <c r="V55" s="6">
        <f t="shared" si="33"/>
        <v>6.4803627719912165E-3</v>
      </c>
      <c r="W55" s="2"/>
      <c r="X55" s="7">
        <f t="shared" si="34"/>
        <v>-12361.369999999999</v>
      </c>
      <c r="Y55" s="2"/>
      <c r="Z55" s="6">
        <f t="shared" si="35"/>
        <v>-0.33997167216721669</v>
      </c>
    </row>
    <row r="56" spans="1:26" s="28" customFormat="1" outlineLevel="1" collapsed="1" x14ac:dyDescent="0.3">
      <c r="A56" s="29"/>
      <c r="B56" s="14" t="str">
        <f>CONCATENATE("     ","Depreciation                                      ")</f>
        <v xml:space="preserve">     Depreciation                                      </v>
      </c>
      <c r="C56" s="14"/>
      <c r="D56" s="1">
        <f>SUM(OSRRefD22_5x_0)</f>
        <v>33542.080000000002</v>
      </c>
      <c r="E56" s="1"/>
      <c r="F56" s="5">
        <f t="shared" si="28"/>
        <v>5.1853723687374398E-2</v>
      </c>
      <c r="G56" s="1"/>
      <c r="H56" s="1">
        <f>SUM(OSRRefH22_5x_0)</f>
        <v>33269</v>
      </c>
      <c r="I56" s="1"/>
      <c r="J56" s="5">
        <f t="shared" si="29"/>
        <v>5.5909681387583204E-2</v>
      </c>
      <c r="K56" s="1"/>
      <c r="L56" s="1">
        <f t="shared" si="30"/>
        <v>273.08000000000175</v>
      </c>
      <c r="M56" s="1"/>
      <c r="N56" s="5">
        <f t="shared" si="31"/>
        <v>8.208241906880331E-3</v>
      </c>
      <c r="O56" s="14"/>
      <c r="P56" s="1">
        <f>SUM(OSRRefP22_5x_0)</f>
        <v>234882.7</v>
      </c>
      <c r="Q56" s="1"/>
      <c r="R56" s="5">
        <f t="shared" si="32"/>
        <v>3.3417575728665785E-2</v>
      </c>
      <c r="S56" s="1"/>
      <c r="T56" s="1">
        <f>SUM(OSRRefT22_5x_0)</f>
        <v>232971</v>
      </c>
      <c r="U56" s="1"/>
      <c r="V56" s="5">
        <f t="shared" si="33"/>
        <v>4.1521908563079364E-2</v>
      </c>
      <c r="W56" s="1"/>
      <c r="X56" s="1">
        <f t="shared" si="34"/>
        <v>1911.7000000000116</v>
      </c>
      <c r="Y56" s="1"/>
      <c r="Z56" s="5">
        <f t="shared" si="35"/>
        <v>8.2057423456138815E-3</v>
      </c>
    </row>
    <row r="57" spans="1:26" s="24" customFormat="1" hidden="1" outlineLevel="2" x14ac:dyDescent="0.3">
      <c r="A57" s="27"/>
      <c r="B57" s="11" t="str">
        <f>CONCATENATE("          ", "6321", " - ", "BUILDING DEPRECIATION")</f>
        <v xml:space="preserve">          6321 - BUILDING DEPRECIATION</v>
      </c>
      <c r="C57" s="11"/>
      <c r="D57" s="7">
        <v>23539.4</v>
      </c>
      <c r="E57" s="2"/>
      <c r="F57" s="6">
        <f t="shared" si="28"/>
        <v>3.6390275837592093E-2</v>
      </c>
      <c r="G57" s="2"/>
      <c r="H57" s="7"/>
      <c r="I57" s="2"/>
      <c r="J57" s="6">
        <f t="shared" si="29"/>
        <v>0</v>
      </c>
      <c r="K57" s="2"/>
      <c r="L57" s="7">
        <f t="shared" si="30"/>
        <v>23539.4</v>
      </c>
      <c r="M57" s="2"/>
      <c r="N57" s="6">
        <f t="shared" si="31"/>
        <v>0</v>
      </c>
      <c r="O57" s="11"/>
      <c r="P57" s="7">
        <v>164863.94</v>
      </c>
      <c r="Q57" s="2"/>
      <c r="R57" s="6">
        <f t="shared" si="32"/>
        <v>2.3455764089378283E-2</v>
      </c>
      <c r="S57" s="2"/>
      <c r="T57" s="7"/>
      <c r="U57" s="2"/>
      <c r="V57" s="6">
        <f t="shared" si="33"/>
        <v>0</v>
      </c>
      <c r="W57" s="2"/>
      <c r="X57" s="7">
        <f t="shared" si="34"/>
        <v>164863.94</v>
      </c>
      <c r="Y57" s="2"/>
      <c r="Z57" s="6">
        <f t="shared" si="35"/>
        <v>0</v>
      </c>
    </row>
    <row r="58" spans="1:26" s="24" customFormat="1" hidden="1" outlineLevel="2" x14ac:dyDescent="0.3">
      <c r="A58" s="27"/>
      <c r="B58" s="11" t="str">
        <f>CONCATENATE("          ", "6322", " - ", "EQUIPMENT DEPRECIATION EXPENSE")</f>
        <v xml:space="preserve">          6322 - EQUIPMENT DEPRECIATION EXPENSE</v>
      </c>
      <c r="C58" s="11"/>
      <c r="D58" s="7">
        <v>10002.68</v>
      </c>
      <c r="E58" s="2"/>
      <c r="F58" s="6">
        <f t="shared" si="28"/>
        <v>1.5463447849782307E-2</v>
      </c>
      <c r="G58" s="2"/>
      <c r="H58" s="7">
        <v>33269</v>
      </c>
      <c r="I58" s="2"/>
      <c r="J58" s="6">
        <f t="shared" si="29"/>
        <v>5.5909681387583204E-2</v>
      </c>
      <c r="K58" s="2"/>
      <c r="L58" s="7">
        <f t="shared" si="30"/>
        <v>-23266.32</v>
      </c>
      <c r="M58" s="2"/>
      <c r="N58" s="6">
        <f t="shared" si="31"/>
        <v>-0.69933932489705131</v>
      </c>
      <c r="O58" s="11"/>
      <c r="P58" s="7">
        <v>70018.759999999995</v>
      </c>
      <c r="Q58" s="2"/>
      <c r="R58" s="6">
        <f t="shared" si="32"/>
        <v>9.9618116392875024E-3</v>
      </c>
      <c r="S58" s="2"/>
      <c r="T58" s="7">
        <v>232971</v>
      </c>
      <c r="U58" s="2"/>
      <c r="V58" s="6">
        <f t="shared" si="33"/>
        <v>4.1521908563079364E-2</v>
      </c>
      <c r="W58" s="2"/>
      <c r="X58" s="7">
        <f t="shared" si="34"/>
        <v>-162952.24</v>
      </c>
      <c r="Y58" s="2"/>
      <c r="Z58" s="6">
        <f t="shared" si="35"/>
        <v>-0.69945289327856253</v>
      </c>
    </row>
    <row r="59" spans="1:26" s="28" customFormat="1" outlineLevel="1" collapsed="1" x14ac:dyDescent="0.3">
      <c r="A59" s="29"/>
      <c r="B59" s="14" t="str">
        <f>CONCATENATE("     ","Donations                                         ")</f>
        <v xml:space="preserve">     Donations                                         </v>
      </c>
      <c r="C59" s="14"/>
      <c r="D59" s="1">
        <f>SUM(OSRRefD22_6x_0)</f>
        <v>4031.65</v>
      </c>
      <c r="E59" s="1"/>
      <c r="F59" s="5">
        <f t="shared" ref="F59:F67" si="36">IF(D$12=0,0,D59/D$12)</f>
        <v>6.2326506019961493E-3</v>
      </c>
      <c r="G59" s="1"/>
      <c r="H59" s="1">
        <f>SUM(OSRRefH22_6x_0)</f>
        <v>15500</v>
      </c>
      <c r="I59" s="1"/>
      <c r="J59" s="5">
        <f t="shared" ref="J59:J67" si="37">IF(H$12=0,0,H59/H$12)</f>
        <v>2.6048275016007084E-2</v>
      </c>
      <c r="K59" s="1"/>
      <c r="L59" s="1">
        <f t="shared" ref="L59:L67" si="38">+D59-H59</f>
        <v>-11468.35</v>
      </c>
      <c r="M59" s="1"/>
      <c r="N59" s="5">
        <f t="shared" ref="N59:N67" si="39">IF(H59=0,0,L59/H59)</f>
        <v>-0.73989354838709676</v>
      </c>
      <c r="O59" s="14"/>
      <c r="P59" s="1">
        <f>SUM(OSRRefP22_6x_0)</f>
        <v>40626.65</v>
      </c>
      <c r="Q59" s="1"/>
      <c r="R59" s="5">
        <f t="shared" ref="R59:R67" si="40">IF(P$12=0,0,P59/P$12)</f>
        <v>5.7800942895198321E-3</v>
      </c>
      <c r="S59" s="1"/>
      <c r="T59" s="1">
        <f>SUM(OSRRefT22_6x_0)</f>
        <v>93000</v>
      </c>
      <c r="U59" s="1"/>
      <c r="V59" s="5">
        <f t="shared" ref="V59:V67" si="41">IF(T$12=0,0,T59/T$12)</f>
        <v>1.6575185307898324E-2</v>
      </c>
      <c r="W59" s="1"/>
      <c r="X59" s="1">
        <f t="shared" ref="X59:X67" si="42">+P59-T59</f>
        <v>-52373.35</v>
      </c>
      <c r="Y59" s="1"/>
      <c r="Z59" s="5">
        <f t="shared" ref="Z59:Z67" si="43">IF(T59=0,0,X59/T59)</f>
        <v>-0.56315430107526876</v>
      </c>
    </row>
    <row r="60" spans="1:26" s="24" customFormat="1" hidden="1" outlineLevel="2" x14ac:dyDescent="0.3">
      <c r="A60" s="27"/>
      <c r="B60" s="11" t="str">
        <f>CONCATENATE("          ", "6399", " - ", "DONATION-ON CAMPUS")</f>
        <v xml:space="preserve">          6399 - DONATION-ON CAMPUS</v>
      </c>
      <c r="C60" s="11"/>
      <c r="D60" s="7">
        <v>4031.65</v>
      </c>
      <c r="E60" s="2"/>
      <c r="F60" s="6">
        <f t="shared" si="36"/>
        <v>6.2326506019961493E-3</v>
      </c>
      <c r="G60" s="2"/>
      <c r="H60" s="7">
        <v>15500</v>
      </c>
      <c r="I60" s="2"/>
      <c r="J60" s="6">
        <f t="shared" si="37"/>
        <v>2.6048275016007084E-2</v>
      </c>
      <c r="K60" s="2"/>
      <c r="L60" s="7">
        <f t="shared" si="38"/>
        <v>-11468.35</v>
      </c>
      <c r="M60" s="2"/>
      <c r="N60" s="6">
        <f t="shared" si="39"/>
        <v>-0.73989354838709676</v>
      </c>
      <c r="O60" s="11"/>
      <c r="P60" s="7">
        <v>40626.65</v>
      </c>
      <c r="Q60" s="2"/>
      <c r="R60" s="6">
        <f t="shared" si="40"/>
        <v>5.7800942895198321E-3</v>
      </c>
      <c r="S60" s="2"/>
      <c r="T60" s="7">
        <v>93000</v>
      </c>
      <c r="U60" s="2"/>
      <c r="V60" s="6">
        <f t="shared" si="41"/>
        <v>1.6575185307898324E-2</v>
      </c>
      <c r="W60" s="2"/>
      <c r="X60" s="7">
        <f t="shared" si="42"/>
        <v>-52373.35</v>
      </c>
      <c r="Y60" s="2"/>
      <c r="Z60" s="6">
        <f t="shared" si="43"/>
        <v>-0.56315430107526876</v>
      </c>
    </row>
    <row r="61" spans="1:26" s="28" customFormat="1" outlineLevel="1" collapsed="1" x14ac:dyDescent="0.3">
      <c r="A61" s="29"/>
      <c r="B61" s="14" t="str">
        <f>CONCATENATE("     ","Employees' Appreciation                           ")</f>
        <v xml:space="preserve">     Employees' Appreciation                           </v>
      </c>
      <c r="C61" s="14"/>
      <c r="D61" s="1">
        <f>SUM(OSRRefD22_7x_0)</f>
        <v>75.98</v>
      </c>
      <c r="E61" s="1"/>
      <c r="F61" s="5">
        <f t="shared" si="36"/>
        <v>1.1745979753690608E-4</v>
      </c>
      <c r="G61" s="1"/>
      <c r="H61" s="1">
        <f>SUM(OSRRefH22_7x_0)</f>
        <v>220</v>
      </c>
      <c r="I61" s="1"/>
      <c r="J61" s="5">
        <f t="shared" si="37"/>
        <v>3.6971745184010058E-4</v>
      </c>
      <c r="K61" s="1"/>
      <c r="L61" s="1">
        <f t="shared" si="38"/>
        <v>-144.01999999999998</v>
      </c>
      <c r="M61" s="1"/>
      <c r="N61" s="5">
        <f t="shared" si="39"/>
        <v>-0.65463636363636357</v>
      </c>
      <c r="O61" s="14"/>
      <c r="P61" s="1">
        <f>SUM(OSRRefP22_7x_0)</f>
        <v>553.21</v>
      </c>
      <c r="Q61" s="1"/>
      <c r="R61" s="5">
        <f t="shared" si="40"/>
        <v>7.8707103881448911E-5</v>
      </c>
      <c r="S61" s="1"/>
      <c r="T61" s="1">
        <f>SUM(OSRRefT22_7x_0)</f>
        <v>2130</v>
      </c>
      <c r="U61" s="1"/>
      <c r="V61" s="5">
        <f t="shared" si="41"/>
        <v>3.7962521189057456E-4</v>
      </c>
      <c r="W61" s="1"/>
      <c r="X61" s="1">
        <f t="shared" si="42"/>
        <v>-1576.79</v>
      </c>
      <c r="Y61" s="1"/>
      <c r="Z61" s="5">
        <f t="shared" si="43"/>
        <v>-0.74027699530516433</v>
      </c>
    </row>
    <row r="62" spans="1:26" s="24" customFormat="1" hidden="1" outlineLevel="2" x14ac:dyDescent="0.3">
      <c r="A62" s="27"/>
      <c r="B62" s="11" t="str">
        <f>CONCATENATE("          ", "6277", " - ", "EMPLOYEE APPRECIATION")</f>
        <v xml:space="preserve">          6277 - EMPLOYEE APPRECIATION</v>
      </c>
      <c r="C62" s="11"/>
      <c r="D62" s="7">
        <v>75.98</v>
      </c>
      <c r="E62" s="2"/>
      <c r="F62" s="6">
        <f t="shared" si="36"/>
        <v>1.1745979753690608E-4</v>
      </c>
      <c r="G62" s="2"/>
      <c r="H62" s="7">
        <v>220</v>
      </c>
      <c r="I62" s="2"/>
      <c r="J62" s="6">
        <f t="shared" si="37"/>
        <v>3.6971745184010058E-4</v>
      </c>
      <c r="K62" s="2"/>
      <c r="L62" s="7">
        <f t="shared" si="38"/>
        <v>-144.01999999999998</v>
      </c>
      <c r="M62" s="2"/>
      <c r="N62" s="6">
        <f t="shared" si="39"/>
        <v>-0.65463636363636357</v>
      </c>
      <c r="O62" s="11"/>
      <c r="P62" s="7">
        <v>553.21</v>
      </c>
      <c r="Q62" s="2"/>
      <c r="R62" s="6">
        <f t="shared" si="40"/>
        <v>7.8707103881448911E-5</v>
      </c>
      <c r="S62" s="2"/>
      <c r="T62" s="7">
        <v>2130</v>
      </c>
      <c r="U62" s="2"/>
      <c r="V62" s="6">
        <f t="shared" si="41"/>
        <v>3.7962521189057456E-4</v>
      </c>
      <c r="W62" s="2"/>
      <c r="X62" s="7">
        <f t="shared" si="42"/>
        <v>-1576.79</v>
      </c>
      <c r="Y62" s="2"/>
      <c r="Z62" s="6">
        <f t="shared" si="43"/>
        <v>-0.74027699530516433</v>
      </c>
    </row>
    <row r="63" spans="1:26" s="28" customFormat="1" outlineLevel="1" collapsed="1" x14ac:dyDescent="0.3">
      <c r="A63" s="29"/>
      <c r="B63" s="14" t="str">
        <f>CONCATENATE("     ","Equipment Rental                                  ")</f>
        <v xml:space="preserve">     Equipment Rental                                  </v>
      </c>
      <c r="C63" s="14"/>
      <c r="D63" s="1">
        <f>SUM(OSRRefD22_8x_0)</f>
        <v>1351.46</v>
      </c>
      <c r="E63" s="1"/>
      <c r="F63" s="5">
        <f t="shared" si="36"/>
        <v>2.0892632005689274E-3</v>
      </c>
      <c r="G63" s="1"/>
      <c r="H63" s="1">
        <f>SUM(OSRRefH22_8x_0)</f>
        <v>1570</v>
      </c>
      <c r="I63" s="1"/>
      <c r="J63" s="5">
        <f t="shared" si="37"/>
        <v>2.6384381790407175E-3</v>
      </c>
      <c r="K63" s="1"/>
      <c r="L63" s="1">
        <f t="shared" si="38"/>
        <v>-218.53999999999996</v>
      </c>
      <c r="M63" s="1"/>
      <c r="N63" s="5">
        <f t="shared" si="39"/>
        <v>-0.13919745222929933</v>
      </c>
      <c r="O63" s="14"/>
      <c r="P63" s="1">
        <f>SUM(OSRRefP22_8x_0)</f>
        <v>14984.32</v>
      </c>
      <c r="Q63" s="1"/>
      <c r="R63" s="5">
        <f t="shared" si="40"/>
        <v>2.1318711354329687E-3</v>
      </c>
      <c r="S63" s="1"/>
      <c r="T63" s="1">
        <f>SUM(OSRRefT22_8x_0)</f>
        <v>10990</v>
      </c>
      <c r="U63" s="1"/>
      <c r="V63" s="5">
        <f t="shared" si="41"/>
        <v>1.9587235111161571E-3</v>
      </c>
      <c r="W63" s="1"/>
      <c r="X63" s="1">
        <f t="shared" si="42"/>
        <v>3994.3199999999997</v>
      </c>
      <c r="Y63" s="1"/>
      <c r="Z63" s="5">
        <f t="shared" si="43"/>
        <v>0.36345040946314827</v>
      </c>
    </row>
    <row r="64" spans="1:26" s="24" customFormat="1" hidden="1" outlineLevel="2" x14ac:dyDescent="0.3">
      <c r="A64" s="27"/>
      <c r="B64" s="11" t="str">
        <f>CONCATENATE("          ", "6351", " - ", "EQUIPMENT RENTAL")</f>
        <v xml:space="preserve">          6351 - EQUIPMENT RENTAL</v>
      </c>
      <c r="C64" s="11"/>
      <c r="D64" s="7">
        <v>1351.46</v>
      </c>
      <c r="E64" s="2"/>
      <c r="F64" s="6">
        <f t="shared" si="36"/>
        <v>2.0892632005689274E-3</v>
      </c>
      <c r="G64" s="2"/>
      <c r="H64" s="7">
        <v>1570</v>
      </c>
      <c r="I64" s="2"/>
      <c r="J64" s="6">
        <f t="shared" si="37"/>
        <v>2.6384381790407175E-3</v>
      </c>
      <c r="K64" s="2"/>
      <c r="L64" s="7">
        <f t="shared" si="38"/>
        <v>-218.53999999999996</v>
      </c>
      <c r="M64" s="2"/>
      <c r="N64" s="6">
        <f t="shared" si="39"/>
        <v>-0.13919745222929933</v>
      </c>
      <c r="O64" s="11"/>
      <c r="P64" s="7">
        <v>14984.32</v>
      </c>
      <c r="Q64" s="2"/>
      <c r="R64" s="6">
        <f t="shared" si="40"/>
        <v>2.1318711354329687E-3</v>
      </c>
      <c r="S64" s="2"/>
      <c r="T64" s="7">
        <v>10990</v>
      </c>
      <c r="U64" s="2"/>
      <c r="V64" s="6">
        <f t="shared" si="41"/>
        <v>1.9587235111161571E-3</v>
      </c>
      <c r="W64" s="2"/>
      <c r="X64" s="7">
        <f t="shared" si="42"/>
        <v>3994.3199999999997</v>
      </c>
      <c r="Y64" s="2"/>
      <c r="Z64" s="6">
        <f t="shared" si="43"/>
        <v>0.36345040946314827</v>
      </c>
    </row>
    <row r="65" spans="1:26" s="28" customFormat="1" outlineLevel="1" collapsed="1" x14ac:dyDescent="0.3">
      <c r="A65" s="29"/>
      <c r="B65" s="14" t="str">
        <f>CONCATENATE("     ","General                                           ")</f>
        <v xml:space="preserve">     General                                           </v>
      </c>
      <c r="C65" s="14"/>
      <c r="D65" s="1">
        <f>SUM(OSRRefD22_9x_0)</f>
        <v>1981.68</v>
      </c>
      <c r="E65" s="1"/>
      <c r="F65" s="5">
        <f t="shared" si="36"/>
        <v>3.0635395049083448E-3</v>
      </c>
      <c r="G65" s="1"/>
      <c r="H65" s="1">
        <f>SUM(OSRRefH22_9x_0)</f>
        <v>780</v>
      </c>
      <c r="I65" s="1"/>
      <c r="J65" s="5">
        <f t="shared" si="37"/>
        <v>1.3108164201603566E-3</v>
      </c>
      <c r="K65" s="1"/>
      <c r="L65" s="1">
        <f t="shared" si="38"/>
        <v>1201.68</v>
      </c>
      <c r="M65" s="1"/>
      <c r="N65" s="5">
        <f t="shared" si="39"/>
        <v>1.5406153846153847</v>
      </c>
      <c r="O65" s="14"/>
      <c r="P65" s="1">
        <f>SUM(OSRRefP22_9x_0)</f>
        <v>27954.65</v>
      </c>
      <c r="Q65" s="1"/>
      <c r="R65" s="5">
        <f t="shared" si="40"/>
        <v>3.9772049339663884E-3</v>
      </c>
      <c r="S65" s="1"/>
      <c r="T65" s="1">
        <f>SUM(OSRRefT22_9x_0)</f>
        <v>14100</v>
      </c>
      <c r="U65" s="1"/>
      <c r="V65" s="5">
        <f t="shared" si="41"/>
        <v>2.5130119660361975E-3</v>
      </c>
      <c r="W65" s="1"/>
      <c r="X65" s="1">
        <f t="shared" si="42"/>
        <v>13854.650000000001</v>
      </c>
      <c r="Y65" s="1"/>
      <c r="Z65" s="5">
        <f t="shared" si="43"/>
        <v>0.98259929078014197</v>
      </c>
    </row>
    <row r="66" spans="1:26" s="24" customFormat="1" hidden="1" outlineLevel="2" x14ac:dyDescent="0.3">
      <c r="A66" s="27"/>
      <c r="B66" s="11" t="str">
        <f>CONCATENATE("          ", "6269", " - ", "ENTERTAINMENT")</f>
        <v xml:space="preserve">          6269 - ENTERTAINMENT</v>
      </c>
      <c r="C66" s="11"/>
      <c r="D66" s="7"/>
      <c r="E66" s="2"/>
      <c r="F66" s="6">
        <f t="shared" si="36"/>
        <v>0</v>
      </c>
      <c r="G66" s="2"/>
      <c r="H66" s="7">
        <v>250</v>
      </c>
      <c r="I66" s="2"/>
      <c r="J66" s="6">
        <f t="shared" si="37"/>
        <v>4.201334680001143E-4</v>
      </c>
      <c r="K66" s="2"/>
      <c r="L66" s="7">
        <f t="shared" si="38"/>
        <v>-250</v>
      </c>
      <c r="M66" s="2"/>
      <c r="N66" s="6">
        <f t="shared" si="39"/>
        <v>-1</v>
      </c>
      <c r="O66" s="11"/>
      <c r="P66" s="7"/>
      <c r="Q66" s="2"/>
      <c r="R66" s="6">
        <f t="shared" si="40"/>
        <v>0</v>
      </c>
      <c r="S66" s="2"/>
      <c r="T66" s="7">
        <v>250</v>
      </c>
      <c r="U66" s="2"/>
      <c r="V66" s="6">
        <f t="shared" si="41"/>
        <v>4.4556949752414855E-5</v>
      </c>
      <c r="W66" s="2"/>
      <c r="X66" s="7">
        <f t="shared" si="42"/>
        <v>-250</v>
      </c>
      <c r="Y66" s="2"/>
      <c r="Z66" s="6">
        <f t="shared" si="43"/>
        <v>-1</v>
      </c>
    </row>
    <row r="67" spans="1:26" s="24" customFormat="1" hidden="1" outlineLevel="2" x14ac:dyDescent="0.3">
      <c r="A67" s="27"/>
      <c r="B67" s="11" t="str">
        <f>CONCATENATE("          ", "6279", " - ", "GENERAL EXPENSE")</f>
        <v xml:space="preserve">          6279 - GENERAL EXPENSE</v>
      </c>
      <c r="C67" s="11"/>
      <c r="D67" s="7">
        <v>1981.68</v>
      </c>
      <c r="E67" s="2"/>
      <c r="F67" s="6">
        <f t="shared" si="36"/>
        <v>3.0635395049083448E-3</v>
      </c>
      <c r="G67" s="2"/>
      <c r="H67" s="7">
        <v>530</v>
      </c>
      <c r="I67" s="2"/>
      <c r="J67" s="6">
        <f t="shared" si="37"/>
        <v>8.9068295216024232E-4</v>
      </c>
      <c r="K67" s="2"/>
      <c r="L67" s="7">
        <f t="shared" si="38"/>
        <v>1451.68</v>
      </c>
      <c r="M67" s="2"/>
      <c r="N67" s="6">
        <f t="shared" si="39"/>
        <v>2.7390188679245284</v>
      </c>
      <c r="O67" s="11"/>
      <c r="P67" s="7">
        <v>27954.65</v>
      </c>
      <c r="Q67" s="2"/>
      <c r="R67" s="6">
        <f t="shared" si="40"/>
        <v>3.9772049339663884E-3</v>
      </c>
      <c r="S67" s="2"/>
      <c r="T67" s="7">
        <v>13850</v>
      </c>
      <c r="U67" s="2"/>
      <c r="V67" s="6">
        <f t="shared" si="41"/>
        <v>2.468455016283783E-3</v>
      </c>
      <c r="W67" s="2"/>
      <c r="X67" s="7">
        <f t="shared" si="42"/>
        <v>14104.650000000001</v>
      </c>
      <c r="Y67" s="2"/>
      <c r="Z67" s="6">
        <f t="shared" si="43"/>
        <v>1.0183862815884477</v>
      </c>
    </row>
    <row r="68" spans="1:26" s="28" customFormat="1" outlineLevel="1" collapsed="1" x14ac:dyDescent="0.3">
      <c r="A68" s="29"/>
      <c r="B68" s="14" t="str">
        <f>CONCATENATE("     ","Insurance                                         ")</f>
        <v xml:space="preserve">     Insurance                                         </v>
      </c>
      <c r="C68" s="14"/>
      <c r="D68" s="1">
        <f>SUM(OSRRefD22_10x_0)</f>
        <v>5761.42</v>
      </c>
      <c r="E68" s="1"/>
      <c r="F68" s="5">
        <f t="shared" ref="F68:F80" si="44">IF(D$12=0,0,D68/D$12)</f>
        <v>8.906754760793386E-3</v>
      </c>
      <c r="G68" s="1"/>
      <c r="H68" s="1">
        <f>SUM(OSRRefH22_10x_0)</f>
        <v>5680</v>
      </c>
      <c r="I68" s="1"/>
      <c r="J68" s="5">
        <f t="shared" ref="J68:J80" si="45">IF(H$12=0,0,H68/H$12)</f>
        <v>9.545432392962596E-3</v>
      </c>
      <c r="K68" s="1"/>
      <c r="L68" s="1">
        <f t="shared" ref="L68:L80" si="46">+D68-H68</f>
        <v>81.420000000000073</v>
      </c>
      <c r="M68" s="1"/>
      <c r="N68" s="5">
        <f t="shared" ref="N68:N80" si="47">IF(H68=0,0,L68/H68)</f>
        <v>1.4334507042253534E-2</v>
      </c>
      <c r="O68" s="14"/>
      <c r="P68" s="1">
        <f>SUM(OSRRefP22_10x_0)</f>
        <v>47212.95</v>
      </c>
      <c r="Q68" s="1"/>
      <c r="R68" s="5">
        <f t="shared" ref="R68:R80" si="48">IF(P$12=0,0,P68/P$12)</f>
        <v>6.7171500157257695E-3</v>
      </c>
      <c r="S68" s="1"/>
      <c r="T68" s="1">
        <f>SUM(OSRRefT22_10x_0)</f>
        <v>39760</v>
      </c>
      <c r="U68" s="1"/>
      <c r="V68" s="5">
        <f t="shared" ref="V68:V80" si="49">IF(T$12=0,0,T68/T$12)</f>
        <v>7.0863372886240585E-3</v>
      </c>
      <c r="W68" s="1"/>
      <c r="X68" s="1">
        <f t="shared" ref="X68:X80" si="50">+P68-T68</f>
        <v>7452.9499999999971</v>
      </c>
      <c r="Y68" s="1"/>
      <c r="Z68" s="5">
        <f t="shared" ref="Z68:Z80" si="51">IF(T68=0,0,X68/T68)</f>
        <v>0.1874484406438631</v>
      </c>
    </row>
    <row r="69" spans="1:26" s="24" customFormat="1" hidden="1" outlineLevel="2" x14ac:dyDescent="0.3">
      <c r="A69" s="27"/>
      <c r="B69" s="11" t="str">
        <f>CONCATENATE("          ", "6314", " - ", "LIABILITY INSURANCE")</f>
        <v xml:space="preserve">          6314 - LIABILITY INSURANCE</v>
      </c>
      <c r="C69" s="11"/>
      <c r="D69" s="7">
        <v>5761.42</v>
      </c>
      <c r="E69" s="2"/>
      <c r="F69" s="6">
        <f t="shared" si="44"/>
        <v>8.906754760793386E-3</v>
      </c>
      <c r="G69" s="2"/>
      <c r="H69" s="7">
        <v>5680</v>
      </c>
      <c r="I69" s="2"/>
      <c r="J69" s="6">
        <f t="shared" si="45"/>
        <v>9.545432392962596E-3</v>
      </c>
      <c r="K69" s="2"/>
      <c r="L69" s="7">
        <f t="shared" si="46"/>
        <v>81.420000000000073</v>
      </c>
      <c r="M69" s="2"/>
      <c r="N69" s="6">
        <f t="shared" si="47"/>
        <v>1.4334507042253534E-2</v>
      </c>
      <c r="O69" s="11"/>
      <c r="P69" s="7">
        <v>47212.95</v>
      </c>
      <c r="Q69" s="2"/>
      <c r="R69" s="6">
        <f t="shared" si="48"/>
        <v>6.7171500157257695E-3</v>
      </c>
      <c r="S69" s="2"/>
      <c r="T69" s="7">
        <v>39760</v>
      </c>
      <c r="U69" s="2"/>
      <c r="V69" s="6">
        <f t="shared" si="49"/>
        <v>7.0863372886240585E-3</v>
      </c>
      <c r="W69" s="2"/>
      <c r="X69" s="7">
        <f t="shared" si="50"/>
        <v>7452.9499999999971</v>
      </c>
      <c r="Y69" s="2"/>
      <c r="Z69" s="6">
        <f t="shared" si="51"/>
        <v>0.1874484406438631</v>
      </c>
    </row>
    <row r="70" spans="1:26" s="28" customFormat="1" outlineLevel="1" collapsed="1" x14ac:dyDescent="0.3">
      <c r="A70" s="29"/>
      <c r="B70" s="14" t="str">
        <f>CONCATENATE("     ","Interest                                          ")</f>
        <v xml:space="preserve">     Interest                                          </v>
      </c>
      <c r="C70" s="14"/>
      <c r="D70" s="1">
        <f>SUM(OSRRefD22_11x_0)</f>
        <v>7253</v>
      </c>
      <c r="E70" s="1"/>
      <c r="F70" s="5">
        <f t="shared" si="44"/>
        <v>1.1212633739604893E-2</v>
      </c>
      <c r="G70" s="1"/>
      <c r="H70" s="1">
        <f>SUM(OSRRefH22_11x_0)</f>
        <v>7253</v>
      </c>
      <c r="I70" s="1"/>
      <c r="J70" s="5">
        <f t="shared" si="45"/>
        <v>1.2188912173619315E-2</v>
      </c>
      <c r="K70" s="1"/>
      <c r="L70" s="1">
        <f t="shared" si="46"/>
        <v>0</v>
      </c>
      <c r="M70" s="1"/>
      <c r="N70" s="5">
        <f t="shared" si="47"/>
        <v>0</v>
      </c>
      <c r="O70" s="14"/>
      <c r="P70" s="1">
        <f>SUM(OSRRefP22_11x_0)</f>
        <v>50257</v>
      </c>
      <c r="Q70" s="1"/>
      <c r="R70" s="5">
        <f t="shared" si="48"/>
        <v>7.150237558558193E-3</v>
      </c>
      <c r="S70" s="1"/>
      <c r="T70" s="1">
        <f>SUM(OSRRefT22_11x_0)</f>
        <v>50771</v>
      </c>
      <c r="U70" s="1"/>
      <c r="V70" s="5">
        <f t="shared" si="49"/>
        <v>9.0488035835194179E-3</v>
      </c>
      <c r="W70" s="1"/>
      <c r="X70" s="1">
        <f t="shared" si="50"/>
        <v>-514</v>
      </c>
      <c r="Y70" s="1"/>
      <c r="Z70" s="5">
        <f t="shared" si="51"/>
        <v>-1.0123889622028323E-2</v>
      </c>
    </row>
    <row r="71" spans="1:26" s="24" customFormat="1" hidden="1" outlineLevel="2" x14ac:dyDescent="0.3">
      <c r="A71" s="27"/>
      <c r="B71" s="11" t="str">
        <f>CONCATENATE("          ", "6401", " - ", "INTEREST EXPENSE")</f>
        <v xml:space="preserve">          6401 - INTEREST EXPENSE</v>
      </c>
      <c r="C71" s="11"/>
      <c r="D71" s="7">
        <v>7253</v>
      </c>
      <c r="E71" s="2"/>
      <c r="F71" s="6">
        <f t="shared" si="44"/>
        <v>1.1212633739604893E-2</v>
      </c>
      <c r="G71" s="2"/>
      <c r="H71" s="7">
        <v>7253</v>
      </c>
      <c r="I71" s="2"/>
      <c r="J71" s="6">
        <f t="shared" si="45"/>
        <v>1.2188912173619315E-2</v>
      </c>
      <c r="K71" s="2"/>
      <c r="L71" s="7">
        <f t="shared" si="46"/>
        <v>0</v>
      </c>
      <c r="M71" s="2"/>
      <c r="N71" s="6">
        <f t="shared" si="47"/>
        <v>0</v>
      </c>
      <c r="O71" s="11"/>
      <c r="P71" s="7">
        <v>50257</v>
      </c>
      <c r="Q71" s="2"/>
      <c r="R71" s="6">
        <f t="shared" si="48"/>
        <v>7.150237558558193E-3</v>
      </c>
      <c r="S71" s="2"/>
      <c r="T71" s="7">
        <v>50771</v>
      </c>
      <c r="U71" s="2"/>
      <c r="V71" s="6">
        <f t="shared" si="49"/>
        <v>9.0488035835194179E-3</v>
      </c>
      <c r="W71" s="2"/>
      <c r="X71" s="7">
        <f t="shared" si="50"/>
        <v>-514</v>
      </c>
      <c r="Y71" s="2"/>
      <c r="Z71" s="6">
        <f t="shared" si="51"/>
        <v>-1.0123889622028323E-2</v>
      </c>
    </row>
    <row r="72" spans="1:26" s="28" customFormat="1" outlineLevel="1" collapsed="1" x14ac:dyDescent="0.3">
      <c r="A72" s="29"/>
      <c r="B72" s="14" t="str">
        <f>CONCATENATE("     ","R/H Commissions                                   ")</f>
        <v xml:space="preserve">     R/H Commissions                                   </v>
      </c>
      <c r="C72" s="14"/>
      <c r="D72" s="1">
        <f>SUM(OSRRefD22_12x_0)</f>
        <v>49958.66</v>
      </c>
      <c r="E72" s="1"/>
      <c r="F72" s="5">
        <f t="shared" si="44"/>
        <v>7.7232615014676612E-2</v>
      </c>
      <c r="G72" s="1"/>
      <c r="H72" s="1">
        <f>SUM(OSRRefH22_12x_0)</f>
        <v>35482</v>
      </c>
      <c r="I72" s="1"/>
      <c r="J72" s="5">
        <f t="shared" si="45"/>
        <v>5.9628702846320221E-2</v>
      </c>
      <c r="K72" s="1"/>
      <c r="L72" s="1">
        <f t="shared" si="46"/>
        <v>14476.660000000003</v>
      </c>
      <c r="M72" s="1"/>
      <c r="N72" s="5">
        <f t="shared" si="47"/>
        <v>0.40800011273321696</v>
      </c>
      <c r="O72" s="14"/>
      <c r="P72" s="1">
        <f>SUM(OSRRefP22_12x_0)</f>
        <v>499627.4</v>
      </c>
      <c r="Q72" s="1"/>
      <c r="R72" s="5">
        <f t="shared" si="48"/>
        <v>7.1083721685830395E-2</v>
      </c>
      <c r="S72" s="1"/>
      <c r="T72" s="1">
        <f>SUM(OSRRefT22_12x_0)</f>
        <v>394589</v>
      </c>
      <c r="U72" s="1"/>
      <c r="V72" s="5">
        <f t="shared" si="49"/>
        <v>7.0326728983422501E-2</v>
      </c>
      <c r="W72" s="1"/>
      <c r="X72" s="1">
        <f t="shared" si="50"/>
        <v>105038.40000000002</v>
      </c>
      <c r="Y72" s="1"/>
      <c r="Z72" s="5">
        <f t="shared" si="51"/>
        <v>0.2661969796421087</v>
      </c>
    </row>
    <row r="73" spans="1:26" s="24" customFormat="1" hidden="1" outlineLevel="2" x14ac:dyDescent="0.3">
      <c r="A73" s="27"/>
      <c r="B73" s="11" t="str">
        <f>CONCATENATE("          ", "6387", " - ", "COMMISSION DUE HOUSING")</f>
        <v xml:space="preserve">          6387 - COMMISSION DUE HOUSING</v>
      </c>
      <c r="C73" s="11"/>
      <c r="D73" s="7">
        <v>49958.66</v>
      </c>
      <c r="E73" s="2"/>
      <c r="F73" s="6">
        <f t="shared" si="44"/>
        <v>7.7232615014676612E-2</v>
      </c>
      <c r="G73" s="2"/>
      <c r="H73" s="7">
        <v>35482</v>
      </c>
      <c r="I73" s="2"/>
      <c r="J73" s="6">
        <f t="shared" si="45"/>
        <v>5.9628702846320221E-2</v>
      </c>
      <c r="K73" s="2"/>
      <c r="L73" s="7">
        <f t="shared" si="46"/>
        <v>14476.660000000003</v>
      </c>
      <c r="M73" s="2"/>
      <c r="N73" s="6">
        <f t="shared" si="47"/>
        <v>0.40800011273321696</v>
      </c>
      <c r="O73" s="11"/>
      <c r="P73" s="7">
        <v>499627.4</v>
      </c>
      <c r="Q73" s="2"/>
      <c r="R73" s="6">
        <f t="shared" si="48"/>
        <v>7.1083721685830395E-2</v>
      </c>
      <c r="S73" s="2"/>
      <c r="T73" s="7">
        <v>394589</v>
      </c>
      <c r="U73" s="2"/>
      <c r="V73" s="6">
        <f t="shared" si="49"/>
        <v>7.0326728983422501E-2</v>
      </c>
      <c r="W73" s="2"/>
      <c r="X73" s="7">
        <f t="shared" si="50"/>
        <v>105038.40000000002</v>
      </c>
      <c r="Y73" s="2"/>
      <c r="Z73" s="6">
        <f t="shared" si="51"/>
        <v>0.2661969796421087</v>
      </c>
    </row>
    <row r="74" spans="1:26" s="28" customFormat="1" outlineLevel="1" collapsed="1" x14ac:dyDescent="0.3">
      <c r="A74" s="29"/>
      <c r="B74" s="14" t="str">
        <f>CONCATENATE("     ","Rent                                              ")</f>
        <v xml:space="preserve">     Rent                                              </v>
      </c>
      <c r="C74" s="14"/>
      <c r="D74" s="1">
        <f>SUM(OSRRefD22_13x_0)</f>
        <v>1850</v>
      </c>
      <c r="E74" s="1"/>
      <c r="F74" s="5">
        <f t="shared" si="44"/>
        <v>2.859971379879919E-3</v>
      </c>
      <c r="G74" s="1"/>
      <c r="H74" s="1">
        <f>SUM(OSRRefH22_13x_0)</f>
        <v>1850</v>
      </c>
      <c r="I74" s="1"/>
      <c r="J74" s="5">
        <f t="shared" si="45"/>
        <v>3.1089876632008455E-3</v>
      </c>
      <c r="K74" s="1"/>
      <c r="L74" s="1">
        <f t="shared" si="46"/>
        <v>0</v>
      </c>
      <c r="M74" s="1"/>
      <c r="N74" s="5">
        <f t="shared" si="47"/>
        <v>0</v>
      </c>
      <c r="O74" s="14"/>
      <c r="P74" s="1">
        <f>SUM(OSRRefP22_13x_0)</f>
        <v>12950</v>
      </c>
      <c r="Q74" s="1"/>
      <c r="R74" s="5">
        <f t="shared" si="48"/>
        <v>1.8424413789786219E-3</v>
      </c>
      <c r="S74" s="1"/>
      <c r="T74" s="1">
        <f>SUM(OSRRefT22_13x_0)</f>
        <v>12950</v>
      </c>
      <c r="U74" s="1"/>
      <c r="V74" s="5">
        <f t="shared" si="49"/>
        <v>2.3080499971750894E-3</v>
      </c>
      <c r="W74" s="1"/>
      <c r="X74" s="1">
        <f t="shared" si="50"/>
        <v>0</v>
      </c>
      <c r="Y74" s="1"/>
      <c r="Z74" s="5">
        <f t="shared" si="51"/>
        <v>0</v>
      </c>
    </row>
    <row r="75" spans="1:26" s="24" customFormat="1" hidden="1" outlineLevel="2" x14ac:dyDescent="0.3">
      <c r="A75" s="27"/>
      <c r="B75" s="11" t="str">
        <f>CONCATENATE("          ", "6273", " - ", "RENT")</f>
        <v xml:space="preserve">          6273 - RENT</v>
      </c>
      <c r="C75" s="11"/>
      <c r="D75" s="7">
        <v>1850</v>
      </c>
      <c r="E75" s="2"/>
      <c r="F75" s="6">
        <f t="shared" si="44"/>
        <v>2.859971379879919E-3</v>
      </c>
      <c r="G75" s="2"/>
      <c r="H75" s="7">
        <v>1850</v>
      </c>
      <c r="I75" s="2"/>
      <c r="J75" s="6">
        <f t="shared" si="45"/>
        <v>3.1089876632008455E-3</v>
      </c>
      <c r="K75" s="2"/>
      <c r="L75" s="7">
        <f t="shared" si="46"/>
        <v>0</v>
      </c>
      <c r="M75" s="2"/>
      <c r="N75" s="6">
        <f t="shared" si="47"/>
        <v>0</v>
      </c>
      <c r="O75" s="11"/>
      <c r="P75" s="7">
        <v>12950</v>
      </c>
      <c r="Q75" s="2"/>
      <c r="R75" s="6">
        <f t="shared" si="48"/>
        <v>1.8424413789786219E-3</v>
      </c>
      <c r="S75" s="2"/>
      <c r="T75" s="7">
        <v>12950</v>
      </c>
      <c r="U75" s="2"/>
      <c r="V75" s="6">
        <f t="shared" si="49"/>
        <v>2.3080499971750894E-3</v>
      </c>
      <c r="W75" s="2"/>
      <c r="X75" s="7">
        <f t="shared" si="50"/>
        <v>0</v>
      </c>
      <c r="Y75" s="2"/>
      <c r="Z75" s="6">
        <f t="shared" si="51"/>
        <v>0</v>
      </c>
    </row>
    <row r="76" spans="1:26" s="28" customFormat="1" outlineLevel="1" collapsed="1" x14ac:dyDescent="0.3">
      <c r="A76" s="29"/>
      <c r="B76" s="14" t="str">
        <f>CONCATENATE("     ","Repair and Maintenance                            ")</f>
        <v xml:space="preserve">     Repair and Maintenance                            </v>
      </c>
      <c r="C76" s="14"/>
      <c r="D76" s="1">
        <f>SUM(OSRRefD22_14x_0)</f>
        <v>7973.2000000000007</v>
      </c>
      <c r="E76" s="1"/>
      <c r="F76" s="5">
        <f t="shared" si="44"/>
        <v>1.2326012868139769E-2</v>
      </c>
      <c r="G76" s="1"/>
      <c r="H76" s="1">
        <f>SUM(OSRRefH22_14x_0)</f>
        <v>18716</v>
      </c>
      <c r="I76" s="1"/>
      <c r="J76" s="5">
        <f t="shared" si="45"/>
        <v>3.1452871948360557E-2</v>
      </c>
      <c r="K76" s="1"/>
      <c r="L76" s="1">
        <f t="shared" si="46"/>
        <v>-10742.8</v>
      </c>
      <c r="M76" s="1"/>
      <c r="N76" s="5">
        <f t="shared" si="47"/>
        <v>-0.57399016883949561</v>
      </c>
      <c r="O76" s="14"/>
      <c r="P76" s="1">
        <f>SUM(OSRRefP22_14x_0)</f>
        <v>87355.98</v>
      </c>
      <c r="Q76" s="1"/>
      <c r="R76" s="5">
        <f t="shared" si="48"/>
        <v>1.2428438011832348E-2</v>
      </c>
      <c r="S76" s="1"/>
      <c r="T76" s="1">
        <f>SUM(OSRRefT22_14x_0)</f>
        <v>75280</v>
      </c>
      <c r="U76" s="1"/>
      <c r="V76" s="5">
        <f t="shared" si="49"/>
        <v>1.341698870944716E-2</v>
      </c>
      <c r="W76" s="1"/>
      <c r="X76" s="1">
        <f t="shared" si="50"/>
        <v>12075.979999999996</v>
      </c>
      <c r="Y76" s="1"/>
      <c r="Z76" s="5">
        <f t="shared" si="51"/>
        <v>0.16041418703506902</v>
      </c>
    </row>
    <row r="77" spans="1:26" s="24" customFormat="1" hidden="1" outlineLevel="2" x14ac:dyDescent="0.3">
      <c r="A77" s="27"/>
      <c r="B77" s="11" t="str">
        <f>CONCATENATE("          ", "6371", " - ", "COMPUTER SOFTWARE MAINTENANCE")</f>
        <v xml:space="preserve">          6371 - COMPUTER SOFTWARE MAINTENANCE</v>
      </c>
      <c r="C77" s="11"/>
      <c r="D77" s="7">
        <v>3981.09</v>
      </c>
      <c r="E77" s="2"/>
      <c r="F77" s="6">
        <f t="shared" si="44"/>
        <v>6.154488357149269E-3</v>
      </c>
      <c r="G77" s="2"/>
      <c r="H77" s="7">
        <v>3500</v>
      </c>
      <c r="I77" s="2"/>
      <c r="J77" s="6">
        <f t="shared" si="45"/>
        <v>5.8818685520016E-3</v>
      </c>
      <c r="K77" s="2"/>
      <c r="L77" s="7">
        <f t="shared" si="46"/>
        <v>481.09000000000015</v>
      </c>
      <c r="M77" s="2"/>
      <c r="N77" s="6">
        <f t="shared" si="47"/>
        <v>0.13745428571428575</v>
      </c>
      <c r="O77" s="11"/>
      <c r="P77" s="7">
        <v>31317.17</v>
      </c>
      <c r="Q77" s="2"/>
      <c r="R77" s="6">
        <f t="shared" si="48"/>
        <v>4.4556023073751292E-3</v>
      </c>
      <c r="S77" s="2"/>
      <c r="T77" s="7">
        <v>24500</v>
      </c>
      <c r="U77" s="2"/>
      <c r="V77" s="6">
        <f t="shared" si="49"/>
        <v>4.3665810757366552E-3</v>
      </c>
      <c r="W77" s="2"/>
      <c r="X77" s="7">
        <f t="shared" si="50"/>
        <v>6817.1699999999983</v>
      </c>
      <c r="Y77" s="2"/>
      <c r="Z77" s="6">
        <f t="shared" si="51"/>
        <v>0.27825183673469378</v>
      </c>
    </row>
    <row r="78" spans="1:26" s="24" customFormat="1" hidden="1" outlineLevel="2" x14ac:dyDescent="0.3">
      <c r="A78" s="27"/>
      <c r="B78" s="11" t="str">
        <f>CONCATENATE("          ", "6372", " - ", "COMPUTER HARDWARE MAINTENANCE")</f>
        <v xml:space="preserve">          6372 - COMPUTER HARDWARE MAINTENANCE</v>
      </c>
      <c r="C78" s="11"/>
      <c r="D78" s="7"/>
      <c r="E78" s="2"/>
      <c r="F78" s="6">
        <f t="shared" si="44"/>
        <v>0</v>
      </c>
      <c r="G78" s="2"/>
      <c r="H78" s="7">
        <v>8000</v>
      </c>
      <c r="I78" s="2"/>
      <c r="J78" s="6">
        <f t="shared" si="45"/>
        <v>1.3444270976003658E-2</v>
      </c>
      <c r="K78" s="2"/>
      <c r="L78" s="7">
        <f t="shared" si="46"/>
        <v>-8000</v>
      </c>
      <c r="M78" s="2"/>
      <c r="N78" s="6">
        <f t="shared" si="47"/>
        <v>-1</v>
      </c>
      <c r="O78" s="11"/>
      <c r="P78" s="7"/>
      <c r="Q78" s="2"/>
      <c r="R78" s="6">
        <f t="shared" si="48"/>
        <v>0</v>
      </c>
      <c r="S78" s="2"/>
      <c r="T78" s="7">
        <v>8000</v>
      </c>
      <c r="U78" s="2"/>
      <c r="V78" s="6">
        <f t="shared" si="49"/>
        <v>1.4258223920772754E-3</v>
      </c>
      <c r="W78" s="2"/>
      <c r="X78" s="7">
        <f t="shared" si="50"/>
        <v>-8000</v>
      </c>
      <c r="Y78" s="2"/>
      <c r="Z78" s="6">
        <f t="shared" si="51"/>
        <v>-1</v>
      </c>
    </row>
    <row r="79" spans="1:26" s="24" customFormat="1" hidden="1" outlineLevel="2" x14ac:dyDescent="0.3">
      <c r="A79" s="27"/>
      <c r="B79" s="11" t="str">
        <f>CONCATENATE("          ", "6373", " - ", "MAINTENANCE CONTRACTS")</f>
        <v xml:space="preserve">          6373 - MAINTENANCE CONTRACTS</v>
      </c>
      <c r="C79" s="11"/>
      <c r="D79" s="7">
        <v>2639.86</v>
      </c>
      <c r="E79" s="2"/>
      <c r="F79" s="6">
        <f t="shared" si="44"/>
        <v>4.0810400253458393E-3</v>
      </c>
      <c r="G79" s="2"/>
      <c r="H79" s="7">
        <v>4530</v>
      </c>
      <c r="I79" s="2"/>
      <c r="J79" s="6">
        <f t="shared" si="45"/>
        <v>7.6128184401620703E-3</v>
      </c>
      <c r="K79" s="2"/>
      <c r="L79" s="7">
        <f t="shared" si="46"/>
        <v>-1890.1399999999999</v>
      </c>
      <c r="M79" s="2"/>
      <c r="N79" s="6">
        <f t="shared" si="47"/>
        <v>-0.4172494481236203</v>
      </c>
      <c r="O79" s="11"/>
      <c r="P79" s="7">
        <v>14351.88</v>
      </c>
      <c r="Q79" s="2"/>
      <c r="R79" s="6">
        <f t="shared" si="48"/>
        <v>2.041891704875344E-3</v>
      </c>
      <c r="S79" s="2"/>
      <c r="T79" s="7">
        <v>15215</v>
      </c>
      <c r="U79" s="2"/>
      <c r="V79" s="6">
        <f t="shared" si="49"/>
        <v>2.7117359619319679E-3</v>
      </c>
      <c r="W79" s="2"/>
      <c r="X79" s="7">
        <f t="shared" si="50"/>
        <v>-863.1200000000008</v>
      </c>
      <c r="Y79" s="2"/>
      <c r="Z79" s="6">
        <f t="shared" si="51"/>
        <v>-5.672822872165631E-2</v>
      </c>
    </row>
    <row r="80" spans="1:26" s="24" customFormat="1" hidden="1" outlineLevel="2" x14ac:dyDescent="0.3">
      <c r="A80" s="27"/>
      <c r="B80" s="11" t="str">
        <f>CONCATENATE("          ", "6375", " - ", "OUTSIDE REPAIRS &amp; MAINTENANCE")</f>
        <v xml:space="preserve">          6375 - OUTSIDE REPAIRS &amp; MAINTENANCE</v>
      </c>
      <c r="C80" s="11"/>
      <c r="D80" s="7">
        <v>1352.25</v>
      </c>
      <c r="E80" s="2"/>
      <c r="F80" s="6">
        <f t="shared" si="44"/>
        <v>2.0904844856446596E-3</v>
      </c>
      <c r="G80" s="2"/>
      <c r="H80" s="7">
        <v>2686</v>
      </c>
      <c r="I80" s="2"/>
      <c r="J80" s="6">
        <f t="shared" si="45"/>
        <v>4.5139139801932274E-3</v>
      </c>
      <c r="K80" s="2"/>
      <c r="L80" s="7">
        <f t="shared" si="46"/>
        <v>-1333.75</v>
      </c>
      <c r="M80" s="2"/>
      <c r="N80" s="6">
        <f t="shared" si="47"/>
        <v>-0.49655621742367834</v>
      </c>
      <c r="O80" s="11"/>
      <c r="P80" s="7">
        <v>41686.93</v>
      </c>
      <c r="Q80" s="2"/>
      <c r="R80" s="6">
        <f t="shared" si="48"/>
        <v>5.9309439995818749E-3</v>
      </c>
      <c r="S80" s="2"/>
      <c r="T80" s="7">
        <v>27565</v>
      </c>
      <c r="U80" s="2"/>
      <c r="V80" s="6">
        <f t="shared" si="49"/>
        <v>4.9128492797012617E-3</v>
      </c>
      <c r="W80" s="2"/>
      <c r="X80" s="7">
        <f t="shared" si="50"/>
        <v>14121.93</v>
      </c>
      <c r="Y80" s="2"/>
      <c r="Z80" s="6">
        <f t="shared" si="51"/>
        <v>0.5123138037366225</v>
      </c>
    </row>
    <row r="81" spans="1:26" s="28" customFormat="1" outlineLevel="1" collapsed="1" x14ac:dyDescent="0.3">
      <c r="A81" s="29"/>
      <c r="B81" s="14" t="str">
        <f>CONCATENATE("     ","Royalty &amp; Commissions                             ")</f>
        <v xml:space="preserve">     Royalty &amp; Commissions                             </v>
      </c>
      <c r="C81" s="14"/>
      <c r="D81" s="1">
        <f>SUM(OSRRefD22_15x_0)</f>
        <v>0</v>
      </c>
      <c r="E81" s="1"/>
      <c r="F81" s="5">
        <f t="shared" ref="F81:F88" si="52">IF(D$12=0,0,D81/D$12)</f>
        <v>0</v>
      </c>
      <c r="G81" s="1"/>
      <c r="H81" s="1">
        <f>SUM(OSRRefH22_15x_0)</f>
        <v>0</v>
      </c>
      <c r="I81" s="1"/>
      <c r="J81" s="5">
        <f t="shared" ref="J81:J88" si="53">IF(H$12=0,0,H81/H$12)</f>
        <v>0</v>
      </c>
      <c r="K81" s="1"/>
      <c r="L81" s="1">
        <f t="shared" ref="L81:L88" si="54">+D81-H81</f>
        <v>0</v>
      </c>
      <c r="M81" s="1"/>
      <c r="N81" s="5">
        <f t="shared" ref="N81:N88" si="55">IF(H81=0,0,L81/H81)</f>
        <v>0</v>
      </c>
      <c r="O81" s="14"/>
      <c r="P81" s="1">
        <f>SUM(OSRRefP22_15x_0)</f>
        <v>1844.91</v>
      </c>
      <c r="Q81" s="1"/>
      <c r="R81" s="5">
        <f t="shared" ref="R81:R88" si="56">IF(P$12=0,0,P81/P$12)</f>
        <v>2.6248173934296907E-4</v>
      </c>
      <c r="S81" s="1"/>
      <c r="T81" s="1">
        <f>SUM(OSRRefT22_15x_0)</f>
        <v>0</v>
      </c>
      <c r="U81" s="1"/>
      <c r="V81" s="5">
        <f t="shared" ref="V81:V88" si="57">IF(T$12=0,0,T81/T$12)</f>
        <v>0</v>
      </c>
      <c r="W81" s="1"/>
      <c r="X81" s="1">
        <f t="shared" ref="X81:X88" si="58">+P81-T81</f>
        <v>1844.91</v>
      </c>
      <c r="Y81" s="1"/>
      <c r="Z81" s="5">
        <f t="shared" ref="Z81:Z88" si="59">IF(T81=0,0,X81/T81)</f>
        <v>0</v>
      </c>
    </row>
    <row r="82" spans="1:26" s="24" customFormat="1" hidden="1" outlineLevel="2" x14ac:dyDescent="0.3">
      <c r="A82" s="27"/>
      <c r="B82" s="11" t="str">
        <f>CONCATENATE("          ", "6254", " - ", "ROYALTY &amp; COMMISSIONS")</f>
        <v xml:space="preserve">          6254 - ROYALTY &amp; COMMISSIONS</v>
      </c>
      <c r="C82" s="11"/>
      <c r="D82" s="7"/>
      <c r="E82" s="2"/>
      <c r="F82" s="6">
        <f t="shared" si="52"/>
        <v>0</v>
      </c>
      <c r="G82" s="2"/>
      <c r="H82" s="7"/>
      <c r="I82" s="2"/>
      <c r="J82" s="6">
        <f t="shared" si="53"/>
        <v>0</v>
      </c>
      <c r="K82" s="2"/>
      <c r="L82" s="7">
        <f t="shared" si="54"/>
        <v>0</v>
      </c>
      <c r="M82" s="2"/>
      <c r="N82" s="6">
        <f t="shared" si="55"/>
        <v>0</v>
      </c>
      <c r="O82" s="11"/>
      <c r="P82" s="7">
        <v>1844.91</v>
      </c>
      <c r="Q82" s="2"/>
      <c r="R82" s="6">
        <f t="shared" si="56"/>
        <v>2.6248173934296907E-4</v>
      </c>
      <c r="S82" s="2"/>
      <c r="T82" s="7"/>
      <c r="U82" s="2"/>
      <c r="V82" s="6">
        <f t="shared" si="57"/>
        <v>0</v>
      </c>
      <c r="W82" s="2"/>
      <c r="X82" s="7">
        <f t="shared" si="58"/>
        <v>1844.91</v>
      </c>
      <c r="Y82" s="2"/>
      <c r="Z82" s="6">
        <f t="shared" si="59"/>
        <v>0</v>
      </c>
    </row>
    <row r="83" spans="1:26" s="28" customFormat="1" outlineLevel="1" collapsed="1" x14ac:dyDescent="0.3">
      <c r="A83" s="29"/>
      <c r="B83" s="14" t="str">
        <f>CONCATENATE("     ","Services                                          ")</f>
        <v xml:space="preserve">     Services                                          </v>
      </c>
      <c r="C83" s="14"/>
      <c r="D83" s="1">
        <f>SUM(OSRRefD22_16x_0)</f>
        <v>21977.329999999998</v>
      </c>
      <c r="E83" s="1"/>
      <c r="F83" s="5">
        <f t="shared" si="52"/>
        <v>3.3975424219554774E-2</v>
      </c>
      <c r="G83" s="1"/>
      <c r="H83" s="1">
        <f>SUM(OSRRefH22_16x_0)</f>
        <v>32933</v>
      </c>
      <c r="I83" s="1"/>
      <c r="J83" s="5">
        <f t="shared" si="53"/>
        <v>5.5345022006591055E-2</v>
      </c>
      <c r="K83" s="1"/>
      <c r="L83" s="1">
        <f t="shared" si="54"/>
        <v>-10955.670000000002</v>
      </c>
      <c r="M83" s="1"/>
      <c r="N83" s="5">
        <f t="shared" si="55"/>
        <v>-0.33266541159323482</v>
      </c>
      <c r="O83" s="14"/>
      <c r="P83" s="1">
        <f>SUM(OSRRefP22_16x_0)</f>
        <v>161161.81</v>
      </c>
      <c r="Q83" s="1"/>
      <c r="R83" s="5">
        <f t="shared" si="56"/>
        <v>2.2929049224331324E-2</v>
      </c>
      <c r="S83" s="1"/>
      <c r="T83" s="1">
        <f>SUM(OSRRefT22_16x_0)</f>
        <v>220966</v>
      </c>
      <c r="U83" s="1"/>
      <c r="V83" s="5">
        <f t="shared" si="57"/>
        <v>3.9382283835968403E-2</v>
      </c>
      <c r="W83" s="1"/>
      <c r="X83" s="1">
        <f t="shared" si="58"/>
        <v>-59804.19</v>
      </c>
      <c r="Y83" s="1"/>
      <c r="Z83" s="5">
        <f t="shared" si="59"/>
        <v>-0.270648832852113</v>
      </c>
    </row>
    <row r="84" spans="1:26" s="24" customFormat="1" hidden="1" outlineLevel="2" x14ac:dyDescent="0.3">
      <c r="A84" s="27"/>
      <c r="B84" s="11" t="str">
        <f>CONCATENATE("          ", "6282", " - ", "JANITORIAL/EXTERMINATOR EXPENS")</f>
        <v xml:space="preserve">          6282 - JANITORIAL/EXTERMINATOR EXPENS</v>
      </c>
      <c r="C84" s="11"/>
      <c r="D84" s="7">
        <v>1584.3</v>
      </c>
      <c r="E84" s="2"/>
      <c r="F84" s="6">
        <f t="shared" si="52"/>
        <v>2.449217652510138E-3</v>
      </c>
      <c r="G84" s="2"/>
      <c r="H84" s="7">
        <v>2698</v>
      </c>
      <c r="I84" s="2"/>
      <c r="J84" s="6">
        <f t="shared" si="53"/>
        <v>4.5340803866572334E-3</v>
      </c>
      <c r="K84" s="2"/>
      <c r="L84" s="7">
        <f t="shared" si="54"/>
        <v>-1113.7</v>
      </c>
      <c r="M84" s="2"/>
      <c r="N84" s="6">
        <f t="shared" si="55"/>
        <v>-0.41278724981467757</v>
      </c>
      <c r="O84" s="11"/>
      <c r="P84" s="7">
        <v>18017.88</v>
      </c>
      <c r="Q84" s="2"/>
      <c r="R84" s="6">
        <f t="shared" si="56"/>
        <v>2.5634662296116859E-3</v>
      </c>
      <c r="S84" s="2"/>
      <c r="T84" s="7">
        <v>18786</v>
      </c>
      <c r="U84" s="2"/>
      <c r="V84" s="6">
        <f t="shared" si="57"/>
        <v>3.3481874321954616E-3</v>
      </c>
      <c r="W84" s="2"/>
      <c r="X84" s="7">
        <f t="shared" si="58"/>
        <v>-768.11999999999898</v>
      </c>
      <c r="Y84" s="2"/>
      <c r="Z84" s="6">
        <f t="shared" si="59"/>
        <v>-4.0887895241136965E-2</v>
      </c>
    </row>
    <row r="85" spans="1:26" s="24" customFormat="1" hidden="1" outlineLevel="2" x14ac:dyDescent="0.3">
      <c r="A85" s="27"/>
      <c r="B85" s="11" t="str">
        <f>CONCATENATE("          ", "6283", " - ", "PLANT SERVICE")</f>
        <v xml:space="preserve">          6283 - PLANT SERVICE</v>
      </c>
      <c r="C85" s="11"/>
      <c r="D85" s="7"/>
      <c r="E85" s="2"/>
      <c r="F85" s="6">
        <f t="shared" si="52"/>
        <v>0</v>
      </c>
      <c r="G85" s="2"/>
      <c r="H85" s="7">
        <v>100</v>
      </c>
      <c r="I85" s="2"/>
      <c r="J85" s="6">
        <f t="shared" si="53"/>
        <v>1.6805338720004572E-4</v>
      </c>
      <c r="K85" s="2"/>
      <c r="L85" s="7">
        <f t="shared" si="54"/>
        <v>-100</v>
      </c>
      <c r="M85" s="2"/>
      <c r="N85" s="6">
        <f t="shared" si="55"/>
        <v>-1</v>
      </c>
      <c r="O85" s="11"/>
      <c r="P85" s="7"/>
      <c r="Q85" s="2"/>
      <c r="R85" s="6">
        <f t="shared" si="56"/>
        <v>0</v>
      </c>
      <c r="S85" s="2"/>
      <c r="T85" s="7">
        <v>700</v>
      </c>
      <c r="U85" s="2"/>
      <c r="V85" s="6">
        <f t="shared" si="57"/>
        <v>1.247594593067616E-4</v>
      </c>
      <c r="W85" s="2"/>
      <c r="X85" s="7">
        <f t="shared" si="58"/>
        <v>-700</v>
      </c>
      <c r="Y85" s="2"/>
      <c r="Z85" s="6">
        <f t="shared" si="59"/>
        <v>-1</v>
      </c>
    </row>
    <row r="86" spans="1:26" s="24" customFormat="1" hidden="1" outlineLevel="2" x14ac:dyDescent="0.3">
      <c r="A86" s="27"/>
      <c r="B86" s="11" t="str">
        <f>CONCATENATE("          ", "6284", " - ", "TRASH REMOVAL EXPENSE")</f>
        <v xml:space="preserve">          6284 - TRASH REMOVAL EXPENSE</v>
      </c>
      <c r="C86" s="11"/>
      <c r="D86" s="7"/>
      <c r="E86" s="2"/>
      <c r="F86" s="6">
        <f t="shared" si="52"/>
        <v>0</v>
      </c>
      <c r="G86" s="2"/>
      <c r="H86" s="7">
        <v>1600</v>
      </c>
      <c r="I86" s="2"/>
      <c r="J86" s="6">
        <f t="shared" si="53"/>
        <v>2.6888541952007315E-3</v>
      </c>
      <c r="K86" s="2"/>
      <c r="L86" s="7">
        <f t="shared" si="54"/>
        <v>-1600</v>
      </c>
      <c r="M86" s="2"/>
      <c r="N86" s="6">
        <f t="shared" si="55"/>
        <v>-1</v>
      </c>
      <c r="O86" s="11"/>
      <c r="P86" s="7"/>
      <c r="Q86" s="2"/>
      <c r="R86" s="6">
        <f t="shared" si="56"/>
        <v>0</v>
      </c>
      <c r="S86" s="2"/>
      <c r="T86" s="7">
        <v>11200</v>
      </c>
      <c r="U86" s="2"/>
      <c r="V86" s="6">
        <f t="shared" si="57"/>
        <v>1.9961513489081856E-3</v>
      </c>
      <c r="W86" s="2"/>
      <c r="X86" s="7">
        <f t="shared" si="58"/>
        <v>-11200</v>
      </c>
      <c r="Y86" s="2"/>
      <c r="Z86" s="6">
        <f t="shared" si="59"/>
        <v>-1</v>
      </c>
    </row>
    <row r="87" spans="1:26" s="24" customFormat="1" hidden="1" outlineLevel="2" x14ac:dyDescent="0.3">
      <c r="A87" s="27"/>
      <c r="B87" s="11" t="str">
        <f>CONCATENATE("          ", "6285", " - ", "JANITORIAL SERVICES")</f>
        <v xml:space="preserve">          6285 - JANITORIAL SERVICES</v>
      </c>
      <c r="C87" s="11"/>
      <c r="D87" s="7">
        <v>17415.21</v>
      </c>
      <c r="E87" s="2"/>
      <c r="F87" s="6">
        <f t="shared" si="52"/>
        <v>2.6922703878161383E-2</v>
      </c>
      <c r="G87" s="2"/>
      <c r="H87" s="7">
        <v>23083</v>
      </c>
      <c r="I87" s="2"/>
      <c r="J87" s="6">
        <f t="shared" si="53"/>
        <v>3.8791763367386552E-2</v>
      </c>
      <c r="K87" s="2"/>
      <c r="L87" s="7">
        <f t="shared" si="54"/>
        <v>-5667.7900000000009</v>
      </c>
      <c r="M87" s="2"/>
      <c r="N87" s="6">
        <f t="shared" si="55"/>
        <v>-0.24553957457869433</v>
      </c>
      <c r="O87" s="11"/>
      <c r="P87" s="7">
        <v>123111.19</v>
      </c>
      <c r="Q87" s="2"/>
      <c r="R87" s="6">
        <f t="shared" si="56"/>
        <v>1.7515455650293367E-2</v>
      </c>
      <c r="S87" s="2"/>
      <c r="T87" s="7">
        <v>154129</v>
      </c>
      <c r="U87" s="2"/>
      <c r="V87" s="6">
        <f t="shared" si="57"/>
        <v>2.7470072433559794E-2</v>
      </c>
      <c r="W87" s="2"/>
      <c r="X87" s="7">
        <f t="shared" si="58"/>
        <v>-31017.809999999998</v>
      </c>
      <c r="Y87" s="2"/>
      <c r="Z87" s="6">
        <f t="shared" si="59"/>
        <v>-0.20124577464331825</v>
      </c>
    </row>
    <row r="88" spans="1:26" s="24" customFormat="1" hidden="1" outlineLevel="2" x14ac:dyDescent="0.3">
      <c r="A88" s="27"/>
      <c r="B88" s="11" t="str">
        <f>CONCATENATE("          ", "6286", " - ", "LAUNDRY EXPENSE")</f>
        <v xml:space="preserve">          6286 - LAUNDRY EXPENSE</v>
      </c>
      <c r="C88" s="11"/>
      <c r="D88" s="7">
        <v>2977.82</v>
      </c>
      <c r="E88" s="2"/>
      <c r="F88" s="6">
        <f t="shared" si="52"/>
        <v>4.603502688883254E-3</v>
      </c>
      <c r="G88" s="2"/>
      <c r="H88" s="7">
        <v>5452</v>
      </c>
      <c r="I88" s="2"/>
      <c r="J88" s="6">
        <f t="shared" si="53"/>
        <v>9.1622706701464923E-3</v>
      </c>
      <c r="K88" s="2"/>
      <c r="L88" s="7">
        <f t="shared" si="54"/>
        <v>-2474.1799999999998</v>
      </c>
      <c r="M88" s="2"/>
      <c r="N88" s="6">
        <f t="shared" si="55"/>
        <v>-0.45381144534115919</v>
      </c>
      <c r="O88" s="11"/>
      <c r="P88" s="7">
        <v>20032.740000000002</v>
      </c>
      <c r="Q88" s="2"/>
      <c r="R88" s="6">
        <f t="shared" si="56"/>
        <v>2.8501273444262701E-3</v>
      </c>
      <c r="S88" s="2"/>
      <c r="T88" s="7">
        <v>36151</v>
      </c>
      <c r="U88" s="2"/>
      <c r="V88" s="6">
        <f t="shared" si="57"/>
        <v>6.4431131619981973E-3</v>
      </c>
      <c r="W88" s="2"/>
      <c r="X88" s="7">
        <f t="shared" si="58"/>
        <v>-16118.259999999998</v>
      </c>
      <c r="Y88" s="2"/>
      <c r="Z88" s="6">
        <f t="shared" si="59"/>
        <v>-0.44585931232884285</v>
      </c>
    </row>
    <row r="89" spans="1:26" s="28" customFormat="1" outlineLevel="1" collapsed="1" x14ac:dyDescent="0.3">
      <c r="A89" s="29"/>
      <c r="B89" s="14" t="str">
        <f>CONCATENATE("     ","Subscriptions &amp; Dues                              ")</f>
        <v xml:space="preserve">     Subscriptions &amp; Dues                              </v>
      </c>
      <c r="C89" s="14"/>
      <c r="D89" s="1">
        <f>SUM(OSRRefD22_17x_0)</f>
        <v>560.5</v>
      </c>
      <c r="E89" s="1"/>
      <c r="F89" s="5">
        <f t="shared" ref="F89:F91" si="60">IF(D$12=0,0,D89/D$12)</f>
        <v>8.6649403157983487E-4</v>
      </c>
      <c r="G89" s="1"/>
      <c r="H89" s="1">
        <f>SUM(OSRRefH22_17x_0)</f>
        <v>610</v>
      </c>
      <c r="I89" s="1"/>
      <c r="J89" s="5">
        <f t="shared" ref="J89:J91" si="61">IF(H$12=0,0,H89/H$12)</f>
        <v>1.0251256619202788E-3</v>
      </c>
      <c r="K89" s="1"/>
      <c r="L89" s="1">
        <f t="shared" ref="L89:L91" si="62">+D89-H89</f>
        <v>-49.5</v>
      </c>
      <c r="M89" s="1"/>
      <c r="N89" s="5">
        <f t="shared" ref="N89:N91" si="63">IF(H89=0,0,L89/H89)</f>
        <v>-8.1147540983606561E-2</v>
      </c>
      <c r="O89" s="14"/>
      <c r="P89" s="1">
        <f>SUM(OSRRefP22_17x_0)</f>
        <v>4533.1099999999997</v>
      </c>
      <c r="Q89" s="1"/>
      <c r="R89" s="5">
        <f t="shared" ref="R89:R91" si="64">IF(P$12=0,0,P89/P$12)</f>
        <v>6.4494126945650811E-4</v>
      </c>
      <c r="S89" s="1"/>
      <c r="T89" s="1">
        <f>SUM(OSRRefT22_17x_0)</f>
        <v>4835</v>
      </c>
      <c r="U89" s="1"/>
      <c r="V89" s="5">
        <f t="shared" ref="V89:V91" si="65">IF(T$12=0,0,T89/T$12)</f>
        <v>8.6173140821170328E-4</v>
      </c>
      <c r="W89" s="1"/>
      <c r="X89" s="1">
        <f t="shared" ref="X89:X91" si="66">+P89-T89</f>
        <v>-301.89000000000033</v>
      </c>
      <c r="Y89" s="1"/>
      <c r="Z89" s="5">
        <f t="shared" ref="Z89:Z91" si="67">IF(T89=0,0,X89/T89)</f>
        <v>-6.2438469493278248E-2</v>
      </c>
    </row>
    <row r="90" spans="1:26" s="24" customFormat="1" hidden="1" outlineLevel="2" x14ac:dyDescent="0.3">
      <c r="A90" s="27"/>
      <c r="B90" s="11" t="str">
        <f>CONCATENATE("          ", "6258", " - ", "MEMBERSHIP DUES")</f>
        <v xml:space="preserve">          6258 - MEMBERSHIP DUES</v>
      </c>
      <c r="C90" s="11"/>
      <c r="D90" s="7"/>
      <c r="E90" s="2"/>
      <c r="F90" s="6">
        <f t="shared" si="60"/>
        <v>0</v>
      </c>
      <c r="G90" s="2"/>
      <c r="H90" s="7"/>
      <c r="I90" s="2"/>
      <c r="J90" s="6">
        <f t="shared" si="61"/>
        <v>0</v>
      </c>
      <c r="K90" s="2"/>
      <c r="L90" s="7">
        <f t="shared" si="62"/>
        <v>0</v>
      </c>
      <c r="M90" s="2"/>
      <c r="N90" s="6">
        <f t="shared" si="63"/>
        <v>0</v>
      </c>
      <c r="O90" s="11"/>
      <c r="P90" s="7"/>
      <c r="Q90" s="2"/>
      <c r="R90" s="6">
        <f t="shared" si="64"/>
        <v>0</v>
      </c>
      <c r="S90" s="2"/>
      <c r="T90" s="7">
        <v>795</v>
      </c>
      <c r="U90" s="2"/>
      <c r="V90" s="6">
        <f t="shared" si="65"/>
        <v>1.4169110021267924E-4</v>
      </c>
      <c r="W90" s="2"/>
      <c r="X90" s="7">
        <f t="shared" si="66"/>
        <v>-795</v>
      </c>
      <c r="Y90" s="2"/>
      <c r="Z90" s="6">
        <f t="shared" si="67"/>
        <v>-1</v>
      </c>
    </row>
    <row r="91" spans="1:26" s="24" customFormat="1" hidden="1" outlineLevel="2" x14ac:dyDescent="0.3">
      <c r="A91" s="27"/>
      <c r="B91" s="11" t="str">
        <f>CONCATENATE("          ", "6275", " - ", "SUBSCRIPTIONS")</f>
        <v xml:space="preserve">          6275 - SUBSCRIPTIONS</v>
      </c>
      <c r="C91" s="11"/>
      <c r="D91" s="7">
        <v>560.5</v>
      </c>
      <c r="E91" s="2"/>
      <c r="F91" s="6">
        <f t="shared" si="60"/>
        <v>8.6649403157983487E-4</v>
      </c>
      <c r="G91" s="2"/>
      <c r="H91" s="7">
        <v>610</v>
      </c>
      <c r="I91" s="2"/>
      <c r="J91" s="6">
        <f t="shared" si="61"/>
        <v>1.0251256619202788E-3</v>
      </c>
      <c r="K91" s="2"/>
      <c r="L91" s="7">
        <f t="shared" si="62"/>
        <v>-49.5</v>
      </c>
      <c r="M91" s="2"/>
      <c r="N91" s="6">
        <f t="shared" si="63"/>
        <v>-8.1147540983606561E-2</v>
      </c>
      <c r="O91" s="11"/>
      <c r="P91" s="7">
        <v>4533.1099999999997</v>
      </c>
      <c r="Q91" s="2"/>
      <c r="R91" s="6">
        <f t="shared" si="64"/>
        <v>6.4494126945650811E-4</v>
      </c>
      <c r="S91" s="2"/>
      <c r="T91" s="7">
        <v>4040</v>
      </c>
      <c r="U91" s="2"/>
      <c r="V91" s="6">
        <f t="shared" si="65"/>
        <v>7.2004030799902399E-4</v>
      </c>
      <c r="W91" s="2"/>
      <c r="X91" s="7">
        <f t="shared" si="66"/>
        <v>493.10999999999967</v>
      </c>
      <c r="Y91" s="2"/>
      <c r="Z91" s="6">
        <f t="shared" si="67"/>
        <v>0.12205693069306922</v>
      </c>
    </row>
    <row r="92" spans="1:26" s="28" customFormat="1" outlineLevel="1" collapsed="1" x14ac:dyDescent="0.3">
      <c r="A92" s="29"/>
      <c r="B92" s="14" t="str">
        <f>CONCATENATE("     ","Supplies                                          ")</f>
        <v xml:space="preserve">     Supplies                                          </v>
      </c>
      <c r="C92" s="14"/>
      <c r="D92" s="1">
        <f>SUM(OSRRefD22_18x_0)</f>
        <v>11479.149999999998</v>
      </c>
      <c r="E92" s="1"/>
      <c r="F92" s="5">
        <f t="shared" ref="F92:F102" si="68">IF(D$12=0,0,D92/D$12)</f>
        <v>1.7745967819107332E-2</v>
      </c>
      <c r="G92" s="1"/>
      <c r="H92" s="1">
        <f>SUM(OSRRefH22_18x_0)</f>
        <v>32275</v>
      </c>
      <c r="I92" s="1"/>
      <c r="J92" s="5">
        <f t="shared" ref="J92:J102" si="69">IF(H$12=0,0,H92/H$12)</f>
        <v>5.423923071881475E-2</v>
      </c>
      <c r="K92" s="1"/>
      <c r="L92" s="1">
        <f t="shared" ref="L92:L102" si="70">+D92-H92</f>
        <v>-20795.850000000002</v>
      </c>
      <c r="M92" s="1"/>
      <c r="N92" s="5">
        <f t="shared" ref="N92:N102" si="71">IF(H92=0,0,L92/H92)</f>
        <v>-0.64433307513555393</v>
      </c>
      <c r="O92" s="14"/>
      <c r="P92" s="1">
        <f>SUM(OSRRefP22_18x_0)</f>
        <v>239236.83000000002</v>
      </c>
      <c r="Q92" s="1"/>
      <c r="R92" s="5">
        <f t="shared" ref="R92:R102" si="72">IF(P$12=0,0,P92/P$12)</f>
        <v>3.4037052893256689E-2</v>
      </c>
      <c r="S92" s="1"/>
      <c r="T92" s="1">
        <f>SUM(OSRRefT22_18x_0)</f>
        <v>239123</v>
      </c>
      <c r="U92" s="1"/>
      <c r="V92" s="5">
        <f t="shared" ref="V92:V102" si="73">IF(T$12=0,0,T92/T$12)</f>
        <v>4.2618365982586788E-2</v>
      </c>
      <c r="W92" s="1"/>
      <c r="X92" s="1">
        <f t="shared" ref="X92:X102" si="74">+P92-T92</f>
        <v>113.8300000000163</v>
      </c>
      <c r="Y92" s="1"/>
      <c r="Z92" s="5">
        <f t="shared" ref="Z92:Z102" si="75">IF(T92=0,0,X92/T92)</f>
        <v>4.7603116387807238E-4</v>
      </c>
    </row>
    <row r="93" spans="1:26" s="24" customFormat="1" hidden="1" outlineLevel="2" x14ac:dyDescent="0.3">
      <c r="A93" s="27"/>
      <c r="B93" s="11" t="str">
        <f>CONCATENATE("          ", "6234", " - ", "EXPENDABLE SUPPLIES &amp; EQUIPMEN")</f>
        <v xml:space="preserve">          6234 - EXPENDABLE SUPPLIES &amp; EQUIPMEN</v>
      </c>
      <c r="C93" s="11"/>
      <c r="D93" s="7">
        <v>57.77</v>
      </c>
      <c r="E93" s="2"/>
      <c r="F93" s="6">
        <f t="shared" si="68"/>
        <v>8.9308403576034021E-5</v>
      </c>
      <c r="G93" s="2"/>
      <c r="H93" s="7">
        <v>342</v>
      </c>
      <c r="I93" s="2"/>
      <c r="J93" s="6">
        <f t="shared" si="69"/>
        <v>5.747425842241563E-4</v>
      </c>
      <c r="K93" s="2"/>
      <c r="L93" s="7">
        <f t="shared" si="70"/>
        <v>-284.23</v>
      </c>
      <c r="M93" s="2"/>
      <c r="N93" s="6">
        <f t="shared" si="71"/>
        <v>-0.83108187134502931</v>
      </c>
      <c r="O93" s="11"/>
      <c r="P93" s="7">
        <v>394.75</v>
      </c>
      <c r="Q93" s="2"/>
      <c r="R93" s="6">
        <f t="shared" si="72"/>
        <v>5.6162450529097375E-5</v>
      </c>
      <c r="S93" s="2"/>
      <c r="T93" s="7">
        <v>2394</v>
      </c>
      <c r="U93" s="2"/>
      <c r="V93" s="6">
        <f t="shared" si="73"/>
        <v>4.2667735082912463E-4</v>
      </c>
      <c r="W93" s="2"/>
      <c r="X93" s="7">
        <f t="shared" si="74"/>
        <v>-1999.25</v>
      </c>
      <c r="Y93" s="2"/>
      <c r="Z93" s="6">
        <f t="shared" si="75"/>
        <v>-0.83510860484544691</v>
      </c>
    </row>
    <row r="94" spans="1:26" s="24" customFormat="1" hidden="1" outlineLevel="2" x14ac:dyDescent="0.3">
      <c r="A94" s="27"/>
      <c r="B94" s="11" t="str">
        <f>CONCATENATE("          ", "6235", " - ", "COVID-19 EXPENSES")</f>
        <v xml:space="preserve">          6235 - COVID-19 EXPENSES</v>
      </c>
      <c r="C94" s="11"/>
      <c r="D94" s="7">
        <v>318.42</v>
      </c>
      <c r="E94" s="2"/>
      <c r="F94" s="6">
        <f t="shared" si="68"/>
        <v>4.922551820439804E-4</v>
      </c>
      <c r="G94" s="2"/>
      <c r="H94" s="7">
        <v>250</v>
      </c>
      <c r="I94" s="2"/>
      <c r="J94" s="6">
        <f t="shared" si="69"/>
        <v>4.201334680001143E-4</v>
      </c>
      <c r="K94" s="2"/>
      <c r="L94" s="7">
        <f t="shared" si="70"/>
        <v>68.420000000000016</v>
      </c>
      <c r="M94" s="2"/>
      <c r="N94" s="6">
        <f t="shared" si="71"/>
        <v>0.27368000000000009</v>
      </c>
      <c r="O94" s="11"/>
      <c r="P94" s="7">
        <v>511.92</v>
      </c>
      <c r="Q94" s="2"/>
      <c r="R94" s="6">
        <f t="shared" si="72"/>
        <v>7.2832632488551059E-5</v>
      </c>
      <c r="S94" s="2"/>
      <c r="T94" s="7">
        <v>2000</v>
      </c>
      <c r="U94" s="2"/>
      <c r="V94" s="6">
        <f t="shared" si="73"/>
        <v>3.5645559801931884E-4</v>
      </c>
      <c r="W94" s="2"/>
      <c r="X94" s="7">
        <f t="shared" si="74"/>
        <v>-1488.08</v>
      </c>
      <c r="Y94" s="2"/>
      <c r="Z94" s="6">
        <f t="shared" si="75"/>
        <v>-0.74403999999999992</v>
      </c>
    </row>
    <row r="95" spans="1:26" s="24" customFormat="1" hidden="1" outlineLevel="2" x14ac:dyDescent="0.3">
      <c r="A95" s="27"/>
      <c r="B95" s="11" t="str">
        <f>CONCATENATE("          ", "6237", " - ", "JANITORIAL SUPPLIES")</f>
        <v xml:space="preserve">          6237 - JANITORIAL SUPPLIES</v>
      </c>
      <c r="C95" s="11"/>
      <c r="D95" s="7">
        <v>2238.52</v>
      </c>
      <c r="E95" s="2"/>
      <c r="F95" s="6">
        <f t="shared" si="68"/>
        <v>3.460596288264214E-3</v>
      </c>
      <c r="G95" s="2"/>
      <c r="H95" s="7">
        <v>9975</v>
      </c>
      <c r="I95" s="2"/>
      <c r="J95" s="6">
        <f t="shared" si="69"/>
        <v>1.676332537320456E-2</v>
      </c>
      <c r="K95" s="2"/>
      <c r="L95" s="7">
        <f t="shared" si="70"/>
        <v>-7736.48</v>
      </c>
      <c r="M95" s="2"/>
      <c r="N95" s="6">
        <f t="shared" si="71"/>
        <v>-0.77558696741854627</v>
      </c>
      <c r="O95" s="11"/>
      <c r="P95" s="7">
        <v>39883.75</v>
      </c>
      <c r="Q95" s="2"/>
      <c r="R95" s="6">
        <f t="shared" si="72"/>
        <v>5.6743993319566498E-3</v>
      </c>
      <c r="S95" s="2"/>
      <c r="T95" s="7">
        <v>74303</v>
      </c>
      <c r="U95" s="2"/>
      <c r="V95" s="6">
        <f t="shared" si="73"/>
        <v>1.3242860149814724E-2</v>
      </c>
      <c r="W95" s="2"/>
      <c r="X95" s="7">
        <f t="shared" si="74"/>
        <v>-34419.25</v>
      </c>
      <c r="Y95" s="2"/>
      <c r="Z95" s="6">
        <f t="shared" si="75"/>
        <v>-0.46322826803762973</v>
      </c>
    </row>
    <row r="96" spans="1:26" s="24" customFormat="1" hidden="1" outlineLevel="2" x14ac:dyDescent="0.3">
      <c r="A96" s="27"/>
      <c r="B96" s="11" t="str">
        <f>CONCATENATE("          ", "6239", " - ", "KITCHEN SUPPLIES")</f>
        <v xml:space="preserve">          6239 - KITCHEN SUPPLIES</v>
      </c>
      <c r="C96" s="11"/>
      <c r="D96" s="7">
        <v>1944.52</v>
      </c>
      <c r="E96" s="2"/>
      <c r="F96" s="6">
        <f t="shared" si="68"/>
        <v>3.0060927284346487E-3</v>
      </c>
      <c r="G96" s="2"/>
      <c r="H96" s="7">
        <v>3850</v>
      </c>
      <c r="I96" s="2"/>
      <c r="J96" s="6">
        <f t="shared" si="69"/>
        <v>6.4700554072017599E-3</v>
      </c>
      <c r="K96" s="2"/>
      <c r="L96" s="7">
        <f t="shared" si="70"/>
        <v>-1905.48</v>
      </c>
      <c r="M96" s="2"/>
      <c r="N96" s="6">
        <f t="shared" si="71"/>
        <v>-0.49492987012987011</v>
      </c>
      <c r="O96" s="11"/>
      <c r="P96" s="7">
        <v>28960.23</v>
      </c>
      <c r="Q96" s="2"/>
      <c r="R96" s="6">
        <f t="shared" si="72"/>
        <v>4.120272285462398E-3</v>
      </c>
      <c r="S96" s="2"/>
      <c r="T96" s="7">
        <v>37299</v>
      </c>
      <c r="U96" s="2"/>
      <c r="V96" s="6">
        <f t="shared" si="73"/>
        <v>6.6477186752612865E-3</v>
      </c>
      <c r="W96" s="2"/>
      <c r="X96" s="7">
        <f t="shared" si="74"/>
        <v>-8338.77</v>
      </c>
      <c r="Y96" s="2"/>
      <c r="Z96" s="6">
        <f t="shared" si="75"/>
        <v>-0.22356551113970885</v>
      </c>
    </row>
    <row r="97" spans="1:26" s="24" customFormat="1" hidden="1" outlineLevel="2" x14ac:dyDescent="0.3">
      <c r="A97" s="27"/>
      <c r="B97" s="11" t="str">
        <f>CONCATENATE("          ", "6241", " - ", "OFFICE EXPENSE")</f>
        <v xml:space="preserve">          6241 - OFFICE EXPENSE</v>
      </c>
      <c r="C97" s="11"/>
      <c r="D97" s="7">
        <v>792.05</v>
      </c>
      <c r="E97" s="2"/>
      <c r="F97" s="6">
        <f t="shared" si="68"/>
        <v>1.224454233207508E-3</v>
      </c>
      <c r="G97" s="2"/>
      <c r="H97" s="7">
        <v>1645</v>
      </c>
      <c r="I97" s="2"/>
      <c r="J97" s="6">
        <f t="shared" si="69"/>
        <v>2.7644782194407519E-3</v>
      </c>
      <c r="K97" s="2"/>
      <c r="L97" s="7">
        <f t="shared" si="70"/>
        <v>-852.95</v>
      </c>
      <c r="M97" s="2"/>
      <c r="N97" s="6">
        <f t="shared" si="71"/>
        <v>-0.51851063829787236</v>
      </c>
      <c r="O97" s="11"/>
      <c r="P97" s="7">
        <v>21066.66</v>
      </c>
      <c r="Q97" s="2"/>
      <c r="R97" s="6">
        <f t="shared" si="72"/>
        <v>2.9972267259361987E-3</v>
      </c>
      <c r="S97" s="2"/>
      <c r="T97" s="7">
        <v>13242</v>
      </c>
      <c r="U97" s="2"/>
      <c r="V97" s="6">
        <f t="shared" si="73"/>
        <v>2.3600925144859099E-3</v>
      </c>
      <c r="W97" s="2"/>
      <c r="X97" s="7">
        <f t="shared" si="74"/>
        <v>7824.66</v>
      </c>
      <c r="Y97" s="2"/>
      <c r="Z97" s="6">
        <f t="shared" si="75"/>
        <v>0.59089714544630723</v>
      </c>
    </row>
    <row r="98" spans="1:26" s="24" customFormat="1" hidden="1" outlineLevel="2" x14ac:dyDescent="0.3">
      <c r="A98" s="27"/>
      <c r="B98" s="11" t="str">
        <f>CONCATENATE("          ", "6243", " - ", "PAPER SUPPLIES")</f>
        <v xml:space="preserve">          6243 - PAPER SUPPLIES</v>
      </c>
      <c r="C98" s="11"/>
      <c r="D98" s="7">
        <v>5583.57</v>
      </c>
      <c r="E98" s="2"/>
      <c r="F98" s="6">
        <f t="shared" si="68"/>
        <v>8.6318110257060099E-3</v>
      </c>
      <c r="G98" s="2"/>
      <c r="H98" s="7">
        <v>14200</v>
      </c>
      <c r="I98" s="2"/>
      <c r="J98" s="6">
        <f t="shared" si="69"/>
        <v>2.3863580982406492E-2</v>
      </c>
      <c r="K98" s="2"/>
      <c r="L98" s="7">
        <f t="shared" si="70"/>
        <v>-8616.43</v>
      </c>
      <c r="M98" s="2"/>
      <c r="N98" s="6">
        <f t="shared" si="71"/>
        <v>-0.60679084507042258</v>
      </c>
      <c r="O98" s="11"/>
      <c r="P98" s="7">
        <v>139194.72</v>
      </c>
      <c r="Q98" s="2"/>
      <c r="R98" s="6">
        <f t="shared" si="72"/>
        <v>1.980371520180256E-2</v>
      </c>
      <c r="S98" s="2"/>
      <c r="T98" s="7">
        <v>96733</v>
      </c>
      <c r="U98" s="2"/>
      <c r="V98" s="6">
        <f t="shared" si="73"/>
        <v>1.7240509681601384E-2</v>
      </c>
      <c r="W98" s="2"/>
      <c r="X98" s="7">
        <f t="shared" si="74"/>
        <v>42461.72</v>
      </c>
      <c r="Y98" s="2"/>
      <c r="Z98" s="6">
        <f t="shared" si="75"/>
        <v>0.43895795643678992</v>
      </c>
    </row>
    <row r="99" spans="1:26" s="24" customFormat="1" hidden="1" outlineLevel="2" x14ac:dyDescent="0.3">
      <c r="A99" s="27"/>
      <c r="B99" s="11" t="str">
        <f>CONCATENATE("          ", "6244", " - ", "SAFETY SUPPLY EXPENSE")</f>
        <v xml:space="preserve">          6244 - SAFETY SUPPLY EXPENSE</v>
      </c>
      <c r="C99" s="11"/>
      <c r="D99" s="7"/>
      <c r="E99" s="2"/>
      <c r="F99" s="6">
        <f t="shared" si="68"/>
        <v>0</v>
      </c>
      <c r="G99" s="2"/>
      <c r="H99" s="7">
        <v>525</v>
      </c>
      <c r="I99" s="2"/>
      <c r="J99" s="6">
        <f t="shared" si="69"/>
        <v>8.8228028280023997E-4</v>
      </c>
      <c r="K99" s="2"/>
      <c r="L99" s="7">
        <f t="shared" si="70"/>
        <v>-525</v>
      </c>
      <c r="M99" s="2"/>
      <c r="N99" s="6">
        <f t="shared" si="71"/>
        <v>-1</v>
      </c>
      <c r="O99" s="11"/>
      <c r="P99" s="7"/>
      <c r="Q99" s="2"/>
      <c r="R99" s="6">
        <f t="shared" si="72"/>
        <v>0</v>
      </c>
      <c r="S99" s="2"/>
      <c r="T99" s="7">
        <v>3775</v>
      </c>
      <c r="U99" s="2"/>
      <c r="V99" s="6">
        <f t="shared" si="73"/>
        <v>6.7280994126146429E-4</v>
      </c>
      <c r="W99" s="2"/>
      <c r="X99" s="7">
        <f t="shared" si="74"/>
        <v>-3775</v>
      </c>
      <c r="Y99" s="2"/>
      <c r="Z99" s="6">
        <f t="shared" si="75"/>
        <v>-1</v>
      </c>
    </row>
    <row r="100" spans="1:26" s="24" customFormat="1" hidden="1" outlineLevel="2" x14ac:dyDescent="0.3">
      <c r="A100" s="27"/>
      <c r="B100" s="11" t="str">
        <f>CONCATENATE("          ", "6245", " - ", "PRINTING")</f>
        <v xml:space="preserve">          6245 - PRINTING</v>
      </c>
      <c r="C100" s="11"/>
      <c r="D100" s="7"/>
      <c r="E100" s="2"/>
      <c r="F100" s="6">
        <f t="shared" si="68"/>
        <v>0</v>
      </c>
      <c r="G100" s="2"/>
      <c r="H100" s="7">
        <v>400</v>
      </c>
      <c r="I100" s="2"/>
      <c r="J100" s="6">
        <f t="shared" si="69"/>
        <v>6.7221354880018288E-4</v>
      </c>
      <c r="K100" s="2"/>
      <c r="L100" s="7">
        <f t="shared" si="70"/>
        <v>-400</v>
      </c>
      <c r="M100" s="2"/>
      <c r="N100" s="6">
        <f t="shared" si="71"/>
        <v>-1</v>
      </c>
      <c r="O100" s="11"/>
      <c r="P100" s="7">
        <v>1071</v>
      </c>
      <c r="Q100" s="2"/>
      <c r="R100" s="6">
        <f t="shared" si="72"/>
        <v>1.5237488161282657E-4</v>
      </c>
      <c r="S100" s="2"/>
      <c r="T100" s="7">
        <v>1500</v>
      </c>
      <c r="U100" s="2"/>
      <c r="V100" s="6">
        <f t="shared" si="73"/>
        <v>2.6734169851448913E-4</v>
      </c>
      <c r="W100" s="2"/>
      <c r="X100" s="7">
        <f t="shared" si="74"/>
        <v>-429</v>
      </c>
      <c r="Y100" s="2"/>
      <c r="Z100" s="6">
        <f t="shared" si="75"/>
        <v>-0.28599999999999998</v>
      </c>
    </row>
    <row r="101" spans="1:26" s="24" customFormat="1" hidden="1" outlineLevel="2" x14ac:dyDescent="0.3">
      <c r="A101" s="27"/>
      <c r="B101" s="11" t="str">
        <f>CONCATENATE("          ", "6247", " - ", "STORE SUPPLIES")</f>
        <v xml:space="preserve">          6247 - STORE SUPPLIES</v>
      </c>
      <c r="C101" s="11"/>
      <c r="D101" s="7">
        <v>195</v>
      </c>
      <c r="E101" s="2"/>
      <c r="F101" s="6">
        <f t="shared" si="68"/>
        <v>3.0145644274409954E-4</v>
      </c>
      <c r="G101" s="2"/>
      <c r="H101" s="7"/>
      <c r="I101" s="2"/>
      <c r="J101" s="6">
        <f t="shared" si="69"/>
        <v>0</v>
      </c>
      <c r="K101" s="2"/>
      <c r="L101" s="7">
        <f t="shared" si="70"/>
        <v>195</v>
      </c>
      <c r="M101" s="2"/>
      <c r="N101" s="6">
        <f t="shared" si="71"/>
        <v>0</v>
      </c>
      <c r="O101" s="11"/>
      <c r="P101" s="7">
        <v>1940.32</v>
      </c>
      <c r="Q101" s="2"/>
      <c r="R101" s="6">
        <f t="shared" si="72"/>
        <v>2.7605605069187642E-4</v>
      </c>
      <c r="S101" s="2"/>
      <c r="T101" s="7">
        <v>411</v>
      </c>
      <c r="U101" s="2"/>
      <c r="V101" s="6">
        <f t="shared" si="73"/>
        <v>7.3251625392970016E-5</v>
      </c>
      <c r="W101" s="2"/>
      <c r="X101" s="7">
        <f t="shared" si="74"/>
        <v>1529.32</v>
      </c>
      <c r="Y101" s="2"/>
      <c r="Z101" s="6">
        <f t="shared" si="75"/>
        <v>3.7209732360097321</v>
      </c>
    </row>
    <row r="102" spans="1:26" s="24" customFormat="1" hidden="1" outlineLevel="2" x14ac:dyDescent="0.3">
      <c r="A102" s="27"/>
      <c r="B102" s="11" t="str">
        <f>CONCATENATE("          ", "6248", " - ", "UNIFORMS")</f>
        <v xml:space="preserve">          6248 - UNIFORMS</v>
      </c>
      <c r="C102" s="11"/>
      <c r="D102" s="7">
        <v>349.3</v>
      </c>
      <c r="E102" s="2"/>
      <c r="F102" s="6">
        <f t="shared" si="68"/>
        <v>5.3999351513084098E-4</v>
      </c>
      <c r="G102" s="2"/>
      <c r="H102" s="7">
        <v>1088</v>
      </c>
      <c r="I102" s="2"/>
      <c r="J102" s="6">
        <f t="shared" si="69"/>
        <v>1.8284208527364974E-3</v>
      </c>
      <c r="K102" s="2"/>
      <c r="L102" s="7">
        <f t="shared" si="70"/>
        <v>-738.7</v>
      </c>
      <c r="M102" s="2"/>
      <c r="N102" s="6">
        <f t="shared" si="71"/>
        <v>-0.67895220588235294</v>
      </c>
      <c r="O102" s="11"/>
      <c r="P102" s="7">
        <v>6213.48</v>
      </c>
      <c r="Q102" s="2"/>
      <c r="R102" s="6">
        <f t="shared" si="72"/>
        <v>8.8401333277653182E-4</v>
      </c>
      <c r="S102" s="2"/>
      <c r="T102" s="7">
        <v>7466</v>
      </c>
      <c r="U102" s="2"/>
      <c r="V102" s="6">
        <f t="shared" si="73"/>
        <v>1.3306487474061173E-3</v>
      </c>
      <c r="W102" s="2"/>
      <c r="X102" s="7">
        <f t="shared" si="74"/>
        <v>-1252.5200000000004</v>
      </c>
      <c r="Y102" s="2"/>
      <c r="Z102" s="6">
        <f t="shared" si="75"/>
        <v>-0.16776319314224492</v>
      </c>
    </row>
    <row r="103" spans="1:26" s="28" customFormat="1" outlineLevel="1" collapsed="1" x14ac:dyDescent="0.3">
      <c r="A103" s="29"/>
      <c r="B103" s="14" t="str">
        <f>CONCATENATE("     ","Telephone/Data Lines                              ")</f>
        <v xml:space="preserve">     Telephone/Data Lines                              </v>
      </c>
      <c r="C103" s="14"/>
      <c r="D103" s="1">
        <f>SUM(OSRRefD22_19x_0)</f>
        <v>1654.65</v>
      </c>
      <c r="E103" s="1"/>
      <c r="F103" s="5">
        <f t="shared" ref="F103:F105" si="76">IF(D$12=0,0,D103/D$12)</f>
        <v>2.5579738614693558E-3</v>
      </c>
      <c r="G103" s="1"/>
      <c r="H103" s="1">
        <f>SUM(OSRRefH22_19x_0)</f>
        <v>1111</v>
      </c>
      <c r="I103" s="1"/>
      <c r="J103" s="5">
        <f t="shared" ref="J103:J105" si="77">IF(H$12=0,0,H103/H$12)</f>
        <v>1.8670731317925078E-3</v>
      </c>
      <c r="K103" s="1"/>
      <c r="L103" s="1">
        <f t="shared" ref="L103:L105" si="78">+D103-H103</f>
        <v>543.65000000000009</v>
      </c>
      <c r="M103" s="1"/>
      <c r="N103" s="5">
        <f t="shared" ref="N103:N105" si="79">IF(H103=0,0,L103/H103)</f>
        <v>0.48933393339333942</v>
      </c>
      <c r="O103" s="14"/>
      <c r="P103" s="1">
        <f>SUM(OSRRefP22_19x_0)</f>
        <v>9585.44</v>
      </c>
      <c r="Q103" s="1"/>
      <c r="R103" s="5">
        <f t="shared" ref="R103:R105" si="80">IF(P$12=0,0,P103/P$12)</f>
        <v>1.3637537677001423E-3</v>
      </c>
      <c r="S103" s="1"/>
      <c r="T103" s="1">
        <f>SUM(OSRRefT22_19x_0)</f>
        <v>7177</v>
      </c>
      <c r="U103" s="1"/>
      <c r="V103" s="5">
        <f t="shared" ref="V103:V105" si="81">IF(T$12=0,0,T103/T$12)</f>
        <v>1.2791409134923256E-3</v>
      </c>
      <c r="W103" s="1"/>
      <c r="X103" s="1">
        <f t="shared" ref="X103:X105" si="82">+P103-T103</f>
        <v>2408.4400000000005</v>
      </c>
      <c r="Y103" s="1"/>
      <c r="Z103" s="5">
        <f t="shared" ref="Z103:Z105" si="83">IF(T103=0,0,X103/T103)</f>
        <v>0.33557753936185042</v>
      </c>
    </row>
    <row r="104" spans="1:26" s="24" customFormat="1" hidden="1" outlineLevel="2" x14ac:dyDescent="0.3">
      <c r="A104" s="27"/>
      <c r="B104" s="11" t="str">
        <f>CONCATENATE("          ", "6303", " - ", "DATA PHONE LINES")</f>
        <v xml:space="preserve">          6303 - DATA PHONE LINES</v>
      </c>
      <c r="C104" s="11"/>
      <c r="D104" s="7"/>
      <c r="E104" s="2"/>
      <c r="F104" s="6">
        <f t="shared" si="76"/>
        <v>0</v>
      </c>
      <c r="G104" s="2"/>
      <c r="H104" s="7">
        <v>193</v>
      </c>
      <c r="I104" s="2"/>
      <c r="J104" s="6">
        <f t="shared" si="77"/>
        <v>3.243430372960882E-4</v>
      </c>
      <c r="K104" s="2"/>
      <c r="L104" s="7">
        <f t="shared" si="78"/>
        <v>-193</v>
      </c>
      <c r="M104" s="2"/>
      <c r="N104" s="6">
        <f t="shared" si="79"/>
        <v>-1</v>
      </c>
      <c r="O104" s="11"/>
      <c r="P104" s="7"/>
      <c r="Q104" s="2"/>
      <c r="R104" s="6">
        <f t="shared" si="80"/>
        <v>0</v>
      </c>
      <c r="S104" s="2"/>
      <c r="T104" s="7">
        <v>1351</v>
      </c>
      <c r="U104" s="2"/>
      <c r="V104" s="6">
        <f t="shared" si="81"/>
        <v>2.4078575646204985E-4</v>
      </c>
      <c r="W104" s="2"/>
      <c r="X104" s="7">
        <f t="shared" si="82"/>
        <v>-1351</v>
      </c>
      <c r="Y104" s="2"/>
      <c r="Z104" s="6">
        <f t="shared" si="83"/>
        <v>-1</v>
      </c>
    </row>
    <row r="105" spans="1:26" s="24" customFormat="1" hidden="1" outlineLevel="2" x14ac:dyDescent="0.3">
      <c r="A105" s="27"/>
      <c r="B105" s="11" t="str">
        <f>CONCATENATE("          ", "6309", " - ", "TELEPHONE")</f>
        <v xml:space="preserve">          6309 - TELEPHONE</v>
      </c>
      <c r="C105" s="11"/>
      <c r="D105" s="7">
        <v>1654.65</v>
      </c>
      <c r="E105" s="2"/>
      <c r="F105" s="6">
        <f t="shared" si="76"/>
        <v>2.5579738614693558E-3</v>
      </c>
      <c r="G105" s="2"/>
      <c r="H105" s="7">
        <v>918</v>
      </c>
      <c r="I105" s="2"/>
      <c r="J105" s="6">
        <f t="shared" si="77"/>
        <v>1.5427300944964196E-3</v>
      </c>
      <c r="K105" s="2"/>
      <c r="L105" s="7">
        <f t="shared" si="78"/>
        <v>736.65000000000009</v>
      </c>
      <c r="M105" s="2"/>
      <c r="N105" s="6">
        <f t="shared" si="79"/>
        <v>0.80245098039215701</v>
      </c>
      <c r="O105" s="11"/>
      <c r="P105" s="7">
        <v>9585.44</v>
      </c>
      <c r="Q105" s="2"/>
      <c r="R105" s="6">
        <f t="shared" si="80"/>
        <v>1.3637537677001423E-3</v>
      </c>
      <c r="S105" s="2"/>
      <c r="T105" s="7">
        <v>5826</v>
      </c>
      <c r="U105" s="2"/>
      <c r="V105" s="6">
        <f t="shared" si="81"/>
        <v>1.0383551570302756E-3</v>
      </c>
      <c r="W105" s="2"/>
      <c r="X105" s="7">
        <f t="shared" si="82"/>
        <v>3759.4400000000005</v>
      </c>
      <c r="Y105" s="2"/>
      <c r="Z105" s="6">
        <f t="shared" si="83"/>
        <v>0.64528664606934438</v>
      </c>
    </row>
    <row r="106" spans="1:26" s="28" customFormat="1" outlineLevel="1" collapsed="1" x14ac:dyDescent="0.3">
      <c r="A106" s="29"/>
      <c r="B106" s="14" t="str">
        <f>CONCATENATE("     ","Training                                          ")</f>
        <v xml:space="preserve">     Training                                          </v>
      </c>
      <c r="C106" s="14"/>
      <c r="D106" s="1">
        <f>SUM(OSRRefD22_20x_0)</f>
        <v>323.87</v>
      </c>
      <c r="E106" s="1"/>
      <c r="F106" s="5">
        <f t="shared" ref="F106:F110" si="84">IF(D$12=0,0,D106/D$12)</f>
        <v>5.0068050313605917E-4</v>
      </c>
      <c r="G106" s="1"/>
      <c r="H106" s="1">
        <f>SUM(OSRRefH22_20x_0)</f>
        <v>2720</v>
      </c>
      <c r="I106" s="1"/>
      <c r="J106" s="5">
        <f t="shared" ref="J106:J110" si="85">IF(H$12=0,0,H106/H$12)</f>
        <v>4.5710521318412436E-3</v>
      </c>
      <c r="K106" s="1"/>
      <c r="L106" s="1">
        <f t="shared" ref="L106:L110" si="86">+D106-H106</f>
        <v>-2396.13</v>
      </c>
      <c r="M106" s="1"/>
      <c r="N106" s="5">
        <f t="shared" ref="N106:N110" si="87">IF(H106=0,0,L106/H106)</f>
        <v>-0.88093014705882355</v>
      </c>
      <c r="O106" s="14"/>
      <c r="P106" s="1">
        <f>SUM(OSRRefP22_20x_0)</f>
        <v>1393.87</v>
      </c>
      <c r="Q106" s="1"/>
      <c r="R106" s="5">
        <f t="shared" ref="R106:R110" si="88">IF(P$12=0,0,P106/P$12)</f>
        <v>1.9831071543760089E-4</v>
      </c>
      <c r="S106" s="1"/>
      <c r="T106" s="1">
        <f>SUM(OSRRefT22_20x_0)</f>
        <v>7360</v>
      </c>
      <c r="U106" s="1"/>
      <c r="V106" s="5">
        <f t="shared" ref="V106:V110" si="89">IF(T$12=0,0,T106/T$12)</f>
        <v>1.3117566007110934E-3</v>
      </c>
      <c r="W106" s="1"/>
      <c r="X106" s="1">
        <f t="shared" ref="X106:X110" si="90">+P106-T106</f>
        <v>-5966.13</v>
      </c>
      <c r="Y106" s="1"/>
      <c r="Z106" s="5">
        <f t="shared" ref="Z106:Z110" si="91">IF(T106=0,0,X106/T106)</f>
        <v>-0.8106154891304348</v>
      </c>
    </row>
    <row r="107" spans="1:26" s="24" customFormat="1" hidden="1" outlineLevel="2" x14ac:dyDescent="0.3">
      <c r="A107" s="27"/>
      <c r="B107" s="11" t="str">
        <f>CONCATENATE("          ", "6376", " - ", "TRAINING")</f>
        <v xml:space="preserve">          6376 - TRAINING</v>
      </c>
      <c r="C107" s="11"/>
      <c r="D107" s="7">
        <v>323.87</v>
      </c>
      <c r="E107" s="2"/>
      <c r="F107" s="6">
        <f t="shared" si="84"/>
        <v>5.0068050313605917E-4</v>
      </c>
      <c r="G107" s="2"/>
      <c r="H107" s="7">
        <v>2720</v>
      </c>
      <c r="I107" s="2"/>
      <c r="J107" s="6">
        <f t="shared" si="85"/>
        <v>4.5710521318412436E-3</v>
      </c>
      <c r="K107" s="2"/>
      <c r="L107" s="7">
        <f t="shared" si="86"/>
        <v>-2396.13</v>
      </c>
      <c r="M107" s="2"/>
      <c r="N107" s="6">
        <f t="shared" si="87"/>
        <v>-0.88093014705882355</v>
      </c>
      <c r="O107" s="11"/>
      <c r="P107" s="7">
        <v>1393.87</v>
      </c>
      <c r="Q107" s="2"/>
      <c r="R107" s="6">
        <f t="shared" si="88"/>
        <v>1.9831071543760089E-4</v>
      </c>
      <c r="S107" s="2"/>
      <c r="T107" s="7">
        <v>7360</v>
      </c>
      <c r="U107" s="2"/>
      <c r="V107" s="6">
        <f t="shared" si="89"/>
        <v>1.3117566007110934E-3</v>
      </c>
      <c r="W107" s="2"/>
      <c r="X107" s="7">
        <f t="shared" si="90"/>
        <v>-5966.13</v>
      </c>
      <c r="Y107" s="2"/>
      <c r="Z107" s="6">
        <f t="shared" si="91"/>
        <v>-0.8106154891304348</v>
      </c>
    </row>
    <row r="108" spans="1:26" s="28" customFormat="1" outlineLevel="1" collapsed="1" x14ac:dyDescent="0.3">
      <c r="A108" s="29"/>
      <c r="B108" s="14" t="str">
        <f>CONCATENATE("     ","Travel                                            ")</f>
        <v xml:space="preserve">     Travel                                            </v>
      </c>
      <c r="C108" s="14"/>
      <c r="D108" s="1">
        <f>SUM(OSRRefD22_21x_0)</f>
        <v>0</v>
      </c>
      <c r="E108" s="1"/>
      <c r="F108" s="5">
        <f t="shared" si="84"/>
        <v>0</v>
      </c>
      <c r="G108" s="1"/>
      <c r="H108" s="1">
        <f>SUM(OSRRefH22_21x_0)</f>
        <v>0</v>
      </c>
      <c r="I108" s="1"/>
      <c r="J108" s="5">
        <f t="shared" si="85"/>
        <v>0</v>
      </c>
      <c r="K108" s="1"/>
      <c r="L108" s="1">
        <f t="shared" si="86"/>
        <v>0</v>
      </c>
      <c r="M108" s="1"/>
      <c r="N108" s="5">
        <f t="shared" si="87"/>
        <v>0</v>
      </c>
      <c r="O108" s="14"/>
      <c r="P108" s="1">
        <f>SUM(OSRRefP22_21x_0)</f>
        <v>717.61</v>
      </c>
      <c r="Q108" s="1"/>
      <c r="R108" s="5">
        <f t="shared" si="88"/>
        <v>1.0209686161921613E-4</v>
      </c>
      <c r="S108" s="1"/>
      <c r="T108" s="1">
        <f>SUM(OSRRefT22_21x_0)</f>
        <v>0</v>
      </c>
      <c r="U108" s="1"/>
      <c r="V108" s="5">
        <f t="shared" si="89"/>
        <v>0</v>
      </c>
      <c r="W108" s="1"/>
      <c r="X108" s="1">
        <f t="shared" si="90"/>
        <v>717.61</v>
      </c>
      <c r="Y108" s="1"/>
      <c r="Z108" s="5">
        <f t="shared" si="91"/>
        <v>0</v>
      </c>
    </row>
    <row r="109" spans="1:26" s="24" customFormat="1" hidden="1" outlineLevel="2" x14ac:dyDescent="0.3">
      <c r="A109" s="27"/>
      <c r="B109" s="11" t="str">
        <f>CONCATENATE("          ", "6292", " - ", "TRAVEL/CONFERENCE")</f>
        <v xml:space="preserve">          6292 - TRAVEL/CONFERENCE</v>
      </c>
      <c r="C109" s="11"/>
      <c r="D109" s="7"/>
      <c r="E109" s="2"/>
      <c r="F109" s="6">
        <f t="shared" si="84"/>
        <v>0</v>
      </c>
      <c r="G109" s="2"/>
      <c r="H109" s="7"/>
      <c r="I109" s="2"/>
      <c r="J109" s="6">
        <f t="shared" si="85"/>
        <v>0</v>
      </c>
      <c r="K109" s="2"/>
      <c r="L109" s="7">
        <f t="shared" si="86"/>
        <v>0</v>
      </c>
      <c r="M109" s="2"/>
      <c r="N109" s="6">
        <f t="shared" si="87"/>
        <v>0</v>
      </c>
      <c r="O109" s="11"/>
      <c r="P109" s="7">
        <v>613.59</v>
      </c>
      <c r="Q109" s="2"/>
      <c r="R109" s="6">
        <f t="shared" si="88"/>
        <v>8.729757573185271E-5</v>
      </c>
      <c r="S109" s="2"/>
      <c r="T109" s="7"/>
      <c r="U109" s="2"/>
      <c r="V109" s="6">
        <f t="shared" si="89"/>
        <v>0</v>
      </c>
      <c r="W109" s="2"/>
      <c r="X109" s="7">
        <f t="shared" si="90"/>
        <v>613.59</v>
      </c>
      <c r="Y109" s="2"/>
      <c r="Z109" s="6">
        <f t="shared" si="91"/>
        <v>0</v>
      </c>
    </row>
    <row r="110" spans="1:26" s="24" customFormat="1" hidden="1" outlineLevel="2" x14ac:dyDescent="0.3">
      <c r="A110" s="27"/>
      <c r="B110" s="11" t="str">
        <f>CONCATENATE("          ", "6298", " - ", "VEHICLE MILEAGE")</f>
        <v xml:space="preserve">          6298 - VEHICLE MILEAGE</v>
      </c>
      <c r="C110" s="11"/>
      <c r="D110" s="7"/>
      <c r="E110" s="2"/>
      <c r="F110" s="6">
        <f t="shared" si="84"/>
        <v>0</v>
      </c>
      <c r="G110" s="2"/>
      <c r="H110" s="7"/>
      <c r="I110" s="2"/>
      <c r="J110" s="6">
        <f t="shared" si="85"/>
        <v>0</v>
      </c>
      <c r="K110" s="2"/>
      <c r="L110" s="7">
        <f t="shared" si="86"/>
        <v>0</v>
      </c>
      <c r="M110" s="2"/>
      <c r="N110" s="6">
        <f t="shared" si="87"/>
        <v>0</v>
      </c>
      <c r="O110" s="11"/>
      <c r="P110" s="7">
        <v>104.02</v>
      </c>
      <c r="Q110" s="2"/>
      <c r="R110" s="6">
        <f t="shared" si="88"/>
        <v>1.4799285887363416E-5</v>
      </c>
      <c r="S110" s="2"/>
      <c r="T110" s="7"/>
      <c r="U110" s="2"/>
      <c r="V110" s="6">
        <f t="shared" si="89"/>
        <v>0</v>
      </c>
      <c r="W110" s="2"/>
      <c r="X110" s="7">
        <f t="shared" si="90"/>
        <v>104.02</v>
      </c>
      <c r="Y110" s="2"/>
      <c r="Z110" s="6">
        <f t="shared" si="91"/>
        <v>0</v>
      </c>
    </row>
    <row r="111" spans="1:26" s="28" customFormat="1" outlineLevel="1" collapsed="1" x14ac:dyDescent="0.3">
      <c r="A111" s="29"/>
      <c r="B111" s="14" t="str">
        <f>CONCATENATE("     ","Utilities                                         ")</f>
        <v xml:space="preserve">     Utilities                                         </v>
      </c>
      <c r="C111" s="14"/>
      <c r="D111" s="1">
        <f>SUM(OSRRefD22_22x_0)</f>
        <v>8150</v>
      </c>
      <c r="E111" s="1"/>
      <c r="F111" s="5">
        <f t="shared" ref="F111:F112" si="92">IF(D$12=0,0,D111/D$12)</f>
        <v>1.2599333376227751E-2</v>
      </c>
      <c r="G111" s="1"/>
      <c r="H111" s="1">
        <f>SUM(OSRRefH22_22x_0)</f>
        <v>8667</v>
      </c>
      <c r="I111" s="1"/>
      <c r="J111" s="5">
        <f t="shared" ref="J111:J112" si="93">IF(H$12=0,0,H111/H$12)</f>
        <v>1.4565187068627961E-2</v>
      </c>
      <c r="K111" s="1"/>
      <c r="L111" s="1">
        <f t="shared" ref="L111:L112" si="94">+D111-H111</f>
        <v>-517</v>
      </c>
      <c r="M111" s="1"/>
      <c r="N111" s="5">
        <f t="shared" ref="N111:N112" si="95">IF(H111=0,0,L111/H111)</f>
        <v>-5.9651551863389871E-2</v>
      </c>
      <c r="O111" s="14"/>
      <c r="P111" s="1">
        <f>SUM(OSRRefP22_22x_0)</f>
        <v>54650</v>
      </c>
      <c r="Q111" s="1"/>
      <c r="R111" s="5">
        <f t="shared" ref="R111:R112" si="96">IF(P$12=0,0,P111/P$12)</f>
        <v>7.7752448927553425E-3</v>
      </c>
      <c r="S111" s="1"/>
      <c r="T111" s="1">
        <f>SUM(OSRRefT22_22x_0)</f>
        <v>60669</v>
      </c>
      <c r="U111" s="1"/>
      <c r="V111" s="5">
        <f t="shared" ref="V111:V112" si="97">IF(T$12=0,0,T111/T$12)</f>
        <v>1.0812902338117027E-2</v>
      </c>
      <c r="W111" s="1"/>
      <c r="X111" s="1">
        <f t="shared" ref="X111:X112" si="98">+P111-T111</f>
        <v>-6019</v>
      </c>
      <c r="Y111" s="1"/>
      <c r="Z111" s="5">
        <f t="shared" ref="Z111:Z112" si="99">IF(T111=0,0,X111/T111)</f>
        <v>-9.9210469926980835E-2</v>
      </c>
    </row>
    <row r="112" spans="1:26" s="24" customFormat="1" hidden="1" outlineLevel="2" x14ac:dyDescent="0.3">
      <c r="A112" s="27"/>
      <c r="B112" s="11" t="str">
        <f>CONCATENATE("          ", "6274", " - ", "UTILITIES")</f>
        <v xml:space="preserve">          6274 - UTILITIES</v>
      </c>
      <c r="C112" s="11"/>
      <c r="D112" s="7">
        <v>8150</v>
      </c>
      <c r="E112" s="2"/>
      <c r="F112" s="6">
        <f t="shared" si="92"/>
        <v>1.2599333376227751E-2</v>
      </c>
      <c r="G112" s="2"/>
      <c r="H112" s="7">
        <v>8667</v>
      </c>
      <c r="I112" s="2"/>
      <c r="J112" s="6">
        <f t="shared" si="93"/>
        <v>1.4565187068627961E-2</v>
      </c>
      <c r="K112" s="2"/>
      <c r="L112" s="7">
        <f t="shared" si="94"/>
        <v>-517</v>
      </c>
      <c r="M112" s="2"/>
      <c r="N112" s="6">
        <f t="shared" si="95"/>
        <v>-5.9651551863389871E-2</v>
      </c>
      <c r="O112" s="11"/>
      <c r="P112" s="7">
        <v>54650</v>
      </c>
      <c r="Q112" s="2"/>
      <c r="R112" s="6">
        <f t="shared" si="96"/>
        <v>7.7752448927553425E-3</v>
      </c>
      <c r="S112" s="2"/>
      <c r="T112" s="7">
        <v>60669</v>
      </c>
      <c r="U112" s="2"/>
      <c r="V112" s="6">
        <f t="shared" si="97"/>
        <v>1.0812902338117027E-2</v>
      </c>
      <c r="W112" s="2"/>
      <c r="X112" s="7">
        <f t="shared" si="98"/>
        <v>-6019</v>
      </c>
      <c r="Y112" s="2"/>
      <c r="Z112" s="6">
        <f t="shared" si="99"/>
        <v>-9.9210469926980835E-2</v>
      </c>
    </row>
    <row r="113" spans="1:26" s="55" customFormat="1" x14ac:dyDescent="0.3">
      <c r="A113" s="36"/>
      <c r="B113" s="36"/>
      <c r="C113" s="36"/>
      <c r="D113" s="1"/>
      <c r="E113" s="1"/>
      <c r="F113" s="5"/>
      <c r="G113" s="1"/>
      <c r="H113" s="1"/>
      <c r="I113" s="1"/>
      <c r="J113" s="5"/>
      <c r="K113" s="1"/>
      <c r="L113" s="1"/>
      <c r="M113" s="1"/>
      <c r="N113" s="5"/>
      <c r="O113" s="36"/>
      <c r="P113" s="1"/>
      <c r="Q113" s="1"/>
      <c r="R113" s="5"/>
      <c r="S113" s="1"/>
      <c r="T113" s="1"/>
      <c r="U113" s="1"/>
      <c r="V113" s="5"/>
      <c r="W113" s="1"/>
      <c r="X113" s="1"/>
      <c r="Y113" s="1"/>
      <c r="Z113" s="5"/>
    </row>
    <row r="114" spans="1:26" s="23" customFormat="1" collapsed="1" x14ac:dyDescent="0.3">
      <c r="A114" s="10"/>
      <c r="B114" s="25" t="s">
        <v>293</v>
      </c>
      <c r="C114" s="10"/>
      <c r="D114" s="4">
        <f>SUM(OSRRefD25x_0)</f>
        <v>6523.34</v>
      </c>
      <c r="E114" s="4"/>
      <c r="F114" s="12">
        <f t="shared" ref="F114:F118" si="100">IF(D$12=0,0,D114/D$12)</f>
        <v>1.0084630108770741E-2</v>
      </c>
      <c r="G114" s="4"/>
      <c r="H114" s="4">
        <f>SUM(OSRRefH25x_0)</f>
        <v>46218.59</v>
      </c>
      <c r="I114" s="4"/>
      <c r="J114" s="12">
        <f t="shared" ref="J114:J118" si="101">IF(H$12=0,0,H114/H$12)</f>
        <v>7.7671906011101605E-2</v>
      </c>
      <c r="K114" s="4"/>
      <c r="L114" s="4">
        <f t="shared" ref="L114:L118" si="102">+D114-H114</f>
        <v>-39695.25</v>
      </c>
      <c r="M114" s="4"/>
      <c r="N114" s="12">
        <f t="shared" ref="N114:N118" si="103">IF(H114=0,0,L114/H114)</f>
        <v>-0.85885895696947923</v>
      </c>
      <c r="O114" s="10"/>
      <c r="P114" s="4">
        <f>SUM(OSRRefP25x_0)</f>
        <v>141141.85</v>
      </c>
      <c r="Q114" s="4"/>
      <c r="R114" s="12">
        <f t="shared" ref="R114:R118" si="104">IF(P$12=0,0,P114/P$12)</f>
        <v>2.008074013479489E-2</v>
      </c>
      <c r="S114" s="4"/>
      <c r="T114" s="4">
        <f>SUM(OSRRefT25x_0)</f>
        <v>47218.59</v>
      </c>
      <c r="U114" s="4"/>
      <c r="V114" s="12">
        <f t="shared" ref="V114:V118" si="105">IF(T$12=0,0,T114/T$12)</f>
        <v>8.4156653680395131E-3</v>
      </c>
      <c r="W114" s="4"/>
      <c r="X114" s="4">
        <f t="shared" ref="X114:X118" si="106">+P114-T114</f>
        <v>93923.260000000009</v>
      </c>
      <c r="Y114" s="4"/>
      <c r="Z114" s="12">
        <f t="shared" ref="Z114:Z118" si="107">IF(T114=0,0,X114/T114)</f>
        <v>1.9891161510752442</v>
      </c>
    </row>
    <row r="115" spans="1:26" s="24" customFormat="1" hidden="1" outlineLevel="1" x14ac:dyDescent="0.3">
      <c r="A115" s="44"/>
      <c r="B115" s="11" t="str">
        <f>CONCATENATE("          ", "9150", " - ", "MISC. INCOME")</f>
        <v xml:space="preserve">          9150 - MISC. INCOME</v>
      </c>
      <c r="C115" s="11"/>
      <c r="D115" s="2">
        <f>--6523.34</f>
        <v>6523.34</v>
      </c>
      <c r="E115" s="2"/>
      <c r="F115" s="19">
        <f t="shared" si="100"/>
        <v>1.0084630108770741E-2</v>
      </c>
      <c r="G115" s="2"/>
      <c r="H115" s="2"/>
      <c r="I115" s="2"/>
      <c r="J115" s="19">
        <f t="shared" si="101"/>
        <v>0</v>
      </c>
      <c r="K115" s="2"/>
      <c r="L115" s="2">
        <f t="shared" si="102"/>
        <v>6523.34</v>
      </c>
      <c r="M115" s="2"/>
      <c r="N115" s="19">
        <f t="shared" si="103"/>
        <v>0</v>
      </c>
      <c r="O115" s="11"/>
      <c r="P115" s="2">
        <f>--141141.85</f>
        <v>141141.85</v>
      </c>
      <c r="Q115" s="2"/>
      <c r="R115" s="19">
        <f t="shared" si="104"/>
        <v>2.008074013479489E-2</v>
      </c>
      <c r="S115" s="2"/>
      <c r="T115" s="2">
        <v>1000</v>
      </c>
      <c r="U115" s="2"/>
      <c r="V115" s="19">
        <f t="shared" si="105"/>
        <v>1.7822779900965942E-4</v>
      </c>
      <c r="W115" s="2"/>
      <c r="X115" s="2">
        <f t="shared" si="106"/>
        <v>140141.85</v>
      </c>
      <c r="Y115" s="2"/>
      <c r="Z115" s="19">
        <f t="shared" si="107"/>
        <v>140.14185000000001</v>
      </c>
    </row>
    <row r="116" spans="1:26" s="24" customFormat="1" hidden="1" outlineLevel="1" x14ac:dyDescent="0.3">
      <c r="A116" s="44"/>
      <c r="B116" s="11" t="str">
        <f>CONCATENATE("          ", "9151", " - ", "MISC. INCOME")</f>
        <v xml:space="preserve">          9151 - MISC. INCOME</v>
      </c>
      <c r="C116" s="11"/>
      <c r="D116" s="2">
        <f t="shared" ref="D116:D118" si="108">0</f>
        <v>0</v>
      </c>
      <c r="E116" s="2"/>
      <c r="F116" s="19">
        <f t="shared" si="100"/>
        <v>0</v>
      </c>
      <c r="G116" s="2"/>
      <c r="H116" s="2">
        <v>16252</v>
      </c>
      <c r="I116" s="2"/>
      <c r="J116" s="19">
        <f t="shared" si="101"/>
        <v>2.7312036487751427E-2</v>
      </c>
      <c r="K116" s="2"/>
      <c r="L116" s="2">
        <f t="shared" si="102"/>
        <v>-16252</v>
      </c>
      <c r="M116" s="2"/>
      <c r="N116" s="19">
        <f t="shared" si="103"/>
        <v>-1</v>
      </c>
      <c r="O116" s="11"/>
      <c r="P116" s="2">
        <f t="shared" ref="P116:P118" si="109">0</f>
        <v>0</v>
      </c>
      <c r="Q116" s="2"/>
      <c r="R116" s="19">
        <f t="shared" si="104"/>
        <v>0</v>
      </c>
      <c r="S116" s="2"/>
      <c r="T116" s="2">
        <v>16252</v>
      </c>
      <c r="U116" s="2"/>
      <c r="V116" s="19">
        <f t="shared" si="105"/>
        <v>2.8965581895049847E-3</v>
      </c>
      <c r="W116" s="2"/>
      <c r="X116" s="2">
        <f t="shared" si="106"/>
        <v>-16252</v>
      </c>
      <c r="Y116" s="2"/>
      <c r="Z116" s="19">
        <f t="shared" si="107"/>
        <v>-1</v>
      </c>
    </row>
    <row r="117" spans="1:26" s="24" customFormat="1" hidden="1" outlineLevel="1" x14ac:dyDescent="0.3">
      <c r="A117" s="44"/>
      <c r="B117" s="11" t="str">
        <f>CONCATENATE("          ", "9160", " - ", "MISC. INCOME")</f>
        <v xml:space="preserve">          9160 - MISC. INCOME</v>
      </c>
      <c r="C117" s="11"/>
      <c r="D117" s="2">
        <f t="shared" si="108"/>
        <v>0</v>
      </c>
      <c r="E117" s="2"/>
      <c r="F117" s="19">
        <f t="shared" si="100"/>
        <v>0</v>
      </c>
      <c r="G117" s="2"/>
      <c r="H117" s="2">
        <v>29966.59</v>
      </c>
      <c r="I117" s="2"/>
      <c r="J117" s="19">
        <f t="shared" si="101"/>
        <v>5.0359869523350177E-2</v>
      </c>
      <c r="K117" s="2"/>
      <c r="L117" s="2">
        <f t="shared" si="102"/>
        <v>-29966.59</v>
      </c>
      <c r="M117" s="2"/>
      <c r="N117" s="19">
        <f t="shared" si="103"/>
        <v>-1</v>
      </c>
      <c r="O117" s="11"/>
      <c r="P117" s="2">
        <f t="shared" si="109"/>
        <v>0</v>
      </c>
      <c r="Q117" s="2"/>
      <c r="R117" s="19">
        <f t="shared" si="104"/>
        <v>0</v>
      </c>
      <c r="S117" s="2"/>
      <c r="T117" s="2">
        <v>29966.59</v>
      </c>
      <c r="U117" s="2"/>
      <c r="V117" s="19">
        <f t="shared" si="105"/>
        <v>5.3408793795248696E-3</v>
      </c>
      <c r="W117" s="2"/>
      <c r="X117" s="2">
        <f t="shared" si="106"/>
        <v>-29966.59</v>
      </c>
      <c r="Y117" s="2"/>
      <c r="Z117" s="19">
        <f t="shared" si="107"/>
        <v>-1</v>
      </c>
    </row>
    <row r="118" spans="1:26" s="24" customFormat="1" hidden="1" outlineLevel="1" x14ac:dyDescent="0.3">
      <c r="A118" s="44"/>
      <c r="B118" s="11" t="str">
        <f>CONCATENATE("          ", "9165", " - ", "OTHER INCOME")</f>
        <v xml:space="preserve">          9165 - OTHER INCOME</v>
      </c>
      <c r="C118" s="11"/>
      <c r="D118" s="2">
        <f t="shared" si="108"/>
        <v>0</v>
      </c>
      <c r="E118" s="2"/>
      <c r="F118" s="19">
        <f t="shared" si="100"/>
        <v>0</v>
      </c>
      <c r="G118" s="2"/>
      <c r="H118" s="2"/>
      <c r="I118" s="2"/>
      <c r="J118" s="19">
        <f t="shared" si="101"/>
        <v>0</v>
      </c>
      <c r="K118" s="2"/>
      <c r="L118" s="2">
        <f t="shared" si="102"/>
        <v>0</v>
      </c>
      <c r="M118" s="2"/>
      <c r="N118" s="19">
        <f t="shared" si="103"/>
        <v>0</v>
      </c>
      <c r="O118" s="11"/>
      <c r="P118" s="2">
        <f t="shared" si="109"/>
        <v>0</v>
      </c>
      <c r="Q118" s="2"/>
      <c r="R118" s="19">
        <f t="shared" si="104"/>
        <v>0</v>
      </c>
      <c r="S118" s="2"/>
      <c r="T118" s="2"/>
      <c r="U118" s="2"/>
      <c r="V118" s="19">
        <f t="shared" si="105"/>
        <v>0</v>
      </c>
      <c r="W118" s="2"/>
      <c r="X118" s="2">
        <f t="shared" si="106"/>
        <v>0</v>
      </c>
      <c r="Y118" s="2"/>
      <c r="Z118" s="19">
        <f t="shared" si="107"/>
        <v>0</v>
      </c>
    </row>
    <row r="119" spans="1:26" x14ac:dyDescent="0.3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3">
      <c r="A120" s="10"/>
      <c r="B120" s="26" t="s">
        <v>277</v>
      </c>
      <c r="C120" s="26"/>
      <c r="D120" s="21">
        <f>+D25-D27+D114</f>
        <v>24382.889999999814</v>
      </c>
      <c r="E120" s="13"/>
      <c r="F120" s="22">
        <f>IF(D$12=0,0,D120/D$12)</f>
        <v>3.769425273446473E-2</v>
      </c>
      <c r="G120" s="13"/>
      <c r="H120" s="21">
        <f>+H25-H27+H114</f>
        <v>-250987.69774074815</v>
      </c>
      <c r="I120" s="13"/>
      <c r="J120" s="22">
        <f>IF(H$12=0,0,H120/H$12)</f>
        <v>-0.42179332750873988</v>
      </c>
      <c r="K120" s="15"/>
      <c r="L120" s="21">
        <f>+D120-H120</f>
        <v>275370.58774074796</v>
      </c>
      <c r="M120" s="15"/>
      <c r="N120" s="22">
        <f>IF(H120=0,0,L120/H120)</f>
        <v>-1.0971477495490061</v>
      </c>
      <c r="O120" s="25"/>
      <c r="P120" s="21">
        <f>+P25-P27+P114</f>
        <v>1029686.4900000006</v>
      </c>
      <c r="Q120" s="13"/>
      <c r="R120" s="22">
        <f>IF(P$12=0,0,P120/P$12)</f>
        <v>0.14649706537075352</v>
      </c>
      <c r="S120" s="13"/>
      <c r="T120" s="21">
        <f>+T25-T27+T114</f>
        <v>-707647.24099526729</v>
      </c>
      <c r="U120" s="13"/>
      <c r="V120" s="22">
        <f>IF(T$12=0,0,T120/T$12)</f>
        <v>-0.12612241023784451</v>
      </c>
      <c r="W120" s="15"/>
      <c r="X120" s="21">
        <f>+P120-T120</f>
        <v>1737333.7309952679</v>
      </c>
      <c r="Y120" s="15"/>
      <c r="Z120" s="22">
        <f>IF(T120=0,0,X120/T120)</f>
        <v>-2.4550844408745274</v>
      </c>
    </row>
    <row r="121" spans="1:26" x14ac:dyDescent="0.3">
      <c r="A121" s="9"/>
      <c r="B121" s="10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3">
      <c r="A122" s="52"/>
      <c r="B122" s="10" t="s">
        <v>128</v>
      </c>
      <c r="C122" s="10"/>
      <c r="D122" s="4">
        <v>162183.64000000001</v>
      </c>
      <c r="E122" s="4"/>
      <c r="F122" s="12">
        <f>IF(D$12=0,0,D122/D$12)</f>
        <v>0.25072463172148546</v>
      </c>
      <c r="G122" s="4"/>
      <c r="H122" s="4">
        <v>53619</v>
      </c>
      <c r="I122" s="4"/>
      <c r="J122" s="12">
        <f>IF(H$12=0,0,H122/H$12)</f>
        <v>9.0108545682792515E-2</v>
      </c>
      <c r="K122" s="4"/>
      <c r="L122" s="4">
        <f>+D122-H122</f>
        <v>108564.64000000001</v>
      </c>
      <c r="M122" s="4"/>
      <c r="N122" s="12">
        <f>IF(H122=0,0,L122/H122)</f>
        <v>2.0247419757921636</v>
      </c>
      <c r="O122" s="10"/>
      <c r="P122" s="4">
        <v>930372.97</v>
      </c>
      <c r="Q122" s="4"/>
      <c r="R122" s="12">
        <f>IF(P$12=0,0,P122/P$12)</f>
        <v>0.13236738670357034</v>
      </c>
      <c r="S122" s="4"/>
      <c r="T122" s="4">
        <v>703012</v>
      </c>
      <c r="U122" s="4"/>
      <c r="V122" s="12">
        <f>IF(T$12=0,0,T122/T$12)</f>
        <v>0.12529628143737867</v>
      </c>
      <c r="W122" s="4"/>
      <c r="X122" s="4">
        <f>+P122-T122</f>
        <v>227360.96999999997</v>
      </c>
      <c r="Y122" s="4"/>
      <c r="Z122" s="12">
        <f>IF(T122=0,0,X122/T122)</f>
        <v>0.32340979954822957</v>
      </c>
    </row>
    <row r="123" spans="1:26" x14ac:dyDescent="0.3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" thickBot="1" x14ac:dyDescent="0.35">
      <c r="A124" s="10"/>
      <c r="B124" s="26" t="s">
        <v>126</v>
      </c>
      <c r="C124" s="26"/>
      <c r="D124" s="32">
        <f>+D120-D122</f>
        <v>-137800.7500000002</v>
      </c>
      <c r="E124" s="13"/>
      <c r="F124" s="31">
        <f>IF(D$12=0,0,D124/D$12)</f>
        <v>-0.21303037898702071</v>
      </c>
      <c r="G124" s="13"/>
      <c r="H124" s="32">
        <f>+H120-H122</f>
        <v>-304606.69774074818</v>
      </c>
      <c r="I124" s="13"/>
      <c r="J124" s="31">
        <f>IF(H$12=0,0,H124/H$12)</f>
        <v>-0.51190187319153246</v>
      </c>
      <c r="K124" s="15"/>
      <c r="L124" s="32">
        <f>D124-H124</f>
        <v>166805.94774074797</v>
      </c>
      <c r="M124" s="15"/>
      <c r="N124" s="31">
        <f>IF(H124=0,0,L124/H124)</f>
        <v>-0.54761089949084807</v>
      </c>
      <c r="O124" s="25"/>
      <c r="P124" s="32">
        <f>+P120-P122</f>
        <v>99313.520000000601</v>
      </c>
      <c r="Q124" s="13"/>
      <c r="R124" s="31">
        <f>IF(P$12=0,0,P124/P$12)</f>
        <v>1.412967866718317E-2</v>
      </c>
      <c r="S124" s="13"/>
      <c r="T124" s="32">
        <f>+T120-T122</f>
        <v>-1410659.2409952674</v>
      </c>
      <c r="U124" s="13"/>
      <c r="V124" s="31">
        <f>IF(T$12=0,0,T124/T$12)</f>
        <v>-0.25141869167522324</v>
      </c>
      <c r="W124" s="15"/>
      <c r="X124" s="32">
        <f>P124-T124</f>
        <v>1509972.7609952679</v>
      </c>
      <c r="Y124" s="15"/>
      <c r="Z124" s="31">
        <f>IF(T124=0,0,X124/T124)</f>
        <v>-1.0704022042417072</v>
      </c>
    </row>
    <row r="125" spans="1:26" ht="15" thickTop="1" x14ac:dyDescent="0.3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x14ac:dyDescent="0.3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" thickBot="1" x14ac:dyDescent="0.35">
      <c r="A127" s="10"/>
      <c r="B127" s="26" t="s">
        <v>294</v>
      </c>
      <c r="C127" s="26"/>
      <c r="D127" s="34">
        <f>SUM(D124:D126)</f>
        <v>-137800.7500000002</v>
      </c>
      <c r="E127" s="13"/>
      <c r="F127" s="35">
        <f>IF(D$12=0,0,D127/D$12)</f>
        <v>-0.21303037898702071</v>
      </c>
      <c r="G127" s="13"/>
      <c r="H127" s="34">
        <f>SUM(H124:H126)</f>
        <v>-304606.69774074818</v>
      </c>
      <c r="I127" s="13"/>
      <c r="J127" s="35">
        <f>IF(H$12=0,0,H127/H$12)</f>
        <v>-0.51190187319153246</v>
      </c>
      <c r="K127" s="15"/>
      <c r="L127" s="34">
        <f>+D127-H127</f>
        <v>166805.94774074797</v>
      </c>
      <c r="M127" s="15"/>
      <c r="N127" s="35">
        <f>IF(H127=0,0,L127/H127)</f>
        <v>-0.54761089949084807</v>
      </c>
      <c r="O127" s="25"/>
      <c r="P127" s="34">
        <f>SUM(P124:P126)</f>
        <v>99313.520000000601</v>
      </c>
      <c r="Q127" s="13"/>
      <c r="R127" s="35">
        <f>IF(P$12=0,0,P127/P$12)</f>
        <v>1.412967866718317E-2</v>
      </c>
      <c r="S127" s="13"/>
      <c r="T127" s="34">
        <f>SUM(T124:T126)</f>
        <v>-1410659.2409952674</v>
      </c>
      <c r="U127" s="13"/>
      <c r="V127" s="35">
        <f>IF(T$12=0,0,T127/T$12)</f>
        <v>-0.25141869167522324</v>
      </c>
      <c r="W127" s="15"/>
      <c r="X127" s="34">
        <f>+P127-T127</f>
        <v>1509972.7609952679</v>
      </c>
      <c r="Y127" s="15"/>
      <c r="Z127" s="35">
        <f>IF(T127=0,0,X127/T127)</f>
        <v>-1.0704022042417072</v>
      </c>
    </row>
    <row r="128" spans="1:26" ht="15" thickTop="1" x14ac:dyDescent="0.3">
      <c r="A128" s="9"/>
      <c r="C128" s="9"/>
      <c r="D128" s="17"/>
      <c r="E128" s="17"/>
      <c r="G128" s="17"/>
      <c r="H128" s="17"/>
      <c r="I128" s="17"/>
      <c r="J128" s="43"/>
      <c r="K128" s="17"/>
      <c r="L128" s="17"/>
      <c r="M128" s="17"/>
      <c r="P128" s="17"/>
      <c r="Q128" s="17"/>
      <c r="R128" s="43"/>
      <c r="S128" s="17"/>
      <c r="T128" s="17"/>
      <c r="U128" s="17"/>
      <c r="V128" s="43"/>
      <c r="W128" s="17"/>
      <c r="X128" s="17"/>
    </row>
    <row r="129" spans="1:24" x14ac:dyDescent="0.3">
      <c r="A129" s="9"/>
      <c r="B129" s="53">
        <v>44604.019980358797</v>
      </c>
      <c r="D129" s="17"/>
      <c r="E129" s="17"/>
      <c r="G129" s="17"/>
      <c r="H129" s="17"/>
      <c r="I129" s="17"/>
      <c r="J129" s="43"/>
      <c r="K129" s="17"/>
      <c r="L129" s="17"/>
      <c r="M129" s="17"/>
      <c r="P129" s="17"/>
      <c r="Q129" s="17"/>
      <c r="R129" s="43"/>
      <c r="S129" s="17"/>
      <c r="T129" s="17"/>
      <c r="U129" s="17"/>
      <c r="V129" s="43"/>
      <c r="W129" s="17"/>
      <c r="X129" s="17"/>
    </row>
    <row r="130" spans="1:24" x14ac:dyDescent="0.3">
      <c r="A130" s="9"/>
      <c r="B130" s="63" t="s">
        <v>56</v>
      </c>
      <c r="D130" s="17"/>
      <c r="E130" s="17"/>
      <c r="G130" s="17"/>
      <c r="H130" s="17"/>
      <c r="I130" s="17"/>
      <c r="J130" s="43"/>
      <c r="K130" s="17"/>
      <c r="L130" s="17"/>
      <c r="M130" s="17"/>
      <c r="P130" s="17"/>
      <c r="Q130" s="17"/>
      <c r="R130" s="43"/>
      <c r="S130" s="17"/>
      <c r="T130" s="17"/>
      <c r="U130" s="17"/>
      <c r="V130" s="43"/>
      <c r="W130" s="17"/>
      <c r="X130" s="17"/>
    </row>
    <row r="131" spans="1:24" x14ac:dyDescent="0.3">
      <c r="A131" s="9"/>
      <c r="B131" s="58"/>
      <c r="D131" s="17"/>
      <c r="E131" s="17"/>
      <c r="G131" s="17"/>
      <c r="H131" s="17"/>
      <c r="I131" s="17"/>
      <c r="J131" s="43"/>
      <c r="K131" s="17"/>
      <c r="L131" s="17"/>
      <c r="M131" s="17"/>
      <c r="P131" s="17"/>
      <c r="Q131" s="17"/>
      <c r="R131" s="43"/>
      <c r="S131" s="17"/>
      <c r="T131" s="17"/>
      <c r="U131" s="17"/>
      <c r="V131" s="43"/>
      <c r="W131" s="17"/>
      <c r="X131" s="17"/>
    </row>
    <row r="132" spans="1:24" x14ac:dyDescent="0.3">
      <c r="D132" s="17"/>
      <c r="E132" s="17"/>
      <c r="G132" s="17"/>
      <c r="H132" s="17"/>
      <c r="I132" s="17"/>
      <c r="J132" s="43"/>
      <c r="K132" s="17"/>
      <c r="L132" s="17"/>
      <c r="M132" s="17"/>
      <c r="P132" s="17"/>
      <c r="Q132" s="17"/>
      <c r="R132" s="43"/>
      <c r="S132" s="17"/>
      <c r="T132" s="17"/>
      <c r="U132" s="17"/>
      <c r="V132" s="43"/>
      <c r="W132" s="17"/>
      <c r="X132" s="17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218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 tint="0.39997558519241921"/>
    <outlinePr summaryBelow="0" summaryRight="0"/>
  </sheetPr>
  <dimension ref="A2:Z12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55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18311.25</v>
      </c>
      <c r="E12" s="4"/>
      <c r="F12" s="12"/>
      <c r="G12" s="4"/>
      <c r="H12" s="4">
        <f>SUM(OSRRefH13x_0)</f>
        <v>186955</v>
      </c>
      <c r="I12" s="4"/>
      <c r="J12" s="12"/>
      <c r="K12" s="4"/>
      <c r="L12" s="4">
        <f t="shared" ref="L12:L18" si="0">+D12-H12</f>
        <v>-168643.75</v>
      </c>
      <c r="M12" s="4"/>
      <c r="N12" s="12">
        <f t="shared" ref="N12:N18" si="1">IF(H12=0,0,L12/H12)</f>
        <v>-0.90205530742692097</v>
      </c>
      <c r="O12" s="10"/>
      <c r="P12" s="4">
        <f>SUM(OSRRefP13x_0)</f>
        <v>683627.02</v>
      </c>
      <c r="Q12" s="4"/>
      <c r="R12" s="12"/>
      <c r="S12" s="4"/>
      <c r="T12" s="4">
        <f>SUM(OSRRefT13x_0)</f>
        <v>840436</v>
      </c>
      <c r="U12" s="4"/>
      <c r="V12" s="12"/>
      <c r="W12" s="4"/>
      <c r="X12" s="4">
        <f t="shared" ref="X12:X18" si="2">+P12-T12</f>
        <v>-156808.97999999998</v>
      </c>
      <c r="Y12" s="4"/>
      <c r="Z12" s="12">
        <f t="shared" ref="Z12:Z18" si="3">IF(T12=0,0,X12/T12)</f>
        <v>-0.18658051297183839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--803.91</f>
        <v>803.91</v>
      </c>
      <c r="E13" s="2"/>
      <c r="F13" s="19"/>
      <c r="G13" s="2"/>
      <c r="H13" s="2">
        <v>76065</v>
      </c>
      <c r="I13" s="2"/>
      <c r="J13" s="19"/>
      <c r="K13" s="2"/>
      <c r="L13" s="2">
        <f t="shared" si="0"/>
        <v>-75261.09</v>
      </c>
      <c r="M13" s="2"/>
      <c r="N13" s="19">
        <f t="shared" si="1"/>
        <v>-0.98943127588246893</v>
      </c>
      <c r="O13" s="11"/>
      <c r="P13" s="2">
        <f>--13554.56</f>
        <v>13554.56</v>
      </c>
      <c r="Q13" s="2"/>
      <c r="R13" s="19"/>
      <c r="S13" s="2"/>
      <c r="T13" s="2">
        <v>257830</v>
      </c>
      <c r="U13" s="2"/>
      <c r="V13" s="19"/>
      <c r="W13" s="2"/>
      <c r="X13" s="2">
        <f t="shared" si="2"/>
        <v>-244275.44</v>
      </c>
      <c r="Y13" s="2"/>
      <c r="Z13" s="19">
        <f t="shared" si="3"/>
        <v>-0.94742830547259826</v>
      </c>
    </row>
    <row r="14" spans="1:26" s="24" customFormat="1" hidden="1" outlineLevel="1" x14ac:dyDescent="0.3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--2376.57</f>
        <v>2376.5700000000002</v>
      </c>
      <c r="E14" s="2"/>
      <c r="F14" s="19"/>
      <c r="G14" s="2"/>
      <c r="H14" s="2"/>
      <c r="I14" s="2"/>
      <c r="J14" s="19"/>
      <c r="K14" s="2"/>
      <c r="L14" s="2">
        <f t="shared" si="0"/>
        <v>2376.5700000000002</v>
      </c>
      <c r="M14" s="2"/>
      <c r="N14" s="19">
        <f t="shared" si="1"/>
        <v>0</v>
      </c>
      <c r="O14" s="11"/>
      <c r="P14" s="2">
        <f>--149359.36</f>
        <v>149359.35999999999</v>
      </c>
      <c r="Q14" s="2"/>
      <c r="R14" s="19"/>
      <c r="S14" s="2"/>
      <c r="T14" s="2"/>
      <c r="U14" s="2"/>
      <c r="V14" s="19"/>
      <c r="W14" s="2"/>
      <c r="X14" s="2">
        <f t="shared" si="2"/>
        <v>149359.35999999999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--1412.89</f>
        <v>1412.89</v>
      </c>
      <c r="E15" s="2"/>
      <c r="F15" s="19"/>
      <c r="G15" s="2"/>
      <c r="H15" s="2"/>
      <c r="I15" s="2"/>
      <c r="J15" s="19"/>
      <c r="K15" s="2"/>
      <c r="L15" s="2">
        <f t="shared" si="0"/>
        <v>1412.89</v>
      </c>
      <c r="M15" s="2"/>
      <c r="N15" s="19">
        <f t="shared" si="1"/>
        <v>0</v>
      </c>
      <c r="O15" s="11"/>
      <c r="P15" s="2">
        <f>--9491.19</f>
        <v>9491.19</v>
      </c>
      <c r="Q15" s="2"/>
      <c r="R15" s="19"/>
      <c r="S15" s="2"/>
      <c r="T15" s="2"/>
      <c r="U15" s="2"/>
      <c r="V15" s="19"/>
      <c r="W15" s="2"/>
      <c r="X15" s="2">
        <f t="shared" si="2"/>
        <v>9491.19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--4029.55</f>
        <v>4029.55</v>
      </c>
      <c r="E16" s="2"/>
      <c r="F16" s="19"/>
      <c r="G16" s="2"/>
      <c r="H16" s="2">
        <v>110890</v>
      </c>
      <c r="I16" s="2"/>
      <c r="J16" s="19"/>
      <c r="K16" s="2"/>
      <c r="L16" s="2">
        <f t="shared" si="0"/>
        <v>-106860.45</v>
      </c>
      <c r="M16" s="2"/>
      <c r="N16" s="19">
        <f t="shared" si="1"/>
        <v>-0.96366173685634415</v>
      </c>
      <c r="O16" s="11"/>
      <c r="P16" s="2">
        <f>--66987.68</f>
        <v>66987.679999999993</v>
      </c>
      <c r="Q16" s="2"/>
      <c r="R16" s="19"/>
      <c r="S16" s="2"/>
      <c r="T16" s="2">
        <v>582606</v>
      </c>
      <c r="U16" s="2"/>
      <c r="V16" s="19"/>
      <c r="W16" s="2"/>
      <c r="X16" s="2">
        <f t="shared" si="2"/>
        <v>-515618.32</v>
      </c>
      <c r="Y16" s="2"/>
      <c r="Z16" s="19">
        <f t="shared" si="3"/>
        <v>-0.88502061427448397</v>
      </c>
    </row>
    <row r="17" spans="1:26" s="24" customFormat="1" hidden="1" outlineLevel="1" x14ac:dyDescent="0.3">
      <c r="A17" s="44"/>
      <c r="B17" s="11" t="str">
        <f>CONCATENATE("          ", "4151", " - ", "NON-TAXABLE SALES-FOOD")</f>
        <v xml:space="preserve">          4151 - NON-TAXABLE SALES-FOOD</v>
      </c>
      <c r="C17" s="11"/>
      <c r="D17" s="2">
        <f>--9688.33</f>
        <v>9688.33</v>
      </c>
      <c r="E17" s="2"/>
      <c r="F17" s="19"/>
      <c r="G17" s="2"/>
      <c r="H17" s="2"/>
      <c r="I17" s="2"/>
      <c r="J17" s="19"/>
      <c r="K17" s="2"/>
      <c r="L17" s="2">
        <f t="shared" si="0"/>
        <v>9688.33</v>
      </c>
      <c r="M17" s="2"/>
      <c r="N17" s="19">
        <f t="shared" si="1"/>
        <v>0</v>
      </c>
      <c r="O17" s="11"/>
      <c r="P17" s="2">
        <f>--444234.23</f>
        <v>444234.23</v>
      </c>
      <c r="Q17" s="2"/>
      <c r="R17" s="19"/>
      <c r="S17" s="2"/>
      <c r="T17" s="2"/>
      <c r="U17" s="2"/>
      <c r="V17" s="19"/>
      <c r="W17" s="2"/>
      <c r="X17" s="2">
        <f t="shared" si="2"/>
        <v>444234.23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"4153", " - ", "NON-TAXABLE SALES-FOOD")</f>
        <v xml:space="preserve">          4153 - NON-TAXABLE SALES-FOOD</v>
      </c>
      <c r="C18" s="11"/>
      <c r="D18" s="2">
        <f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/>
      <c r="U18" s="2"/>
      <c r="V18" s="19"/>
      <c r="W18" s="2"/>
      <c r="X18" s="2">
        <f t="shared" si="2"/>
        <v>0</v>
      </c>
      <c r="Y18" s="2"/>
      <c r="Z18" s="19">
        <f t="shared" si="3"/>
        <v>0</v>
      </c>
    </row>
    <row r="19" spans="1:26" x14ac:dyDescent="0.3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3">
      <c r="A20" s="10"/>
      <c r="B20" s="25" t="s">
        <v>257</v>
      </c>
      <c r="C20" s="10"/>
      <c r="D20" s="4">
        <f>SUM(OSRRefD16x_0)</f>
        <v>14636.4</v>
      </c>
      <c r="E20" s="4"/>
      <c r="F20" s="12">
        <f t="shared" ref="F20:F23" si="4">IF(D$12=0,0,D20/D$12)</f>
        <v>0.79931189842310058</v>
      </c>
      <c r="G20" s="4"/>
      <c r="H20" s="4">
        <f>SUM(OSRRefH16x_0)</f>
        <v>69497</v>
      </c>
      <c r="I20" s="4"/>
      <c r="J20" s="12">
        <f t="shared" ref="J20:J23" si="5">IF(H$12=0,0,H20/H$12)</f>
        <v>0.37173116525367067</v>
      </c>
      <c r="K20" s="4"/>
      <c r="L20" s="4">
        <f t="shared" ref="L20:L23" si="6">+D20-H20</f>
        <v>-54860.6</v>
      </c>
      <c r="M20" s="4"/>
      <c r="N20" s="12">
        <f t="shared" ref="N20:N23" si="7">IF(H20=0,0,L20/H20)</f>
        <v>-0.78939522569319542</v>
      </c>
      <c r="O20" s="10"/>
      <c r="P20" s="4">
        <f>SUM(OSRRefP16x_0)</f>
        <v>294732.79999999999</v>
      </c>
      <c r="Q20" s="4"/>
      <c r="R20" s="12">
        <f t="shared" ref="R20:R23" si="8">IF(P$12=0,0,P20/P$12)</f>
        <v>0.43113099888883849</v>
      </c>
      <c r="S20" s="4"/>
      <c r="T20" s="4">
        <f>SUM(OSRRefT16x_0)</f>
        <v>317415</v>
      </c>
      <c r="U20" s="4"/>
      <c r="V20" s="12">
        <f t="shared" ref="V20:V23" si="9">IF(T$12=0,0,T20/T$12)</f>
        <v>0.37767896663160549</v>
      </c>
      <c r="W20" s="4"/>
      <c r="X20" s="4">
        <f t="shared" ref="X20:X23" si="10">+P20-T20</f>
        <v>-22682.200000000012</v>
      </c>
      <c r="Y20" s="4"/>
      <c r="Z20" s="12">
        <f t="shared" ref="Z20:Z23" si="11">IF(T20=0,0,X20/T20)</f>
        <v>-7.1459130790920436E-2</v>
      </c>
    </row>
    <row r="21" spans="1:26" s="24" customFormat="1" hidden="1" outlineLevel="1" x14ac:dyDescent="0.3">
      <c r="A21" s="44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19">
        <f t="shared" si="4"/>
        <v>0</v>
      </c>
      <c r="G21" s="2"/>
      <c r="H21" s="2">
        <v>69497</v>
      </c>
      <c r="I21" s="2"/>
      <c r="J21" s="19">
        <f t="shared" si="5"/>
        <v>0.37173116525367067</v>
      </c>
      <c r="K21" s="2"/>
      <c r="L21" s="2">
        <f t="shared" si="6"/>
        <v>-69497</v>
      </c>
      <c r="M21" s="2"/>
      <c r="N21" s="19">
        <f t="shared" si="7"/>
        <v>-1</v>
      </c>
      <c r="O21" s="11"/>
      <c r="P21" s="2"/>
      <c r="Q21" s="2"/>
      <c r="R21" s="19">
        <f t="shared" si="8"/>
        <v>0</v>
      </c>
      <c r="S21" s="2"/>
      <c r="T21" s="2">
        <v>317415</v>
      </c>
      <c r="U21" s="2"/>
      <c r="V21" s="19">
        <f t="shared" si="9"/>
        <v>0.37767896663160549</v>
      </c>
      <c r="W21" s="2"/>
      <c r="X21" s="2">
        <f t="shared" si="10"/>
        <v>-317415</v>
      </c>
      <c r="Y21" s="2"/>
      <c r="Z21" s="19">
        <f t="shared" si="11"/>
        <v>-1</v>
      </c>
    </row>
    <row r="22" spans="1:26" s="24" customFormat="1" hidden="1" outlineLevel="1" x14ac:dyDescent="0.3">
      <c r="A22" s="44"/>
      <c r="B22" s="11" t="str">
        <f>CONCATENATE("          ", "5053", " - ", "PURCHASES @ COST-FOOD")</f>
        <v xml:space="preserve">          5053 - PURCHASES @ COST-FOOD</v>
      </c>
      <c r="C22" s="11"/>
      <c r="D22" s="2">
        <v>12455.56</v>
      </c>
      <c r="E22" s="2"/>
      <c r="F22" s="19">
        <f t="shared" si="4"/>
        <v>0.68021352993378381</v>
      </c>
      <c r="G22" s="2"/>
      <c r="H22" s="2"/>
      <c r="I22" s="2"/>
      <c r="J22" s="19">
        <f t="shared" si="5"/>
        <v>0</v>
      </c>
      <c r="K22" s="2"/>
      <c r="L22" s="2">
        <f t="shared" si="6"/>
        <v>12455.56</v>
      </c>
      <c r="M22" s="2"/>
      <c r="N22" s="19">
        <f t="shared" si="7"/>
        <v>0</v>
      </c>
      <c r="O22" s="11"/>
      <c r="P22" s="2">
        <v>271172.11</v>
      </c>
      <c r="Q22" s="2"/>
      <c r="R22" s="19">
        <f t="shared" si="8"/>
        <v>0.39666675258096146</v>
      </c>
      <c r="S22" s="2"/>
      <c r="T22" s="2"/>
      <c r="U22" s="2"/>
      <c r="V22" s="19">
        <f t="shared" si="9"/>
        <v>0</v>
      </c>
      <c r="W22" s="2"/>
      <c r="X22" s="2">
        <f t="shared" si="10"/>
        <v>271172.11</v>
      </c>
      <c r="Y22" s="2"/>
      <c r="Z22" s="19">
        <f t="shared" si="11"/>
        <v>0</v>
      </c>
    </row>
    <row r="23" spans="1:26" s="24" customFormat="1" hidden="1" outlineLevel="1" x14ac:dyDescent="0.3">
      <c r="A23" s="44"/>
      <c r="B23" s="11" t="str">
        <f>CONCATENATE("          ", "5059", " - ", "PURCHASES @ COST-FOOD")</f>
        <v xml:space="preserve">          5059 - PURCHASES @ COST-FOOD</v>
      </c>
      <c r="C23" s="11"/>
      <c r="D23" s="2">
        <v>2180.84</v>
      </c>
      <c r="E23" s="2"/>
      <c r="F23" s="19">
        <f t="shared" si="4"/>
        <v>0.11909836848931668</v>
      </c>
      <c r="G23" s="2"/>
      <c r="H23" s="2"/>
      <c r="I23" s="2"/>
      <c r="J23" s="19">
        <f t="shared" si="5"/>
        <v>0</v>
      </c>
      <c r="K23" s="2"/>
      <c r="L23" s="2">
        <f t="shared" si="6"/>
        <v>2180.84</v>
      </c>
      <c r="M23" s="2"/>
      <c r="N23" s="19">
        <f t="shared" si="7"/>
        <v>0</v>
      </c>
      <c r="O23" s="11"/>
      <c r="P23" s="2">
        <v>23560.69</v>
      </c>
      <c r="Q23" s="2"/>
      <c r="R23" s="19">
        <f t="shared" si="8"/>
        <v>3.4464246307877061E-2</v>
      </c>
      <c r="S23" s="2"/>
      <c r="T23" s="2"/>
      <c r="U23" s="2"/>
      <c r="V23" s="19">
        <f t="shared" si="9"/>
        <v>0</v>
      </c>
      <c r="W23" s="2"/>
      <c r="X23" s="2">
        <f t="shared" si="10"/>
        <v>23560.69</v>
      </c>
      <c r="Y23" s="2"/>
      <c r="Z23" s="19">
        <f t="shared" si="11"/>
        <v>0</v>
      </c>
    </row>
    <row r="24" spans="1:26" x14ac:dyDescent="0.3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3">
      <c r="A25" s="10"/>
      <c r="B25" s="26" t="s">
        <v>108</v>
      </c>
      <c r="C25" s="26"/>
      <c r="D25" s="21">
        <f>D12-D20</f>
        <v>3674.8500000000004</v>
      </c>
      <c r="E25" s="13"/>
      <c r="F25" s="22">
        <f>IF(D$12=0,0,D25/D$12)</f>
        <v>0.20068810157689948</v>
      </c>
      <c r="G25" s="13"/>
      <c r="H25" s="21">
        <f>H12-H20</f>
        <v>117458</v>
      </c>
      <c r="I25" s="13"/>
      <c r="J25" s="22">
        <f>IF(H$12=0,0,H25/H$12)</f>
        <v>0.62826883474632933</v>
      </c>
      <c r="K25" s="15"/>
      <c r="L25" s="21">
        <f>+D25-H25</f>
        <v>-113783.15</v>
      </c>
      <c r="M25" s="15"/>
      <c r="N25" s="22">
        <f>IF(H25=0,0,L25/H25)</f>
        <v>-0.96871349759062808</v>
      </c>
      <c r="O25" s="25"/>
      <c r="P25" s="21">
        <f>P12-P20</f>
        <v>388894.22000000003</v>
      </c>
      <c r="Q25" s="13"/>
      <c r="R25" s="22">
        <f>IF(P$12=0,0,P25/P$12)</f>
        <v>0.56886900111116145</v>
      </c>
      <c r="S25" s="13"/>
      <c r="T25" s="21">
        <f>T12-T20</f>
        <v>523021</v>
      </c>
      <c r="U25" s="13"/>
      <c r="V25" s="22">
        <f>IF(T$12=0,0,T25/T$12)</f>
        <v>0.62232103336839451</v>
      </c>
      <c r="W25" s="15"/>
      <c r="X25" s="21">
        <f>+P25-T25</f>
        <v>-134126.77999999997</v>
      </c>
      <c r="Y25" s="15"/>
      <c r="Z25" s="22">
        <f>IF(T25=0,0,X25/T25)</f>
        <v>-0.25644626123998837</v>
      </c>
    </row>
    <row r="26" spans="1:26" x14ac:dyDescent="0.3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3">
      <c r="A27" s="10"/>
      <c r="B27" s="25" t="s">
        <v>295</v>
      </c>
      <c r="C27" s="10"/>
      <c r="D27" s="20">
        <f>SUM(OSRRefD22x_0)</f>
        <v>198571.53000000003</v>
      </c>
      <c r="E27" s="20"/>
      <c r="F27" s="33">
        <f t="shared" ref="F27:F38" si="12">IF(D$12=0,0,D27/D$12)</f>
        <v>10.844236739709197</v>
      </c>
      <c r="G27" s="20"/>
      <c r="H27" s="20">
        <f>SUM(OSRRefH22x_0)</f>
        <v>239580.14211380022</v>
      </c>
      <c r="I27" s="20"/>
      <c r="J27" s="33">
        <f t="shared" ref="J27:J38" si="13">IF(H$12=0,0,H27/H$12)</f>
        <v>1.2814856094450549</v>
      </c>
      <c r="K27" s="4"/>
      <c r="L27" s="20">
        <f t="shared" ref="L27:L38" si="14">+D27-H27</f>
        <v>-41008.612113800191</v>
      </c>
      <c r="M27" s="4"/>
      <c r="N27" s="33">
        <f t="shared" ref="N27:N38" si="15">IF(H27=0,0,L27/H27)</f>
        <v>-0.17116866094152811</v>
      </c>
      <c r="O27" s="10"/>
      <c r="P27" s="20">
        <f>SUM(OSRRefP22x_0)</f>
        <v>1390548.0999999999</v>
      </c>
      <c r="Q27" s="20"/>
      <c r="R27" s="33">
        <f t="shared" ref="R27:R38" si="16">IF(P$12=0,0,P27/P$12)</f>
        <v>2.0340742236899878</v>
      </c>
      <c r="S27" s="20"/>
      <c r="T27" s="20">
        <f>SUM(OSRRefT22x_0)</f>
        <v>1469717.8131853894</v>
      </c>
      <c r="U27" s="20"/>
      <c r="V27" s="33">
        <f t="shared" ref="V27:V38" si="17">IF(T$12=0,0,T27/T$12)</f>
        <v>1.7487563754829509</v>
      </c>
      <c r="W27" s="4"/>
      <c r="X27" s="20">
        <f t="shared" ref="X27:X38" si="18">+P27-T27</f>
        <v>-79169.713185389526</v>
      </c>
      <c r="Y27" s="4"/>
      <c r="Z27" s="33">
        <f t="shared" ref="Z27:Z38" si="19">IF(T27=0,0,X27/T27)</f>
        <v>-5.3867288315572116E-2</v>
      </c>
    </row>
    <row r="28" spans="1:26" s="28" customFormat="1" outlineLevel="1" collapsed="1" x14ac:dyDescent="0.3">
      <c r="A28" s="29"/>
      <c r="B28" s="14" t="str">
        <f>CONCATENATE("     ","*Benefits                                         ")</f>
        <v xml:space="preserve">     *Benefits                                         </v>
      </c>
      <c r="C28" s="14"/>
      <c r="D28" s="1">
        <f>SUM(OSRRefD22_0x_0)</f>
        <v>44126.73000000001</v>
      </c>
      <c r="E28" s="1"/>
      <c r="F28" s="5">
        <f t="shared" si="12"/>
        <v>2.4098152774933448</v>
      </c>
      <c r="G28" s="1"/>
      <c r="H28" s="1">
        <f>SUM(OSRRefH22_0x_0)</f>
        <v>36494.5882603387</v>
      </c>
      <c r="I28" s="1"/>
      <c r="J28" s="5">
        <f t="shared" si="13"/>
        <v>0.19520520050460646</v>
      </c>
      <c r="K28" s="1"/>
      <c r="L28" s="1">
        <f t="shared" si="14"/>
        <v>7632.1417396613106</v>
      </c>
      <c r="M28" s="1"/>
      <c r="N28" s="5">
        <f t="shared" si="15"/>
        <v>0.20913078084938169</v>
      </c>
      <c r="O28" s="14"/>
      <c r="P28" s="1">
        <f>SUM(OSRRefP22_0x_0)</f>
        <v>224577.22</v>
      </c>
      <c r="Q28" s="1"/>
      <c r="R28" s="5">
        <f t="shared" si="16"/>
        <v>0.32850840214010263</v>
      </c>
      <c r="S28" s="1"/>
      <c r="T28" s="1">
        <f>SUM(OSRRefT22_0x_0)</f>
        <v>227093.86482192785</v>
      </c>
      <c r="U28" s="1"/>
      <c r="V28" s="5">
        <f t="shared" si="17"/>
        <v>0.27020958743072387</v>
      </c>
      <c r="W28" s="1"/>
      <c r="X28" s="1">
        <f t="shared" si="18"/>
        <v>-2516.6448219278536</v>
      </c>
      <c r="Y28" s="1"/>
      <c r="Z28" s="5">
        <f t="shared" si="19"/>
        <v>-1.1081958660139241E-2</v>
      </c>
    </row>
    <row r="29" spans="1:26" s="24" customFormat="1" hidden="1" outlineLevel="2" x14ac:dyDescent="0.3">
      <c r="A29" s="27"/>
      <c r="B29" s="11" t="str">
        <f>CONCATENATE("          ", "6111", " - ", "F.I.C.A.")</f>
        <v xml:space="preserve">          6111 - F.I.C.A.</v>
      </c>
      <c r="C29" s="11"/>
      <c r="D29" s="7">
        <v>4568.6099999999997</v>
      </c>
      <c r="E29" s="2"/>
      <c r="F29" s="6">
        <f t="shared" si="12"/>
        <v>0.24949744009830022</v>
      </c>
      <c r="G29" s="2"/>
      <c r="H29" s="7">
        <v>4927.7971654156199</v>
      </c>
      <c r="I29" s="2"/>
      <c r="J29" s="6">
        <f t="shared" si="13"/>
        <v>2.6358199381752934E-2</v>
      </c>
      <c r="K29" s="2"/>
      <c r="L29" s="7">
        <f t="shared" si="14"/>
        <v>-359.18716541562026</v>
      </c>
      <c r="M29" s="2"/>
      <c r="N29" s="6">
        <f t="shared" si="15"/>
        <v>-7.2890006093691506E-2</v>
      </c>
      <c r="O29" s="11"/>
      <c r="P29" s="7">
        <v>32307.49</v>
      </c>
      <c r="Q29" s="2"/>
      <c r="R29" s="6">
        <f t="shared" si="16"/>
        <v>4.725894245666299E-2</v>
      </c>
      <c r="S29" s="2"/>
      <c r="T29" s="7">
        <v>29701.3904903896</v>
      </c>
      <c r="U29" s="2"/>
      <c r="V29" s="6">
        <f t="shared" si="17"/>
        <v>3.5340454823912348E-2</v>
      </c>
      <c r="W29" s="2"/>
      <c r="X29" s="7">
        <f t="shared" si="18"/>
        <v>2606.0995096104016</v>
      </c>
      <c r="Y29" s="2"/>
      <c r="Z29" s="6">
        <f t="shared" si="19"/>
        <v>8.7743350280305915E-2</v>
      </c>
    </row>
    <row r="30" spans="1:26" s="24" customFormat="1" hidden="1" outlineLevel="2" x14ac:dyDescent="0.3">
      <c r="A30" s="27"/>
      <c r="B30" s="11" t="str">
        <f>CONCATENATE("          ", "6112", " - ", "COMPENSATION INSURANCE")</f>
        <v xml:space="preserve">          6112 - COMPENSATION INSURANCE</v>
      </c>
      <c r="C30" s="11"/>
      <c r="D30" s="7">
        <v>1675.99</v>
      </c>
      <c r="E30" s="2"/>
      <c r="F30" s="6">
        <f t="shared" si="12"/>
        <v>9.1527885862516214E-2</v>
      </c>
      <c r="G30" s="2"/>
      <c r="H30" s="7">
        <v>3807.3566114069199</v>
      </c>
      <c r="I30" s="2"/>
      <c r="J30" s="6">
        <f t="shared" si="13"/>
        <v>2.0365096474589714E-2</v>
      </c>
      <c r="K30" s="2"/>
      <c r="L30" s="7">
        <f t="shared" si="14"/>
        <v>-2131.3666114069201</v>
      </c>
      <c r="M30" s="2"/>
      <c r="N30" s="6">
        <f t="shared" si="15"/>
        <v>-0.55980220109177614</v>
      </c>
      <c r="O30" s="11"/>
      <c r="P30" s="7">
        <v>14287.4</v>
      </c>
      <c r="Q30" s="2"/>
      <c r="R30" s="6">
        <f t="shared" si="16"/>
        <v>2.0899407984195824E-2</v>
      </c>
      <c r="S30" s="2"/>
      <c r="T30" s="7">
        <v>21875.399954226901</v>
      </c>
      <c r="U30" s="2"/>
      <c r="V30" s="6">
        <f t="shared" si="17"/>
        <v>2.6028632702819611E-2</v>
      </c>
      <c r="W30" s="2"/>
      <c r="X30" s="7">
        <f t="shared" si="18"/>
        <v>-7587.9999542269015</v>
      </c>
      <c r="Y30" s="2"/>
      <c r="Z30" s="6">
        <f t="shared" si="19"/>
        <v>-0.34687365580078006</v>
      </c>
    </row>
    <row r="31" spans="1:26" s="24" customFormat="1" hidden="1" outlineLevel="2" x14ac:dyDescent="0.3">
      <c r="A31" s="27"/>
      <c r="B31" s="11" t="str">
        <f>CONCATENATE("          ", "6113", " - ", "GROUP INSURANCE")</f>
        <v xml:space="preserve">          6113 - GROUP INSURANCE</v>
      </c>
      <c r="C31" s="11"/>
      <c r="D31" s="7">
        <v>14917.13</v>
      </c>
      <c r="E31" s="2"/>
      <c r="F31" s="6">
        <f t="shared" si="12"/>
        <v>0.81464291077889273</v>
      </c>
      <c r="G31" s="2"/>
      <c r="H31" s="7">
        <v>16033.7076923077</v>
      </c>
      <c r="I31" s="2"/>
      <c r="J31" s="6">
        <f t="shared" si="13"/>
        <v>8.5762390373660513E-2</v>
      </c>
      <c r="K31" s="2"/>
      <c r="L31" s="7">
        <f t="shared" si="14"/>
        <v>-1116.577692307701</v>
      </c>
      <c r="M31" s="2"/>
      <c r="N31" s="6">
        <f t="shared" si="15"/>
        <v>-6.9639394314478367E-2</v>
      </c>
      <c r="O31" s="11"/>
      <c r="P31" s="7">
        <v>89882.5</v>
      </c>
      <c r="Q31" s="2"/>
      <c r="R31" s="6">
        <f t="shared" si="16"/>
        <v>0.13147885816450028</v>
      </c>
      <c r="S31" s="2"/>
      <c r="T31" s="7">
        <v>106490.873076923</v>
      </c>
      <c r="U31" s="2"/>
      <c r="V31" s="6">
        <f t="shared" si="17"/>
        <v>0.12670908085436963</v>
      </c>
      <c r="W31" s="2"/>
      <c r="X31" s="7">
        <f t="shared" si="18"/>
        <v>-16608.373076923002</v>
      </c>
      <c r="Y31" s="2"/>
      <c r="Z31" s="6">
        <f t="shared" si="19"/>
        <v>-0.15596053067314089</v>
      </c>
    </row>
    <row r="32" spans="1:26" s="24" customFormat="1" hidden="1" outlineLevel="2" x14ac:dyDescent="0.3">
      <c r="A32" s="27"/>
      <c r="B32" s="11" t="str">
        <f>CONCATENATE("          ", "6114", " - ", "STATE UNEMPLOYMENT INSURANCE")</f>
        <v xml:space="preserve">          6114 - STATE UNEMPLOYMENT INSURANCE</v>
      </c>
      <c r="C32" s="11"/>
      <c r="D32" s="7">
        <v>159.4</v>
      </c>
      <c r="E32" s="2"/>
      <c r="F32" s="6">
        <f t="shared" si="12"/>
        <v>8.7050310601406236E-3</v>
      </c>
      <c r="G32" s="2"/>
      <c r="H32" s="7">
        <v>210.961711977692</v>
      </c>
      <c r="I32" s="2"/>
      <c r="J32" s="6">
        <f t="shared" si="13"/>
        <v>1.1284090394891391E-3</v>
      </c>
      <c r="K32" s="2"/>
      <c r="L32" s="7">
        <f t="shared" si="14"/>
        <v>-51.561711977691999</v>
      </c>
      <c r="M32" s="2"/>
      <c r="N32" s="6">
        <f t="shared" si="15"/>
        <v>-0.24441265428839692</v>
      </c>
      <c r="O32" s="11"/>
      <c r="P32" s="7">
        <v>1301.6500000000001</v>
      </c>
      <c r="Q32" s="2"/>
      <c r="R32" s="6">
        <f t="shared" si="16"/>
        <v>1.9040353320148172E-3</v>
      </c>
      <c r="S32" s="2"/>
      <c r="T32" s="7">
        <v>1212.0934011576901</v>
      </c>
      <c r="U32" s="2"/>
      <c r="V32" s="6">
        <f t="shared" si="17"/>
        <v>1.4422197539820879E-3</v>
      </c>
      <c r="W32" s="2"/>
      <c r="X32" s="7">
        <f t="shared" si="18"/>
        <v>89.556598842309995</v>
      </c>
      <c r="Y32" s="2"/>
      <c r="Z32" s="6">
        <f t="shared" si="19"/>
        <v>7.3885889286067416E-2</v>
      </c>
    </row>
    <row r="33" spans="1:26" s="24" customFormat="1" hidden="1" outlineLevel="2" x14ac:dyDescent="0.3">
      <c r="A33" s="27"/>
      <c r="B33" s="11" t="str">
        <f>CONCATENATE("          ", "6115", " - ", "P.E.R.S.")</f>
        <v xml:space="preserve">          6115 - P.E.R.S.</v>
      </c>
      <c r="C33" s="11"/>
      <c r="D33" s="7">
        <v>3723.88</v>
      </c>
      <c r="E33" s="2"/>
      <c r="F33" s="6">
        <f t="shared" si="12"/>
        <v>0.20336569049081848</v>
      </c>
      <c r="G33" s="2"/>
      <c r="H33" s="7">
        <v>3998.9636980769301</v>
      </c>
      <c r="I33" s="2"/>
      <c r="J33" s="6">
        <f t="shared" si="13"/>
        <v>2.1389979931410927E-2</v>
      </c>
      <c r="K33" s="2"/>
      <c r="L33" s="7">
        <f t="shared" si="14"/>
        <v>-275.08369807692998</v>
      </c>
      <c r="M33" s="2"/>
      <c r="N33" s="6">
        <f t="shared" si="15"/>
        <v>-6.8788745996672979E-2</v>
      </c>
      <c r="O33" s="11"/>
      <c r="P33" s="7">
        <v>24754.62</v>
      </c>
      <c r="Q33" s="2"/>
      <c r="R33" s="6">
        <f t="shared" si="16"/>
        <v>3.6210710337341551E-2</v>
      </c>
      <c r="S33" s="2"/>
      <c r="T33" s="7">
        <v>21852.787728076899</v>
      </c>
      <c r="U33" s="2"/>
      <c r="V33" s="6">
        <f t="shared" si="17"/>
        <v>2.6001727351133101E-2</v>
      </c>
      <c r="W33" s="2"/>
      <c r="X33" s="7">
        <f t="shared" si="18"/>
        <v>2901.8322719231001</v>
      </c>
      <c r="Y33" s="2"/>
      <c r="Z33" s="6">
        <f t="shared" si="19"/>
        <v>0.13279002697650186</v>
      </c>
    </row>
    <row r="34" spans="1:26" s="24" customFormat="1" hidden="1" outlineLevel="2" x14ac:dyDescent="0.3">
      <c r="A34" s="27"/>
      <c r="B34" s="11" t="str">
        <f>CONCATENATE("          ", "6116", " - ", "EDUCATIONAL BENEFITS")</f>
        <v xml:space="preserve">          6116 - EDUCATIONAL BENEFITS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3">
      <c r="A35" s="27"/>
      <c r="B35" s="11" t="str">
        <f>CONCATENATE("          ", "6117", " - ", "RETIREMENT STAFF HOURLY")</f>
        <v xml:space="preserve">          6117 - RETIREMENT STAFF HOURLY</v>
      </c>
      <c r="C35" s="11"/>
      <c r="D35" s="7">
        <v>211.66</v>
      </c>
      <c r="E35" s="2"/>
      <c r="F35" s="6">
        <f t="shared" si="12"/>
        <v>1.1559014267185473E-2</v>
      </c>
      <c r="G35" s="2"/>
      <c r="H35" s="7"/>
      <c r="I35" s="2"/>
      <c r="J35" s="6">
        <f t="shared" si="13"/>
        <v>0</v>
      </c>
      <c r="K35" s="2"/>
      <c r="L35" s="7">
        <f t="shared" si="14"/>
        <v>211.66</v>
      </c>
      <c r="M35" s="2"/>
      <c r="N35" s="6">
        <f t="shared" si="15"/>
        <v>0</v>
      </c>
      <c r="O35" s="11"/>
      <c r="P35" s="7">
        <v>211.66</v>
      </c>
      <c r="Q35" s="2"/>
      <c r="R35" s="6">
        <f t="shared" si="16"/>
        <v>3.0961327420908554E-4</v>
      </c>
      <c r="S35" s="2"/>
      <c r="T35" s="7"/>
      <c r="U35" s="2"/>
      <c r="V35" s="6">
        <f t="shared" si="17"/>
        <v>0</v>
      </c>
      <c r="W35" s="2"/>
      <c r="X35" s="7">
        <f t="shared" si="18"/>
        <v>211.66</v>
      </c>
      <c r="Y35" s="2"/>
      <c r="Z35" s="6">
        <f t="shared" si="19"/>
        <v>0</v>
      </c>
    </row>
    <row r="36" spans="1:26" s="24" customFormat="1" hidden="1" outlineLevel="2" x14ac:dyDescent="0.3">
      <c r="A36" s="27"/>
      <c r="B36" s="11" t="str">
        <f>CONCATENATE("          ", "6118", " - ", "VACATION")</f>
        <v xml:space="preserve">          6118 - VACATION</v>
      </c>
      <c r="C36" s="11"/>
      <c r="D36" s="7">
        <v>6131.31</v>
      </c>
      <c r="E36" s="2"/>
      <c r="F36" s="6">
        <f t="shared" si="12"/>
        <v>0.33483841900471023</v>
      </c>
      <c r="G36" s="2"/>
      <c r="H36" s="7">
        <v>3235.7892540769199</v>
      </c>
      <c r="I36" s="2"/>
      <c r="J36" s="6">
        <f t="shared" si="13"/>
        <v>1.7307850841522934E-2</v>
      </c>
      <c r="K36" s="2"/>
      <c r="L36" s="7">
        <f t="shared" si="14"/>
        <v>2895.5207459230805</v>
      </c>
      <c r="M36" s="2"/>
      <c r="N36" s="6">
        <f t="shared" si="15"/>
        <v>0.89484219105891416</v>
      </c>
      <c r="O36" s="11"/>
      <c r="P36" s="7">
        <v>26491.14</v>
      </c>
      <c r="Q36" s="2"/>
      <c r="R36" s="6">
        <f t="shared" si="16"/>
        <v>3.8750867395498788E-2</v>
      </c>
      <c r="S36" s="2"/>
      <c r="T36" s="7">
        <v>19352.628028076899</v>
      </c>
      <c r="U36" s="2"/>
      <c r="V36" s="6">
        <f t="shared" si="17"/>
        <v>2.3026890837704355E-2</v>
      </c>
      <c r="W36" s="2"/>
      <c r="X36" s="7">
        <f t="shared" si="18"/>
        <v>7138.5119719231006</v>
      </c>
      <c r="Y36" s="2"/>
      <c r="Z36" s="6">
        <f t="shared" si="19"/>
        <v>0.36886524980310209</v>
      </c>
    </row>
    <row r="37" spans="1:26" s="24" customFormat="1" hidden="1" outlineLevel="2" x14ac:dyDescent="0.3">
      <c r="A37" s="27"/>
      <c r="B37" s="11" t="str">
        <f>CONCATENATE("          ", "6119", " - ", "SICK LEAVE")</f>
        <v xml:space="preserve">          6119 - SICK LEAVE</v>
      </c>
      <c r="C37" s="11"/>
      <c r="D37" s="7">
        <v>10834.45</v>
      </c>
      <c r="E37" s="2"/>
      <c r="F37" s="6">
        <f t="shared" si="12"/>
        <v>0.59168270871731865</v>
      </c>
      <c r="G37" s="2"/>
      <c r="H37" s="7">
        <v>2135.01212707692</v>
      </c>
      <c r="I37" s="2"/>
      <c r="J37" s="6">
        <f t="shared" si="13"/>
        <v>1.1419925260500762E-2</v>
      </c>
      <c r="K37" s="2"/>
      <c r="L37" s="7">
        <f t="shared" si="14"/>
        <v>8699.4378729230812</v>
      </c>
      <c r="M37" s="2"/>
      <c r="N37" s="6">
        <f t="shared" si="15"/>
        <v>4.0746550160507162</v>
      </c>
      <c r="O37" s="11"/>
      <c r="P37" s="7">
        <v>24280.959999999999</v>
      </c>
      <c r="Q37" s="2"/>
      <c r="R37" s="6">
        <f t="shared" si="16"/>
        <v>3.5517847144192746E-2</v>
      </c>
      <c r="S37" s="2"/>
      <c r="T37" s="7">
        <v>12265.6921430769</v>
      </c>
      <c r="U37" s="2"/>
      <c r="V37" s="6">
        <f t="shared" si="17"/>
        <v>1.4594439247101385E-2</v>
      </c>
      <c r="W37" s="2"/>
      <c r="X37" s="7">
        <f t="shared" si="18"/>
        <v>12015.267856923099</v>
      </c>
      <c r="Y37" s="2"/>
      <c r="Z37" s="6">
        <f t="shared" si="19"/>
        <v>0.97958335467475866</v>
      </c>
    </row>
    <row r="38" spans="1:26" s="24" customFormat="1" hidden="1" outlineLevel="2" x14ac:dyDescent="0.3">
      <c r="A38" s="27"/>
      <c r="B38" s="11" t="str">
        <f>CONCATENATE("          ", "6156", " - ", "EMPLOYEE MEALS")</f>
        <v xml:space="preserve">          6156 - EMPLOYEE MEALS</v>
      </c>
      <c r="C38" s="11"/>
      <c r="D38" s="7">
        <v>1904.3</v>
      </c>
      <c r="E38" s="2"/>
      <c r="F38" s="6">
        <f t="shared" si="12"/>
        <v>0.10399617721346167</v>
      </c>
      <c r="G38" s="2"/>
      <c r="H38" s="7">
        <v>2145</v>
      </c>
      <c r="I38" s="2"/>
      <c r="J38" s="6">
        <f t="shared" si="13"/>
        <v>1.1473349201679549E-2</v>
      </c>
      <c r="K38" s="2"/>
      <c r="L38" s="7">
        <f t="shared" si="14"/>
        <v>-240.70000000000005</v>
      </c>
      <c r="M38" s="2"/>
      <c r="N38" s="6">
        <f t="shared" si="15"/>
        <v>-0.11221445221445224</v>
      </c>
      <c r="O38" s="11"/>
      <c r="P38" s="7">
        <v>11059.8</v>
      </c>
      <c r="Q38" s="2"/>
      <c r="R38" s="6">
        <f t="shared" si="16"/>
        <v>1.6178120051486552E-2</v>
      </c>
      <c r="S38" s="2"/>
      <c r="T38" s="7">
        <v>14343</v>
      </c>
      <c r="U38" s="2"/>
      <c r="V38" s="6">
        <f t="shared" si="17"/>
        <v>1.7066141859701393E-2</v>
      </c>
      <c r="W38" s="2"/>
      <c r="X38" s="7">
        <f t="shared" si="18"/>
        <v>-3283.2000000000007</v>
      </c>
      <c r="Y38" s="2"/>
      <c r="Z38" s="6">
        <f t="shared" si="19"/>
        <v>-0.22890608659276307</v>
      </c>
    </row>
    <row r="39" spans="1:26" s="28" customFormat="1" outlineLevel="1" collapsed="1" x14ac:dyDescent="0.3">
      <c r="A39" s="29"/>
      <c r="B39" s="14" t="str">
        <f>CONCATENATE("     ","*Payroll                                          ")</f>
        <v xml:space="preserve">     *Payroll                                          </v>
      </c>
      <c r="C39" s="14"/>
      <c r="D39" s="1">
        <f>SUM(OSRRefD22_1x_0)</f>
        <v>71614.89</v>
      </c>
      <c r="E39" s="1"/>
      <c r="F39" s="5">
        <f t="shared" ref="F39:F49" si="20">IF(D$12=0,0,D39/D$12)</f>
        <v>3.9109776776571779</v>
      </c>
      <c r="G39" s="1"/>
      <c r="H39" s="1">
        <f>SUM(OSRRefH22_1x_0)</f>
        <v>95183.053853461504</v>
      </c>
      <c r="I39" s="1"/>
      <c r="J39" s="5">
        <f t="shared" ref="J39:J49" si="21">IF(H$12=0,0,H39/H$12)</f>
        <v>0.5091228041692466</v>
      </c>
      <c r="K39" s="1"/>
      <c r="L39" s="1">
        <f t="shared" ref="L39:L49" si="22">+D39-H39</f>
        <v>-23568.163853461505</v>
      </c>
      <c r="M39" s="1"/>
      <c r="N39" s="5">
        <f t="shared" ref="N39:N49" si="23">IF(H39=0,0,L39/H39)</f>
        <v>-0.24760882215174279</v>
      </c>
      <c r="O39" s="14"/>
      <c r="P39" s="1">
        <f>SUM(OSRRefP22_1x_0)</f>
        <v>488066.18</v>
      </c>
      <c r="Q39" s="1"/>
      <c r="R39" s="5">
        <f t="shared" ref="R39:R49" si="24">IF(P$12=0,0,P39/P$12)</f>
        <v>0.71393635084815688</v>
      </c>
      <c r="S39" s="1"/>
      <c r="T39" s="1">
        <f>SUM(OSRRefT22_1x_0)</f>
        <v>546082.69836346153</v>
      </c>
      <c r="U39" s="1"/>
      <c r="V39" s="5">
        <f t="shared" ref="V39:V49" si="25">IF(T$12=0,0,T39/T$12)</f>
        <v>0.64976119343229177</v>
      </c>
      <c r="W39" s="1"/>
      <c r="X39" s="1">
        <f t="shared" ref="X39:X49" si="26">+P39-T39</f>
        <v>-58016.518363461539</v>
      </c>
      <c r="Y39" s="1"/>
      <c r="Z39" s="5">
        <f t="shared" ref="Z39:Z49" si="27">IF(T39=0,0,X39/T39)</f>
        <v>-0.10624126810340166</v>
      </c>
    </row>
    <row r="40" spans="1:26" s="24" customFormat="1" hidden="1" outlineLevel="2" x14ac:dyDescent="0.3">
      <c r="A40" s="27"/>
      <c r="B40" s="11" t="str">
        <f>CONCATENATE("          ", "6001", " - ", "ADMINISTRATIVE SALARIES")</f>
        <v xml:space="preserve">          6001 - ADMINISTRATIVE SALARIES</v>
      </c>
      <c r="C40" s="11"/>
      <c r="D40" s="7">
        <v>14390.06</v>
      </c>
      <c r="E40" s="2"/>
      <c r="F40" s="6">
        <f t="shared" si="20"/>
        <v>0.78585896648235376</v>
      </c>
      <c r="G40" s="2"/>
      <c r="H40" s="7">
        <v>12835.384615384601</v>
      </c>
      <c r="I40" s="2"/>
      <c r="J40" s="6">
        <f t="shared" si="21"/>
        <v>6.8654941645768242E-2</v>
      </c>
      <c r="K40" s="2"/>
      <c r="L40" s="7">
        <f t="shared" si="22"/>
        <v>1554.6753846153988</v>
      </c>
      <c r="M40" s="2"/>
      <c r="N40" s="6">
        <f t="shared" si="23"/>
        <v>0.12112417595589241</v>
      </c>
      <c r="O40" s="11"/>
      <c r="P40" s="7">
        <v>78259.83</v>
      </c>
      <c r="Q40" s="2"/>
      <c r="R40" s="6">
        <f t="shared" si="24"/>
        <v>0.11447737978525191</v>
      </c>
      <c r="S40" s="2"/>
      <c r="T40" s="7">
        <v>79579.384615384595</v>
      </c>
      <c r="U40" s="2"/>
      <c r="V40" s="6">
        <f t="shared" si="25"/>
        <v>9.4688214944843627E-2</v>
      </c>
      <c r="W40" s="2"/>
      <c r="X40" s="7">
        <f t="shared" si="26"/>
        <v>-1319.5546153845935</v>
      </c>
      <c r="Y40" s="2"/>
      <c r="Z40" s="6">
        <f t="shared" si="27"/>
        <v>-1.6581613715186887E-2</v>
      </c>
    </row>
    <row r="41" spans="1:26" s="24" customFormat="1" hidden="1" outlineLevel="2" x14ac:dyDescent="0.3">
      <c r="A41" s="27"/>
      <c r="B41" s="11" t="str">
        <f>CONCATENATE("          ", "6002", " - ", "STAFF SALARIES")</f>
        <v xml:space="preserve">          6002 - STAFF SALARIES</v>
      </c>
      <c r="C41" s="11"/>
      <c r="D41" s="7">
        <v>30857.38</v>
      </c>
      <c r="E41" s="2"/>
      <c r="F41" s="6">
        <f t="shared" si="20"/>
        <v>1.6851596696020206</v>
      </c>
      <c r="G41" s="2"/>
      <c r="H41" s="7">
        <v>29940.7912980769</v>
      </c>
      <c r="I41" s="2"/>
      <c r="J41" s="6">
        <f t="shared" si="21"/>
        <v>0.16014972211535877</v>
      </c>
      <c r="K41" s="2"/>
      <c r="L41" s="7">
        <f t="shared" si="22"/>
        <v>916.58870192310133</v>
      </c>
      <c r="M41" s="2"/>
      <c r="N41" s="6">
        <f t="shared" si="23"/>
        <v>3.0613376005929872E-2</v>
      </c>
      <c r="O41" s="11"/>
      <c r="P41" s="7">
        <v>165805.63</v>
      </c>
      <c r="Q41" s="2"/>
      <c r="R41" s="6">
        <f t="shared" si="24"/>
        <v>0.24253814602003296</v>
      </c>
      <c r="S41" s="2"/>
      <c r="T41" s="7">
        <v>153147.46604807701</v>
      </c>
      <c r="U41" s="2"/>
      <c r="V41" s="6">
        <f t="shared" si="25"/>
        <v>0.18222382911735935</v>
      </c>
      <c r="W41" s="2"/>
      <c r="X41" s="7">
        <f t="shared" si="26"/>
        <v>12658.163951922994</v>
      </c>
      <c r="Y41" s="2"/>
      <c r="Z41" s="6">
        <f t="shared" si="27"/>
        <v>8.2653433834479928E-2</v>
      </c>
    </row>
    <row r="42" spans="1:26" s="24" customFormat="1" hidden="1" outlineLevel="2" x14ac:dyDescent="0.3">
      <c r="A42" s="27"/>
      <c r="B42" s="11" t="str">
        <f>CONCATENATE("          ", "6003", " - ", "STAFF HOURLY-9 MONTH")</f>
        <v xml:space="preserve">          6003 - STAFF HOURLY-9 MONTH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3">
      <c r="A43" s="27"/>
      <c r="B43" s="11" t="str">
        <f>CONCATENATE("          ", "6004", " - ", "STAFF HOURLY")</f>
        <v xml:space="preserve">          6004 - STAFF HOURLY</v>
      </c>
      <c r="C43" s="11"/>
      <c r="D43" s="7">
        <v>13400.11</v>
      </c>
      <c r="E43" s="2"/>
      <c r="F43" s="6">
        <f t="shared" si="20"/>
        <v>0.73179657314492463</v>
      </c>
      <c r="G43" s="2"/>
      <c r="H43" s="7">
        <v>15805.842689999999</v>
      </c>
      <c r="I43" s="2"/>
      <c r="J43" s="6">
        <f t="shared" si="21"/>
        <v>8.4543567649969245E-2</v>
      </c>
      <c r="K43" s="2"/>
      <c r="L43" s="7">
        <f t="shared" si="22"/>
        <v>-2405.7326899999989</v>
      </c>
      <c r="M43" s="2"/>
      <c r="N43" s="6">
        <f t="shared" si="23"/>
        <v>-0.1522052785911916</v>
      </c>
      <c r="O43" s="11"/>
      <c r="P43" s="7">
        <v>72525.23</v>
      </c>
      <c r="Q43" s="2"/>
      <c r="R43" s="6">
        <f t="shared" si="24"/>
        <v>0.10608888747551259</v>
      </c>
      <c r="S43" s="2"/>
      <c r="T43" s="7">
        <v>116362.06245</v>
      </c>
      <c r="U43" s="2"/>
      <c r="V43" s="6">
        <f t="shared" si="25"/>
        <v>0.13845440039455711</v>
      </c>
      <c r="W43" s="2"/>
      <c r="X43" s="7">
        <f t="shared" si="26"/>
        <v>-43836.832450000002</v>
      </c>
      <c r="Y43" s="2"/>
      <c r="Z43" s="6">
        <f t="shared" si="27"/>
        <v>-0.37672787442072364</v>
      </c>
    </row>
    <row r="44" spans="1:26" s="24" customFormat="1" hidden="1" outlineLevel="2" x14ac:dyDescent="0.3">
      <c r="A44" s="27"/>
      <c r="B44" s="11" t="str">
        <f>CONCATENATE("          ", "6005", " - ", "TEMPORARY WAGES-HOURLY")</f>
        <v xml:space="preserve">          6005 - TEMPORARY WAGES-HOURLY</v>
      </c>
      <c r="C44" s="11"/>
      <c r="D44" s="7">
        <v>4125.04</v>
      </c>
      <c r="E44" s="2"/>
      <c r="F44" s="6">
        <f t="shared" si="20"/>
        <v>0.2252735340296266</v>
      </c>
      <c r="G44" s="2"/>
      <c r="H44" s="7">
        <v>8331.2232999999997</v>
      </c>
      <c r="I44" s="2"/>
      <c r="J44" s="6">
        <f t="shared" si="21"/>
        <v>4.45627199058597E-2</v>
      </c>
      <c r="K44" s="2"/>
      <c r="L44" s="7">
        <f t="shared" si="22"/>
        <v>-4206.1832999999997</v>
      </c>
      <c r="M44" s="2"/>
      <c r="N44" s="6">
        <f t="shared" si="23"/>
        <v>-0.50486983106070393</v>
      </c>
      <c r="O44" s="11"/>
      <c r="P44" s="7">
        <v>79807.509999999995</v>
      </c>
      <c r="Q44" s="2"/>
      <c r="R44" s="6">
        <f t="shared" si="24"/>
        <v>0.11674130434458251</v>
      </c>
      <c r="S44" s="2"/>
      <c r="T44" s="7">
        <v>64937.513299999999</v>
      </c>
      <c r="U44" s="2"/>
      <c r="V44" s="6">
        <f t="shared" si="25"/>
        <v>7.7266458481074107E-2</v>
      </c>
      <c r="W44" s="2"/>
      <c r="X44" s="7">
        <f t="shared" si="26"/>
        <v>14869.996699999996</v>
      </c>
      <c r="Y44" s="2"/>
      <c r="Z44" s="6">
        <f t="shared" si="27"/>
        <v>0.22898931517908919</v>
      </c>
    </row>
    <row r="45" spans="1:26" s="24" customFormat="1" hidden="1" outlineLevel="2" x14ac:dyDescent="0.3">
      <c r="A45" s="27"/>
      <c r="B45" s="11" t="str">
        <f>CONCATENATE("          ", "6006", " - ", "TEMPORARY PART TIME")</f>
        <v xml:space="preserve">          6006 - TEMPORARY PART TIME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3">
      <c r="A46" s="27"/>
      <c r="B46" s="11" t="str">
        <f>CONCATENATE("          ", "6007", " - ", "STUDENT HOURLY")</f>
        <v xml:space="preserve">          6007 - STUDENT HOURLY</v>
      </c>
      <c r="C46" s="11"/>
      <c r="D46" s="7">
        <v>8842.2999999999993</v>
      </c>
      <c r="E46" s="2"/>
      <c r="F46" s="6">
        <f t="shared" si="20"/>
        <v>0.48288893439825242</v>
      </c>
      <c r="G46" s="2"/>
      <c r="H46" s="7">
        <v>1415.6956</v>
      </c>
      <c r="I46" s="2"/>
      <c r="J46" s="6">
        <f t="shared" si="21"/>
        <v>7.5723869380332166E-3</v>
      </c>
      <c r="K46" s="2"/>
      <c r="L46" s="7">
        <f t="shared" si="22"/>
        <v>7426.6043999999993</v>
      </c>
      <c r="M46" s="2"/>
      <c r="N46" s="6">
        <f t="shared" si="23"/>
        <v>5.2459048399952639</v>
      </c>
      <c r="O46" s="11"/>
      <c r="P46" s="7">
        <v>91667.98</v>
      </c>
      <c r="Q46" s="2"/>
      <c r="R46" s="6">
        <f t="shared" si="24"/>
        <v>0.13409063322277695</v>
      </c>
      <c r="S46" s="2"/>
      <c r="T46" s="7">
        <v>12745.955599999999</v>
      </c>
      <c r="U46" s="2"/>
      <c r="V46" s="6">
        <f t="shared" si="25"/>
        <v>1.5165884850244397E-2</v>
      </c>
      <c r="W46" s="2"/>
      <c r="X46" s="7">
        <f t="shared" si="26"/>
        <v>78922.024399999995</v>
      </c>
      <c r="Y46" s="2"/>
      <c r="Z46" s="6">
        <f t="shared" si="27"/>
        <v>6.1919268257924891</v>
      </c>
    </row>
    <row r="47" spans="1:26" s="24" customFormat="1" hidden="1" outlineLevel="2" x14ac:dyDescent="0.3">
      <c r="A47" s="27"/>
      <c r="B47" s="11" t="str">
        <f>CONCATENATE("          ", "6008", " - ", "STUDENT HOURLY-FICA EXEMPT")</f>
        <v xml:space="preserve">          6008 - STUDENT HOURLY-FICA EXEMPT</v>
      </c>
      <c r="C47" s="11"/>
      <c r="D47" s="7"/>
      <c r="E47" s="2"/>
      <c r="F47" s="6">
        <f t="shared" si="20"/>
        <v>0</v>
      </c>
      <c r="G47" s="2"/>
      <c r="H47" s="7">
        <v>26854.11635</v>
      </c>
      <c r="I47" s="2"/>
      <c r="J47" s="6">
        <f t="shared" si="21"/>
        <v>0.14363946591425744</v>
      </c>
      <c r="K47" s="2"/>
      <c r="L47" s="7">
        <f t="shared" si="22"/>
        <v>-26854.11635</v>
      </c>
      <c r="M47" s="2"/>
      <c r="N47" s="6">
        <f t="shared" si="23"/>
        <v>-1</v>
      </c>
      <c r="O47" s="11"/>
      <c r="P47" s="7"/>
      <c r="Q47" s="2"/>
      <c r="R47" s="6">
        <f t="shared" si="24"/>
        <v>0</v>
      </c>
      <c r="S47" s="2"/>
      <c r="T47" s="7">
        <v>119310.31634999999</v>
      </c>
      <c r="U47" s="2"/>
      <c r="V47" s="6">
        <f t="shared" si="25"/>
        <v>0.14196240564421322</v>
      </c>
      <c r="W47" s="2"/>
      <c r="X47" s="7">
        <f t="shared" si="26"/>
        <v>-119310.31634999999</v>
      </c>
      <c r="Y47" s="2"/>
      <c r="Z47" s="6">
        <f t="shared" si="27"/>
        <v>-1</v>
      </c>
    </row>
    <row r="48" spans="1:26" s="24" customFormat="1" hidden="1" outlineLevel="2" x14ac:dyDescent="0.3">
      <c r="A48" s="27"/>
      <c r="B48" s="11" t="str">
        <f>CONCATENATE("          ", "6009", " - ", "TEMPORARY-SEASONAL")</f>
        <v xml:space="preserve">          6009 - TEMPORARY-SEASONAL</v>
      </c>
      <c r="C48" s="11"/>
      <c r="D48" s="7"/>
      <c r="E48" s="2"/>
      <c r="F48" s="6">
        <f t="shared" si="20"/>
        <v>0</v>
      </c>
      <c r="G48" s="2"/>
      <c r="H48" s="7">
        <v>0</v>
      </c>
      <c r="I48" s="2"/>
      <c r="J48" s="6">
        <f t="shared" si="21"/>
        <v>0</v>
      </c>
      <c r="K48" s="2"/>
      <c r="L48" s="7">
        <f t="shared" si="22"/>
        <v>0</v>
      </c>
      <c r="M48" s="2"/>
      <c r="N48" s="6">
        <f t="shared" si="23"/>
        <v>0</v>
      </c>
      <c r="O48" s="11"/>
      <c r="P48" s="7"/>
      <c r="Q48" s="2"/>
      <c r="R48" s="6">
        <f t="shared" si="24"/>
        <v>0</v>
      </c>
      <c r="S48" s="2"/>
      <c r="T48" s="7">
        <v>0</v>
      </c>
      <c r="U48" s="2"/>
      <c r="V48" s="6">
        <f t="shared" si="25"/>
        <v>0</v>
      </c>
      <c r="W48" s="2"/>
      <c r="X48" s="7">
        <f t="shared" si="26"/>
        <v>0</v>
      </c>
      <c r="Y48" s="2"/>
      <c r="Z48" s="6">
        <f t="shared" si="27"/>
        <v>0</v>
      </c>
    </row>
    <row r="49" spans="1:26" s="24" customFormat="1" hidden="1" outlineLevel="2" x14ac:dyDescent="0.3">
      <c r="A49" s="27"/>
      <c r="B49" s="11" t="str">
        <f>CONCATENATE("          ", "6010", " - ", "GRATUITY")</f>
        <v xml:space="preserve">          6010 - GRATUITY</v>
      </c>
      <c r="C49" s="11"/>
      <c r="D49" s="7"/>
      <c r="E49" s="2"/>
      <c r="F49" s="6">
        <f t="shared" si="20"/>
        <v>0</v>
      </c>
      <c r="G49" s="2"/>
      <c r="H49" s="7">
        <v>0</v>
      </c>
      <c r="I49" s="2"/>
      <c r="J49" s="6">
        <f t="shared" si="21"/>
        <v>0</v>
      </c>
      <c r="K49" s="2"/>
      <c r="L49" s="7">
        <f t="shared" si="22"/>
        <v>0</v>
      </c>
      <c r="M49" s="2"/>
      <c r="N49" s="6">
        <f t="shared" si="23"/>
        <v>0</v>
      </c>
      <c r="O49" s="11"/>
      <c r="P49" s="7"/>
      <c r="Q49" s="2"/>
      <c r="R49" s="6">
        <f t="shared" si="24"/>
        <v>0</v>
      </c>
      <c r="S49" s="2"/>
      <c r="T49" s="7">
        <v>0</v>
      </c>
      <c r="U49" s="2"/>
      <c r="V49" s="6">
        <f t="shared" si="25"/>
        <v>0</v>
      </c>
      <c r="W49" s="2"/>
      <c r="X49" s="7">
        <f t="shared" si="26"/>
        <v>0</v>
      </c>
      <c r="Y49" s="2"/>
      <c r="Z49" s="6">
        <f t="shared" si="27"/>
        <v>0</v>
      </c>
    </row>
    <row r="50" spans="1:26" s="28" customFormat="1" outlineLevel="1" collapsed="1" x14ac:dyDescent="0.3">
      <c r="A50" s="29"/>
      <c r="B50" s="14" t="str">
        <f>CONCATENATE("     ","Advertising/Promo                                 ")</f>
        <v xml:space="preserve">     Advertising/Promo                                 </v>
      </c>
      <c r="C50" s="14"/>
      <c r="D50" s="1">
        <f>SUM(OSRRefD22_2x_0)</f>
        <v>261.93</v>
      </c>
      <c r="E50" s="1"/>
      <c r="F50" s="5">
        <f t="shared" ref="F50:F58" si="28">IF(D$12=0,0,D50/D$12)</f>
        <v>1.4304321114069219E-2</v>
      </c>
      <c r="G50" s="1"/>
      <c r="H50" s="1">
        <f>SUM(OSRRefH22_2x_0)</f>
        <v>0</v>
      </c>
      <c r="I50" s="1"/>
      <c r="J50" s="5">
        <f t="shared" ref="J50:J58" si="29">IF(H$12=0,0,H50/H$12)</f>
        <v>0</v>
      </c>
      <c r="K50" s="1"/>
      <c r="L50" s="1">
        <f t="shared" ref="L50:L58" si="30">+D50-H50</f>
        <v>261.93</v>
      </c>
      <c r="M50" s="1"/>
      <c r="N50" s="5">
        <f t="shared" ref="N50:N58" si="31">IF(H50=0,0,L50/H50)</f>
        <v>0</v>
      </c>
      <c r="O50" s="14"/>
      <c r="P50" s="1">
        <f>SUM(OSRRefP22_2x_0)</f>
        <v>1266.51</v>
      </c>
      <c r="Q50" s="1"/>
      <c r="R50" s="5">
        <f t="shared" ref="R50:R58" si="32">IF(P$12=0,0,P50/P$12)</f>
        <v>1.8526330337264901E-3</v>
      </c>
      <c r="S50" s="1"/>
      <c r="T50" s="1">
        <f>SUM(OSRRefT22_2x_0)</f>
        <v>0</v>
      </c>
      <c r="U50" s="1"/>
      <c r="V50" s="5">
        <f t="shared" ref="V50:V58" si="33">IF(T$12=0,0,T50/T$12)</f>
        <v>0</v>
      </c>
      <c r="W50" s="1"/>
      <c r="X50" s="1">
        <f t="shared" ref="X50:X58" si="34">+P50-T50</f>
        <v>1266.51</v>
      </c>
      <c r="Y50" s="1"/>
      <c r="Z50" s="5">
        <f t="shared" ref="Z50:Z58" si="35">IF(T50=0,0,X50/T50)</f>
        <v>0</v>
      </c>
    </row>
    <row r="51" spans="1:26" s="24" customFormat="1" hidden="1" outlineLevel="2" x14ac:dyDescent="0.3">
      <c r="A51" s="27"/>
      <c r="B51" s="11" t="str">
        <f>CONCATENATE("          ", "6362", " - ", "ADVERTISING EXPENSE")</f>
        <v xml:space="preserve">          6362 - ADVERTISING EXPENSE</v>
      </c>
      <c r="C51" s="11"/>
      <c r="D51" s="7">
        <v>261.93</v>
      </c>
      <c r="E51" s="2"/>
      <c r="F51" s="6">
        <f t="shared" si="28"/>
        <v>1.4304321114069219E-2</v>
      </c>
      <c r="G51" s="2"/>
      <c r="H51" s="7">
        <v>0</v>
      </c>
      <c r="I51" s="2"/>
      <c r="J51" s="6">
        <f t="shared" si="29"/>
        <v>0</v>
      </c>
      <c r="K51" s="2"/>
      <c r="L51" s="7">
        <f t="shared" si="30"/>
        <v>261.93</v>
      </c>
      <c r="M51" s="2"/>
      <c r="N51" s="6">
        <f t="shared" si="31"/>
        <v>0</v>
      </c>
      <c r="O51" s="11"/>
      <c r="P51" s="7">
        <v>1266.51</v>
      </c>
      <c r="Q51" s="2"/>
      <c r="R51" s="6">
        <f t="shared" si="32"/>
        <v>1.8526330337264901E-3</v>
      </c>
      <c r="S51" s="2"/>
      <c r="T51" s="7">
        <v>0</v>
      </c>
      <c r="U51" s="2"/>
      <c r="V51" s="6">
        <f t="shared" si="33"/>
        <v>0</v>
      </c>
      <c r="W51" s="2"/>
      <c r="X51" s="7">
        <f t="shared" si="34"/>
        <v>1266.51</v>
      </c>
      <c r="Y51" s="2"/>
      <c r="Z51" s="6">
        <f t="shared" si="35"/>
        <v>0</v>
      </c>
    </row>
    <row r="52" spans="1:26" s="28" customFormat="1" outlineLevel="1" collapsed="1" x14ac:dyDescent="0.3">
      <c r="A52" s="29"/>
      <c r="B52" s="14" t="str">
        <f>CONCATENATE("     ","Bad Debts/Over/Short                              ")</f>
        <v xml:space="preserve">     Bad Debts/Over/Short                              </v>
      </c>
      <c r="C52" s="14"/>
      <c r="D52" s="1">
        <f>SUM(OSRRefD22_3x_0)</f>
        <v>-20.56</v>
      </c>
      <c r="E52" s="1"/>
      <c r="F52" s="5">
        <f t="shared" si="28"/>
        <v>-1.1228070175438596E-3</v>
      </c>
      <c r="G52" s="1"/>
      <c r="H52" s="1">
        <f>SUM(OSRRefH22_3x_0)</f>
        <v>0</v>
      </c>
      <c r="I52" s="1"/>
      <c r="J52" s="5">
        <f t="shared" si="29"/>
        <v>0</v>
      </c>
      <c r="K52" s="1"/>
      <c r="L52" s="1">
        <f t="shared" si="30"/>
        <v>-20.56</v>
      </c>
      <c r="M52" s="1"/>
      <c r="N52" s="5">
        <f t="shared" si="31"/>
        <v>0</v>
      </c>
      <c r="O52" s="14"/>
      <c r="P52" s="1">
        <f>SUM(OSRRefP22_3x_0)</f>
        <v>-72.63</v>
      </c>
      <c r="Q52" s="1"/>
      <c r="R52" s="5">
        <f t="shared" si="32"/>
        <v>-1.0624214355950997E-4</v>
      </c>
      <c r="S52" s="1"/>
      <c r="T52" s="1">
        <f>SUM(OSRRefT22_3x_0)</f>
        <v>50</v>
      </c>
      <c r="U52" s="1"/>
      <c r="V52" s="5">
        <f t="shared" si="33"/>
        <v>5.9492929860215409E-5</v>
      </c>
      <c r="W52" s="1"/>
      <c r="X52" s="1">
        <f t="shared" si="34"/>
        <v>-122.63</v>
      </c>
      <c r="Y52" s="1"/>
      <c r="Z52" s="5">
        <f t="shared" si="35"/>
        <v>-2.4525999999999999</v>
      </c>
    </row>
    <row r="53" spans="1:26" s="24" customFormat="1" hidden="1" outlineLevel="2" x14ac:dyDescent="0.3">
      <c r="A53" s="27"/>
      <c r="B53" s="11" t="str">
        <f>CONCATENATE("          ", "6272", " - ", "CASH (OVER/SHORT)")</f>
        <v xml:space="preserve">          6272 - CASH (OVER/SHORT)</v>
      </c>
      <c r="C53" s="11"/>
      <c r="D53" s="7">
        <v>-20.56</v>
      </c>
      <c r="E53" s="2"/>
      <c r="F53" s="6">
        <f t="shared" si="28"/>
        <v>-1.1228070175438596E-3</v>
      </c>
      <c r="G53" s="2"/>
      <c r="H53" s="7">
        <v>0</v>
      </c>
      <c r="I53" s="2"/>
      <c r="J53" s="6">
        <f t="shared" si="29"/>
        <v>0</v>
      </c>
      <c r="K53" s="2"/>
      <c r="L53" s="7">
        <f t="shared" si="30"/>
        <v>-20.56</v>
      </c>
      <c r="M53" s="2"/>
      <c r="N53" s="6">
        <f t="shared" si="31"/>
        <v>0</v>
      </c>
      <c r="O53" s="11"/>
      <c r="P53" s="7">
        <v>-72.63</v>
      </c>
      <c r="Q53" s="2"/>
      <c r="R53" s="6">
        <f t="shared" si="32"/>
        <v>-1.0624214355950997E-4</v>
      </c>
      <c r="S53" s="2"/>
      <c r="T53" s="7">
        <v>50</v>
      </c>
      <c r="U53" s="2"/>
      <c r="V53" s="6">
        <f t="shared" si="33"/>
        <v>5.9492929860215409E-5</v>
      </c>
      <c r="W53" s="2"/>
      <c r="X53" s="7">
        <f t="shared" si="34"/>
        <v>-122.63</v>
      </c>
      <c r="Y53" s="2"/>
      <c r="Z53" s="6">
        <f t="shared" si="35"/>
        <v>-2.4525999999999999</v>
      </c>
    </row>
    <row r="54" spans="1:26" s="28" customFormat="1" outlineLevel="1" collapsed="1" x14ac:dyDescent="0.3">
      <c r="A54" s="29"/>
      <c r="B54" s="14" t="str">
        <f>CONCATENATE("     ","Bank/card Fees                                    ")</f>
        <v xml:space="preserve">     Bank/card Fees                                    </v>
      </c>
      <c r="C54" s="14"/>
      <c r="D54" s="1">
        <f>SUM(OSRRefD22_4x_0)</f>
        <v>715.75</v>
      </c>
      <c r="E54" s="1"/>
      <c r="F54" s="5">
        <f t="shared" si="28"/>
        <v>3.908799235442692E-2</v>
      </c>
      <c r="G54" s="1"/>
      <c r="H54" s="1">
        <f>SUM(OSRRefH22_4x_0)</f>
        <v>8832.5</v>
      </c>
      <c r="I54" s="1"/>
      <c r="J54" s="5">
        <f t="shared" si="29"/>
        <v>4.7243989195260891E-2</v>
      </c>
      <c r="K54" s="1"/>
      <c r="L54" s="1">
        <f t="shared" si="30"/>
        <v>-8116.75</v>
      </c>
      <c r="M54" s="1"/>
      <c r="N54" s="5">
        <f t="shared" si="31"/>
        <v>-0.91896405321256724</v>
      </c>
      <c r="O54" s="14"/>
      <c r="P54" s="1">
        <f>SUM(OSRRefP22_4x_0)</f>
        <v>27235.599999999999</v>
      </c>
      <c r="Q54" s="1"/>
      <c r="R54" s="5">
        <f t="shared" si="32"/>
        <v>3.9839853023948643E-2</v>
      </c>
      <c r="S54" s="1"/>
      <c r="T54" s="1">
        <f>SUM(OSRRefT22_4x_0)</f>
        <v>41929.25</v>
      </c>
      <c r="U54" s="1"/>
      <c r="V54" s="5">
        <f t="shared" si="33"/>
        <v>4.9889878586828744E-2</v>
      </c>
      <c r="W54" s="1"/>
      <c r="X54" s="1">
        <f t="shared" si="34"/>
        <v>-14693.650000000001</v>
      </c>
      <c r="Y54" s="1"/>
      <c r="Z54" s="5">
        <f t="shared" si="35"/>
        <v>-0.35043913258644027</v>
      </c>
    </row>
    <row r="55" spans="1:26" s="24" customFormat="1" hidden="1" outlineLevel="2" x14ac:dyDescent="0.3">
      <c r="A55" s="27"/>
      <c r="B55" s="11" t="str">
        <f>CONCATENATE("          ", "6381", " - ", "BANK/CREDIT CARD FEES")</f>
        <v xml:space="preserve">          6381 - BANK/CREDIT CARD FEES</v>
      </c>
      <c r="C55" s="11"/>
      <c r="D55" s="7">
        <v>715.75</v>
      </c>
      <c r="E55" s="2"/>
      <c r="F55" s="6">
        <f t="shared" si="28"/>
        <v>3.908799235442692E-2</v>
      </c>
      <c r="G55" s="2"/>
      <c r="H55" s="7">
        <v>8832.5</v>
      </c>
      <c r="I55" s="2"/>
      <c r="J55" s="6">
        <f t="shared" si="29"/>
        <v>4.7243989195260891E-2</v>
      </c>
      <c r="K55" s="2"/>
      <c r="L55" s="7">
        <f t="shared" si="30"/>
        <v>-8116.75</v>
      </c>
      <c r="M55" s="2"/>
      <c r="N55" s="6">
        <f t="shared" si="31"/>
        <v>-0.91896405321256724</v>
      </c>
      <c r="O55" s="11"/>
      <c r="P55" s="7">
        <v>27235.599999999999</v>
      </c>
      <c r="Q55" s="2"/>
      <c r="R55" s="6">
        <f t="shared" si="32"/>
        <v>3.9839853023948643E-2</v>
      </c>
      <c r="S55" s="2"/>
      <c r="T55" s="7">
        <v>41929.25</v>
      </c>
      <c r="U55" s="2"/>
      <c r="V55" s="6">
        <f t="shared" si="33"/>
        <v>4.9889878586828744E-2</v>
      </c>
      <c r="W55" s="2"/>
      <c r="X55" s="7">
        <f t="shared" si="34"/>
        <v>-14693.650000000001</v>
      </c>
      <c r="Y55" s="2"/>
      <c r="Z55" s="6">
        <f t="shared" si="35"/>
        <v>-0.35043913258644027</v>
      </c>
    </row>
    <row r="56" spans="1:26" s="28" customFormat="1" outlineLevel="1" collapsed="1" x14ac:dyDescent="0.3">
      <c r="A56" s="29"/>
      <c r="B56" s="14" t="str">
        <f>CONCATENATE("     ","Depreciation                                      ")</f>
        <v xml:space="preserve">     Depreciation                                      </v>
      </c>
      <c r="C56" s="14"/>
      <c r="D56" s="1">
        <f>SUM(OSRRefD22_5x_0)</f>
        <v>39106.79</v>
      </c>
      <c r="E56" s="1"/>
      <c r="F56" s="5">
        <f t="shared" si="28"/>
        <v>2.1356701481329785</v>
      </c>
      <c r="G56" s="1"/>
      <c r="H56" s="1">
        <f>SUM(OSRRefH22_5x_0)</f>
        <v>39107</v>
      </c>
      <c r="I56" s="1"/>
      <c r="J56" s="5">
        <f t="shared" si="29"/>
        <v>0.20917867936134363</v>
      </c>
      <c r="K56" s="1"/>
      <c r="L56" s="1">
        <f t="shared" si="30"/>
        <v>-0.20999999999912689</v>
      </c>
      <c r="M56" s="1"/>
      <c r="N56" s="5">
        <f t="shared" si="31"/>
        <v>-5.3698826296859099E-6</v>
      </c>
      <c r="O56" s="14"/>
      <c r="P56" s="1">
        <f>SUM(OSRRefP22_5x_0)</f>
        <v>276268.03000000003</v>
      </c>
      <c r="Q56" s="1"/>
      <c r="R56" s="5">
        <f t="shared" si="32"/>
        <v>0.40412099276005797</v>
      </c>
      <c r="S56" s="1"/>
      <c r="T56" s="1">
        <f>SUM(OSRRefT22_5x_0)</f>
        <v>276267</v>
      </c>
      <c r="U56" s="1"/>
      <c r="V56" s="5">
        <f t="shared" si="33"/>
        <v>0.32871866507384262</v>
      </c>
      <c r="W56" s="1"/>
      <c r="X56" s="1">
        <f t="shared" si="34"/>
        <v>1.0300000000279397</v>
      </c>
      <c r="Y56" s="1"/>
      <c r="Z56" s="5">
        <f t="shared" si="35"/>
        <v>3.7282773549788416E-6</v>
      </c>
    </row>
    <row r="57" spans="1:26" s="24" customFormat="1" hidden="1" outlineLevel="2" x14ac:dyDescent="0.3">
      <c r="A57" s="27"/>
      <c r="B57" s="11" t="str">
        <f>CONCATENATE("          ", "6321", " - ", "BUILDING DEPRECIATION")</f>
        <v xml:space="preserve">          6321 - BUILDING DEPRECIATION</v>
      </c>
      <c r="C57" s="11"/>
      <c r="D57" s="7">
        <v>28619.91</v>
      </c>
      <c r="E57" s="2"/>
      <c r="F57" s="6">
        <f t="shared" si="28"/>
        <v>1.5629686668031948</v>
      </c>
      <c r="G57" s="2"/>
      <c r="H57" s="7"/>
      <c r="I57" s="2"/>
      <c r="J57" s="6">
        <f t="shared" si="29"/>
        <v>0</v>
      </c>
      <c r="K57" s="2"/>
      <c r="L57" s="7">
        <f t="shared" si="30"/>
        <v>28619.91</v>
      </c>
      <c r="M57" s="2"/>
      <c r="N57" s="6">
        <f t="shared" si="31"/>
        <v>0</v>
      </c>
      <c r="O57" s="11"/>
      <c r="P57" s="7">
        <v>200427.51</v>
      </c>
      <c r="Q57" s="2"/>
      <c r="R57" s="6">
        <f t="shared" si="32"/>
        <v>0.2931825456518673</v>
      </c>
      <c r="S57" s="2"/>
      <c r="T57" s="7"/>
      <c r="U57" s="2"/>
      <c r="V57" s="6">
        <f t="shared" si="33"/>
        <v>0</v>
      </c>
      <c r="W57" s="2"/>
      <c r="X57" s="7">
        <f t="shared" si="34"/>
        <v>200427.51</v>
      </c>
      <c r="Y57" s="2"/>
      <c r="Z57" s="6">
        <f t="shared" si="35"/>
        <v>0</v>
      </c>
    </row>
    <row r="58" spans="1:26" s="24" customFormat="1" hidden="1" outlineLevel="2" x14ac:dyDescent="0.3">
      <c r="A58" s="27"/>
      <c r="B58" s="11" t="str">
        <f>CONCATENATE("          ", "6322", " - ", "EQUIPMENT DEPRECIATION EXPENSE")</f>
        <v xml:space="preserve">          6322 - EQUIPMENT DEPRECIATION EXPENSE</v>
      </c>
      <c r="C58" s="11"/>
      <c r="D58" s="7">
        <v>10486.88</v>
      </c>
      <c r="E58" s="2"/>
      <c r="F58" s="6">
        <f t="shared" si="28"/>
        <v>0.5727014813297836</v>
      </c>
      <c r="G58" s="2"/>
      <c r="H58" s="7">
        <v>39107</v>
      </c>
      <c r="I58" s="2"/>
      <c r="J58" s="6">
        <f t="shared" si="29"/>
        <v>0.20917867936134363</v>
      </c>
      <c r="K58" s="2"/>
      <c r="L58" s="7">
        <f t="shared" si="30"/>
        <v>-28620.120000000003</v>
      </c>
      <c r="M58" s="2"/>
      <c r="N58" s="6">
        <f t="shared" si="31"/>
        <v>-0.73184135832459674</v>
      </c>
      <c r="O58" s="11"/>
      <c r="P58" s="7">
        <v>75840.52</v>
      </c>
      <c r="Q58" s="2"/>
      <c r="R58" s="6">
        <f t="shared" si="32"/>
        <v>0.11093844710819066</v>
      </c>
      <c r="S58" s="2"/>
      <c r="T58" s="7">
        <v>276267</v>
      </c>
      <c r="U58" s="2"/>
      <c r="V58" s="6">
        <f t="shared" si="33"/>
        <v>0.32871866507384262</v>
      </c>
      <c r="W58" s="2"/>
      <c r="X58" s="7">
        <f t="shared" si="34"/>
        <v>-200426.47999999998</v>
      </c>
      <c r="Y58" s="2"/>
      <c r="Z58" s="6">
        <f t="shared" si="35"/>
        <v>-0.72548107446781551</v>
      </c>
    </row>
    <row r="59" spans="1:26" s="28" customFormat="1" outlineLevel="1" collapsed="1" x14ac:dyDescent="0.3">
      <c r="A59" s="29"/>
      <c r="B59" s="14" t="str">
        <f>CONCATENATE("     ","Employees' Appreciation                           ")</f>
        <v xml:space="preserve">     Employees' Appreciation                           </v>
      </c>
      <c r="C59" s="14"/>
      <c r="D59" s="1">
        <f>SUM(OSRRefD22_6x_0)</f>
        <v>0</v>
      </c>
      <c r="E59" s="1"/>
      <c r="F59" s="5">
        <f t="shared" ref="F59:F65" si="36">IF(D$12=0,0,D59/D$12)</f>
        <v>0</v>
      </c>
      <c r="G59" s="1"/>
      <c r="H59" s="1">
        <f>SUM(OSRRefH22_6x_0)</f>
        <v>20</v>
      </c>
      <c r="I59" s="1"/>
      <c r="J59" s="5">
        <f t="shared" ref="J59:J65" si="37">IF(H$12=0,0,H59/H$12)</f>
        <v>1.0697761493407504E-4</v>
      </c>
      <c r="K59" s="1"/>
      <c r="L59" s="1">
        <f t="shared" ref="L59:L65" si="38">+D59-H59</f>
        <v>-20</v>
      </c>
      <c r="M59" s="1"/>
      <c r="N59" s="5">
        <f t="shared" ref="N59:N65" si="39">IF(H59=0,0,L59/H59)</f>
        <v>-1</v>
      </c>
      <c r="O59" s="14"/>
      <c r="P59" s="1">
        <f>SUM(OSRRefP22_6x_0)</f>
        <v>314.87</v>
      </c>
      <c r="Q59" s="1"/>
      <c r="R59" s="5">
        <f t="shared" ref="R59:R65" si="40">IF(P$12=0,0,P59/P$12)</f>
        <v>4.605874121242311E-4</v>
      </c>
      <c r="S59" s="1"/>
      <c r="T59" s="1">
        <f>SUM(OSRRefT22_6x_0)</f>
        <v>280</v>
      </c>
      <c r="U59" s="1"/>
      <c r="V59" s="5">
        <f t="shared" ref="V59:V65" si="41">IF(T$12=0,0,T59/T$12)</f>
        <v>3.3316040721720629E-4</v>
      </c>
      <c r="W59" s="1"/>
      <c r="X59" s="1">
        <f t="shared" ref="X59:X65" si="42">+P59-T59</f>
        <v>34.870000000000005</v>
      </c>
      <c r="Y59" s="1"/>
      <c r="Z59" s="5">
        <f t="shared" ref="Z59:Z65" si="43">IF(T59=0,0,X59/T59)</f>
        <v>0.12453571428571431</v>
      </c>
    </row>
    <row r="60" spans="1:26" s="24" customFormat="1" hidden="1" outlineLevel="2" x14ac:dyDescent="0.3">
      <c r="A60" s="27"/>
      <c r="B60" s="11" t="str">
        <f>CONCATENATE("          ", "6277", " - ", "EMPLOYEE APPRECIATION")</f>
        <v xml:space="preserve">          6277 - EMPLOYEE APPRECIATION</v>
      </c>
      <c r="C60" s="11"/>
      <c r="D60" s="7"/>
      <c r="E60" s="2"/>
      <c r="F60" s="6">
        <f t="shared" si="36"/>
        <v>0</v>
      </c>
      <c r="G60" s="2"/>
      <c r="H60" s="7">
        <v>20</v>
      </c>
      <c r="I60" s="2"/>
      <c r="J60" s="6">
        <f t="shared" si="37"/>
        <v>1.0697761493407504E-4</v>
      </c>
      <c r="K60" s="2"/>
      <c r="L60" s="7">
        <f t="shared" si="38"/>
        <v>-20</v>
      </c>
      <c r="M60" s="2"/>
      <c r="N60" s="6">
        <f t="shared" si="39"/>
        <v>-1</v>
      </c>
      <c r="O60" s="11"/>
      <c r="P60" s="7">
        <v>314.87</v>
      </c>
      <c r="Q60" s="2"/>
      <c r="R60" s="6">
        <f t="shared" si="40"/>
        <v>4.605874121242311E-4</v>
      </c>
      <c r="S60" s="2"/>
      <c r="T60" s="7">
        <v>280</v>
      </c>
      <c r="U60" s="2"/>
      <c r="V60" s="6">
        <f t="shared" si="41"/>
        <v>3.3316040721720629E-4</v>
      </c>
      <c r="W60" s="2"/>
      <c r="X60" s="7">
        <f t="shared" si="42"/>
        <v>34.870000000000005</v>
      </c>
      <c r="Y60" s="2"/>
      <c r="Z60" s="6">
        <f t="shared" si="43"/>
        <v>0.12453571428571431</v>
      </c>
    </row>
    <row r="61" spans="1:26" s="28" customFormat="1" outlineLevel="1" collapsed="1" x14ac:dyDescent="0.3">
      <c r="A61" s="29"/>
      <c r="B61" s="14" t="str">
        <f>CONCATENATE("     ","Equipment Rental                                  ")</f>
        <v xml:space="preserve">     Equipment Rental                                  </v>
      </c>
      <c r="C61" s="14"/>
      <c r="D61" s="1">
        <f>SUM(OSRRefD22_7x_0)</f>
        <v>958.04</v>
      </c>
      <c r="E61" s="1"/>
      <c r="F61" s="5">
        <f t="shared" si="36"/>
        <v>5.2319748788313192E-2</v>
      </c>
      <c r="G61" s="1"/>
      <c r="H61" s="1">
        <f>SUM(OSRRefH22_7x_0)</f>
        <v>951</v>
      </c>
      <c r="I61" s="1"/>
      <c r="J61" s="5">
        <f t="shared" si="37"/>
        <v>5.0867855901152682E-3</v>
      </c>
      <c r="K61" s="1"/>
      <c r="L61" s="1">
        <f t="shared" si="38"/>
        <v>7.0399999999999636</v>
      </c>
      <c r="M61" s="1"/>
      <c r="N61" s="5">
        <f t="shared" si="39"/>
        <v>7.4027339642481213E-3</v>
      </c>
      <c r="O61" s="14"/>
      <c r="P61" s="1">
        <f>SUM(OSRRefP22_7x_0)</f>
        <v>6356.19</v>
      </c>
      <c r="Q61" s="1"/>
      <c r="R61" s="5">
        <f t="shared" si="40"/>
        <v>9.2977454284940333E-3</v>
      </c>
      <c r="S61" s="1"/>
      <c r="T61" s="1">
        <f>SUM(OSRRefT22_7x_0)</f>
        <v>6657</v>
      </c>
      <c r="U61" s="1"/>
      <c r="V61" s="5">
        <f t="shared" si="41"/>
        <v>7.9208886815890795E-3</v>
      </c>
      <c r="W61" s="1"/>
      <c r="X61" s="1">
        <f t="shared" si="42"/>
        <v>-300.8100000000004</v>
      </c>
      <c r="Y61" s="1"/>
      <c r="Z61" s="5">
        <f t="shared" si="43"/>
        <v>-4.5187021180712092E-2</v>
      </c>
    </row>
    <row r="62" spans="1:26" s="24" customFormat="1" hidden="1" outlineLevel="2" x14ac:dyDescent="0.3">
      <c r="A62" s="27"/>
      <c r="B62" s="11" t="str">
        <f>CONCATENATE("          ", "6351", " - ", "EQUIPMENT RENTAL")</f>
        <v xml:space="preserve">          6351 - EQUIPMENT RENTAL</v>
      </c>
      <c r="C62" s="11"/>
      <c r="D62" s="7">
        <v>958.04</v>
      </c>
      <c r="E62" s="2"/>
      <c r="F62" s="6">
        <f t="shared" si="36"/>
        <v>5.2319748788313192E-2</v>
      </c>
      <c r="G62" s="2"/>
      <c r="H62" s="7">
        <v>951</v>
      </c>
      <c r="I62" s="2"/>
      <c r="J62" s="6">
        <f t="shared" si="37"/>
        <v>5.0867855901152682E-3</v>
      </c>
      <c r="K62" s="2"/>
      <c r="L62" s="7">
        <f t="shared" si="38"/>
        <v>7.0399999999999636</v>
      </c>
      <c r="M62" s="2"/>
      <c r="N62" s="6">
        <f t="shared" si="39"/>
        <v>7.4027339642481213E-3</v>
      </c>
      <c r="O62" s="11"/>
      <c r="P62" s="7">
        <v>6356.19</v>
      </c>
      <c r="Q62" s="2"/>
      <c r="R62" s="6">
        <f t="shared" si="40"/>
        <v>9.2977454284940333E-3</v>
      </c>
      <c r="S62" s="2"/>
      <c r="T62" s="7">
        <v>6657</v>
      </c>
      <c r="U62" s="2"/>
      <c r="V62" s="6">
        <f t="shared" si="41"/>
        <v>7.9208886815890795E-3</v>
      </c>
      <c r="W62" s="2"/>
      <c r="X62" s="7">
        <f t="shared" si="42"/>
        <v>-300.8100000000004</v>
      </c>
      <c r="Y62" s="2"/>
      <c r="Z62" s="6">
        <f t="shared" si="43"/>
        <v>-4.5187021180712092E-2</v>
      </c>
    </row>
    <row r="63" spans="1:26" s="28" customFormat="1" outlineLevel="1" collapsed="1" x14ac:dyDescent="0.3">
      <c r="A63" s="29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SUM(OSRRefD22_8x_0)</f>
        <v>1985.06</v>
      </c>
      <c r="E63" s="1"/>
      <c r="F63" s="5">
        <f t="shared" si="36"/>
        <v>0.10840658065396955</v>
      </c>
      <c r="G63" s="1"/>
      <c r="H63" s="1">
        <f>SUM(OSRRefH22_8x_0)</f>
        <v>250</v>
      </c>
      <c r="I63" s="1"/>
      <c r="J63" s="5">
        <f t="shared" si="37"/>
        <v>1.337220186675938E-3</v>
      </c>
      <c r="K63" s="1"/>
      <c r="L63" s="1">
        <f t="shared" si="38"/>
        <v>1735.06</v>
      </c>
      <c r="M63" s="1"/>
      <c r="N63" s="5">
        <f t="shared" si="39"/>
        <v>6.9402400000000002</v>
      </c>
      <c r="O63" s="14"/>
      <c r="P63" s="1">
        <f>SUM(OSRRefP22_8x_0)</f>
        <v>19376.7</v>
      </c>
      <c r="Q63" s="1"/>
      <c r="R63" s="5">
        <f t="shared" si="40"/>
        <v>2.8343964520302314E-2</v>
      </c>
      <c r="S63" s="1"/>
      <c r="T63" s="1">
        <f>SUM(OSRRefT22_8x_0)</f>
        <v>6650</v>
      </c>
      <c r="U63" s="1"/>
      <c r="V63" s="5">
        <f t="shared" si="41"/>
        <v>7.9125596714086505E-3</v>
      </c>
      <c r="W63" s="1"/>
      <c r="X63" s="1">
        <f t="shared" si="42"/>
        <v>12726.7</v>
      </c>
      <c r="Y63" s="1"/>
      <c r="Z63" s="5">
        <f t="shared" si="43"/>
        <v>1.9137894736842107</v>
      </c>
    </row>
    <row r="64" spans="1:26" s="24" customFormat="1" hidden="1" outlineLevel="2" x14ac:dyDescent="0.3">
      <c r="A64" s="27"/>
      <c r="B64" s="11" t="str">
        <f>CONCATENATE("          ", "6269", " - ", "ENTERTAINMENT")</f>
        <v xml:space="preserve">          6269 - ENTERTAINMENT</v>
      </c>
      <c r="C64" s="11"/>
      <c r="D64" s="7"/>
      <c r="E64" s="2"/>
      <c r="F64" s="6">
        <f t="shared" si="36"/>
        <v>0</v>
      </c>
      <c r="G64" s="2"/>
      <c r="H64" s="7">
        <v>250</v>
      </c>
      <c r="I64" s="2"/>
      <c r="J64" s="6">
        <f t="shared" si="37"/>
        <v>1.337220186675938E-3</v>
      </c>
      <c r="K64" s="2"/>
      <c r="L64" s="7">
        <f t="shared" si="38"/>
        <v>-250</v>
      </c>
      <c r="M64" s="2"/>
      <c r="N64" s="6">
        <f t="shared" si="39"/>
        <v>-1</v>
      </c>
      <c r="O64" s="11"/>
      <c r="P64" s="7"/>
      <c r="Q64" s="2"/>
      <c r="R64" s="6">
        <f t="shared" si="40"/>
        <v>0</v>
      </c>
      <c r="S64" s="2"/>
      <c r="T64" s="7">
        <v>250</v>
      </c>
      <c r="U64" s="2"/>
      <c r="V64" s="6">
        <f t="shared" si="41"/>
        <v>2.9746464930107704E-4</v>
      </c>
      <c r="W64" s="2"/>
      <c r="X64" s="7">
        <f t="shared" si="42"/>
        <v>-250</v>
      </c>
      <c r="Y64" s="2"/>
      <c r="Z64" s="6">
        <f t="shared" si="43"/>
        <v>-1</v>
      </c>
    </row>
    <row r="65" spans="1:26" s="24" customFormat="1" hidden="1" outlineLevel="2" x14ac:dyDescent="0.3">
      <c r="A65" s="27"/>
      <c r="B65" s="11" t="str">
        <f>CONCATENATE("          ", "6279", " - ", "GENERAL EXPENSE")</f>
        <v xml:space="preserve">          6279 - GENERAL EXPENSE</v>
      </c>
      <c r="C65" s="11"/>
      <c r="D65" s="7">
        <v>1985.06</v>
      </c>
      <c r="E65" s="2"/>
      <c r="F65" s="6">
        <f t="shared" si="36"/>
        <v>0.10840658065396955</v>
      </c>
      <c r="G65" s="2"/>
      <c r="H65" s="7"/>
      <c r="I65" s="2"/>
      <c r="J65" s="6">
        <f t="shared" si="37"/>
        <v>0</v>
      </c>
      <c r="K65" s="2"/>
      <c r="L65" s="7">
        <f t="shared" si="38"/>
        <v>1985.06</v>
      </c>
      <c r="M65" s="2"/>
      <c r="N65" s="6">
        <f t="shared" si="39"/>
        <v>0</v>
      </c>
      <c r="O65" s="11"/>
      <c r="P65" s="7">
        <v>19376.7</v>
      </c>
      <c r="Q65" s="2"/>
      <c r="R65" s="6">
        <f t="shared" si="40"/>
        <v>2.8343964520302314E-2</v>
      </c>
      <c r="S65" s="2"/>
      <c r="T65" s="7">
        <v>6400</v>
      </c>
      <c r="U65" s="2"/>
      <c r="V65" s="6">
        <f t="shared" si="41"/>
        <v>7.6150950221075724E-3</v>
      </c>
      <c r="W65" s="2"/>
      <c r="X65" s="7">
        <f t="shared" si="42"/>
        <v>12976.7</v>
      </c>
      <c r="Y65" s="2"/>
      <c r="Z65" s="6">
        <f t="shared" si="43"/>
        <v>2.0276093749999999</v>
      </c>
    </row>
    <row r="66" spans="1:26" s="28" customFormat="1" outlineLevel="1" collapsed="1" x14ac:dyDescent="0.3">
      <c r="A66" s="29"/>
      <c r="B66" s="14" t="str">
        <f>CONCATENATE("     ","Insurance                                         ")</f>
        <v xml:space="preserve">     Insurance                                         </v>
      </c>
      <c r="C66" s="14"/>
      <c r="D66" s="1">
        <f>SUM(OSRRefD22_9x_0)</f>
        <v>6087.22</v>
      </c>
      <c r="E66" s="1"/>
      <c r="F66" s="5">
        <f t="shared" ref="F66:F76" si="44">IF(D$12=0,0,D66/D$12)</f>
        <v>0.33243060959792481</v>
      </c>
      <c r="G66" s="1"/>
      <c r="H66" s="1">
        <f>SUM(OSRRefH22_9x_0)</f>
        <v>6000</v>
      </c>
      <c r="I66" s="1"/>
      <c r="J66" s="5">
        <f t="shared" ref="J66:J76" si="45">IF(H$12=0,0,H66/H$12)</f>
        <v>3.2093284480222514E-2</v>
      </c>
      <c r="K66" s="1"/>
      <c r="L66" s="1">
        <f t="shared" ref="L66:L76" si="46">+D66-H66</f>
        <v>87.220000000000255</v>
      </c>
      <c r="M66" s="1"/>
      <c r="N66" s="5">
        <f t="shared" ref="N66:N76" si="47">IF(H66=0,0,L66/H66)</f>
        <v>1.453666666666671E-2</v>
      </c>
      <c r="O66" s="14"/>
      <c r="P66" s="1">
        <f>SUM(OSRRefP22_9x_0)</f>
        <v>49493.54</v>
      </c>
      <c r="Q66" s="1"/>
      <c r="R66" s="5">
        <f t="shared" ref="R66:R76" si="48">IF(P$12=0,0,P66/P$12)</f>
        <v>7.2398454935265727E-2</v>
      </c>
      <c r="S66" s="1"/>
      <c r="T66" s="1">
        <f>SUM(OSRRefT22_9x_0)</f>
        <v>42000</v>
      </c>
      <c r="U66" s="1"/>
      <c r="V66" s="5">
        <f t="shared" ref="V66:V76" si="49">IF(T$12=0,0,T66/T$12)</f>
        <v>4.9974061082580949E-2</v>
      </c>
      <c r="W66" s="1"/>
      <c r="X66" s="1">
        <f t="shared" ref="X66:X76" si="50">+P66-T66</f>
        <v>7493.5400000000009</v>
      </c>
      <c r="Y66" s="1"/>
      <c r="Z66" s="5">
        <f t="shared" ref="Z66:Z76" si="51">IF(T66=0,0,X66/T66)</f>
        <v>0.17841761904761907</v>
      </c>
    </row>
    <row r="67" spans="1:26" s="24" customFormat="1" hidden="1" outlineLevel="2" x14ac:dyDescent="0.3">
      <c r="A67" s="27"/>
      <c r="B67" s="11" t="str">
        <f>CONCATENATE("          ", "6314", " - ", "LIABILITY INSURANCE")</f>
        <v xml:space="preserve">          6314 - LIABILITY INSURANCE</v>
      </c>
      <c r="C67" s="11"/>
      <c r="D67" s="7">
        <v>6087.22</v>
      </c>
      <c r="E67" s="2"/>
      <c r="F67" s="6">
        <f t="shared" si="44"/>
        <v>0.33243060959792481</v>
      </c>
      <c r="G67" s="2"/>
      <c r="H67" s="7">
        <v>6000</v>
      </c>
      <c r="I67" s="2"/>
      <c r="J67" s="6">
        <f t="shared" si="45"/>
        <v>3.2093284480222514E-2</v>
      </c>
      <c r="K67" s="2"/>
      <c r="L67" s="7">
        <f t="shared" si="46"/>
        <v>87.220000000000255</v>
      </c>
      <c r="M67" s="2"/>
      <c r="N67" s="6">
        <f t="shared" si="47"/>
        <v>1.453666666666671E-2</v>
      </c>
      <c r="O67" s="11"/>
      <c r="P67" s="7">
        <v>49493.54</v>
      </c>
      <c r="Q67" s="2"/>
      <c r="R67" s="6">
        <f t="shared" si="48"/>
        <v>7.2398454935265727E-2</v>
      </c>
      <c r="S67" s="2"/>
      <c r="T67" s="7">
        <v>42000</v>
      </c>
      <c r="U67" s="2"/>
      <c r="V67" s="6">
        <f t="shared" si="49"/>
        <v>4.9974061082580949E-2</v>
      </c>
      <c r="W67" s="2"/>
      <c r="X67" s="7">
        <f t="shared" si="50"/>
        <v>7493.5400000000009</v>
      </c>
      <c r="Y67" s="2"/>
      <c r="Z67" s="6">
        <f t="shared" si="51"/>
        <v>0.17841761904761907</v>
      </c>
    </row>
    <row r="68" spans="1:26" s="28" customFormat="1" outlineLevel="1" collapsed="1" x14ac:dyDescent="0.3">
      <c r="A68" s="29"/>
      <c r="B68" s="14" t="str">
        <f>CONCATENATE("     ","Interest                                          ")</f>
        <v xml:space="preserve">     Interest                                          </v>
      </c>
      <c r="C68" s="14"/>
      <c r="D68" s="1">
        <f>SUM(OSRRefD22_10x_0)</f>
        <v>11158</v>
      </c>
      <c r="E68" s="1"/>
      <c r="F68" s="5">
        <f t="shared" si="44"/>
        <v>0.60935217420984367</v>
      </c>
      <c r="G68" s="1"/>
      <c r="H68" s="1">
        <f>SUM(OSRRefH22_10x_0)</f>
        <v>11158</v>
      </c>
      <c r="I68" s="1"/>
      <c r="J68" s="5">
        <f t="shared" si="45"/>
        <v>5.9682811371720469E-2</v>
      </c>
      <c r="K68" s="1"/>
      <c r="L68" s="1">
        <f t="shared" si="46"/>
        <v>0</v>
      </c>
      <c r="M68" s="1"/>
      <c r="N68" s="5">
        <f t="shared" si="47"/>
        <v>0</v>
      </c>
      <c r="O68" s="14"/>
      <c r="P68" s="1">
        <f>SUM(OSRRefP22_10x_0)</f>
        <v>77316</v>
      </c>
      <c r="Q68" s="1"/>
      <c r="R68" s="5">
        <f t="shared" si="48"/>
        <v>0.11309675852192033</v>
      </c>
      <c r="S68" s="1"/>
      <c r="T68" s="1">
        <f>SUM(OSRRefT22_10x_0)</f>
        <v>78106</v>
      </c>
      <c r="U68" s="1"/>
      <c r="V68" s="5">
        <f t="shared" si="49"/>
        <v>9.2935095593239703E-2</v>
      </c>
      <c r="W68" s="1"/>
      <c r="X68" s="1">
        <f t="shared" si="50"/>
        <v>-790</v>
      </c>
      <c r="Y68" s="1"/>
      <c r="Z68" s="5">
        <f t="shared" si="51"/>
        <v>-1.011445983663227E-2</v>
      </c>
    </row>
    <row r="69" spans="1:26" s="24" customFormat="1" hidden="1" outlineLevel="2" x14ac:dyDescent="0.3">
      <c r="A69" s="27"/>
      <c r="B69" s="11" t="str">
        <f>CONCATENATE("          ", "6401", " - ", "INTEREST EXPENSE")</f>
        <v xml:space="preserve">          6401 - INTEREST EXPENSE</v>
      </c>
      <c r="C69" s="11"/>
      <c r="D69" s="7">
        <v>11158</v>
      </c>
      <c r="E69" s="2"/>
      <c r="F69" s="6">
        <f t="shared" si="44"/>
        <v>0.60935217420984367</v>
      </c>
      <c r="G69" s="2"/>
      <c r="H69" s="7">
        <v>11158</v>
      </c>
      <c r="I69" s="2"/>
      <c r="J69" s="6">
        <f t="shared" si="45"/>
        <v>5.9682811371720469E-2</v>
      </c>
      <c r="K69" s="2"/>
      <c r="L69" s="7">
        <f t="shared" si="46"/>
        <v>0</v>
      </c>
      <c r="M69" s="2"/>
      <c r="N69" s="6">
        <f t="shared" si="47"/>
        <v>0</v>
      </c>
      <c r="O69" s="11"/>
      <c r="P69" s="7">
        <v>77316</v>
      </c>
      <c r="Q69" s="2"/>
      <c r="R69" s="6">
        <f t="shared" si="48"/>
        <v>0.11309675852192033</v>
      </c>
      <c r="S69" s="2"/>
      <c r="T69" s="7">
        <v>78106</v>
      </c>
      <c r="U69" s="2"/>
      <c r="V69" s="6">
        <f t="shared" si="49"/>
        <v>9.2935095593239703E-2</v>
      </c>
      <c r="W69" s="2"/>
      <c r="X69" s="7">
        <f t="shared" si="50"/>
        <v>-790</v>
      </c>
      <c r="Y69" s="2"/>
      <c r="Z69" s="6">
        <f t="shared" si="51"/>
        <v>-1.011445983663227E-2</v>
      </c>
    </row>
    <row r="70" spans="1:26" s="28" customFormat="1" outlineLevel="1" collapsed="1" x14ac:dyDescent="0.3">
      <c r="A70" s="29"/>
      <c r="B70" s="14" t="str">
        <f>CONCATENATE("     ","Rent                                              ")</f>
        <v xml:space="preserve">     Rent                                              </v>
      </c>
      <c r="C70" s="14"/>
      <c r="D70" s="1">
        <f>SUM(OSRRefD22_11x_0)</f>
        <v>1850</v>
      </c>
      <c r="E70" s="1"/>
      <c r="F70" s="5">
        <f t="shared" si="44"/>
        <v>0.10103078708444263</v>
      </c>
      <c r="G70" s="1"/>
      <c r="H70" s="1">
        <f>SUM(OSRRefH22_11x_0)</f>
        <v>1850</v>
      </c>
      <c r="I70" s="1"/>
      <c r="J70" s="5">
        <f t="shared" si="45"/>
        <v>9.895429381401942E-3</v>
      </c>
      <c r="K70" s="1"/>
      <c r="L70" s="1">
        <f t="shared" si="46"/>
        <v>0</v>
      </c>
      <c r="M70" s="1"/>
      <c r="N70" s="5">
        <f t="shared" si="47"/>
        <v>0</v>
      </c>
      <c r="O70" s="14"/>
      <c r="P70" s="1">
        <f>SUM(OSRRefP22_11x_0)</f>
        <v>12950</v>
      </c>
      <c r="Q70" s="1"/>
      <c r="R70" s="5">
        <f t="shared" si="48"/>
        <v>1.8943078054463089E-2</v>
      </c>
      <c r="S70" s="1"/>
      <c r="T70" s="1">
        <f>SUM(OSRRefT22_11x_0)</f>
        <v>12950</v>
      </c>
      <c r="U70" s="1"/>
      <c r="V70" s="5">
        <f t="shared" si="49"/>
        <v>1.5408668833795791E-2</v>
      </c>
      <c r="W70" s="1"/>
      <c r="X70" s="1">
        <f t="shared" si="50"/>
        <v>0</v>
      </c>
      <c r="Y70" s="1"/>
      <c r="Z70" s="5">
        <f t="shared" si="51"/>
        <v>0</v>
      </c>
    </row>
    <row r="71" spans="1:26" s="24" customFormat="1" hidden="1" outlineLevel="2" x14ac:dyDescent="0.3">
      <c r="A71" s="27"/>
      <c r="B71" s="11" t="str">
        <f>CONCATENATE("          ", "6273", " - ", "RENT")</f>
        <v xml:space="preserve">          6273 - RENT</v>
      </c>
      <c r="C71" s="11"/>
      <c r="D71" s="7">
        <v>1850</v>
      </c>
      <c r="E71" s="2"/>
      <c r="F71" s="6">
        <f t="shared" si="44"/>
        <v>0.10103078708444263</v>
      </c>
      <c r="G71" s="2"/>
      <c r="H71" s="7">
        <v>1850</v>
      </c>
      <c r="I71" s="2"/>
      <c r="J71" s="6">
        <f t="shared" si="45"/>
        <v>9.895429381401942E-3</v>
      </c>
      <c r="K71" s="2"/>
      <c r="L71" s="7">
        <f t="shared" si="46"/>
        <v>0</v>
      </c>
      <c r="M71" s="2"/>
      <c r="N71" s="6">
        <f t="shared" si="47"/>
        <v>0</v>
      </c>
      <c r="O71" s="11"/>
      <c r="P71" s="7">
        <v>12950</v>
      </c>
      <c r="Q71" s="2"/>
      <c r="R71" s="6">
        <f t="shared" si="48"/>
        <v>1.8943078054463089E-2</v>
      </c>
      <c r="S71" s="2"/>
      <c r="T71" s="7">
        <v>12950</v>
      </c>
      <c r="U71" s="2"/>
      <c r="V71" s="6">
        <f t="shared" si="49"/>
        <v>1.5408668833795791E-2</v>
      </c>
      <c r="W71" s="2"/>
      <c r="X71" s="7">
        <f t="shared" si="50"/>
        <v>0</v>
      </c>
      <c r="Y71" s="2"/>
      <c r="Z71" s="6">
        <f t="shared" si="51"/>
        <v>0</v>
      </c>
    </row>
    <row r="72" spans="1:26" s="28" customFormat="1" outlineLevel="1" collapsed="1" x14ac:dyDescent="0.3">
      <c r="A72" s="29"/>
      <c r="B72" s="14" t="str">
        <f>CONCATENATE("     ","Repair and Maintenance                            ")</f>
        <v xml:space="preserve">     Repair and Maintenance                            </v>
      </c>
      <c r="C72" s="14"/>
      <c r="D72" s="1">
        <f>SUM(OSRRefD22_12x_0)</f>
        <v>4635.3</v>
      </c>
      <c r="E72" s="1"/>
      <c r="F72" s="5">
        <f t="shared" si="44"/>
        <v>0.25313946344460375</v>
      </c>
      <c r="G72" s="1"/>
      <c r="H72" s="1">
        <f>SUM(OSRRefH22_12x_0)</f>
        <v>11531</v>
      </c>
      <c r="I72" s="1"/>
      <c r="J72" s="5">
        <f t="shared" si="45"/>
        <v>6.167794389024097E-2</v>
      </c>
      <c r="K72" s="1"/>
      <c r="L72" s="1">
        <f t="shared" si="46"/>
        <v>-6895.7</v>
      </c>
      <c r="M72" s="1"/>
      <c r="N72" s="5">
        <f t="shared" si="47"/>
        <v>-0.59801404908507505</v>
      </c>
      <c r="O72" s="14"/>
      <c r="P72" s="1">
        <f>SUM(OSRRefP22_12x_0)</f>
        <v>60501.56</v>
      </c>
      <c r="Q72" s="1"/>
      <c r="R72" s="5">
        <f t="shared" si="48"/>
        <v>8.8500831930253418E-2</v>
      </c>
      <c r="S72" s="1"/>
      <c r="T72" s="1">
        <f>SUM(OSRRefT22_12x_0)</f>
        <v>43074</v>
      </c>
      <c r="U72" s="1"/>
      <c r="V72" s="5">
        <f t="shared" si="49"/>
        <v>5.1251969215978375E-2</v>
      </c>
      <c r="W72" s="1"/>
      <c r="X72" s="1">
        <f t="shared" si="50"/>
        <v>17427.559999999998</v>
      </c>
      <c r="Y72" s="1"/>
      <c r="Z72" s="5">
        <f t="shared" si="51"/>
        <v>0.40459581185866178</v>
      </c>
    </row>
    <row r="73" spans="1:26" s="24" customFormat="1" hidden="1" outlineLevel="2" x14ac:dyDescent="0.3">
      <c r="A73" s="27"/>
      <c r="B73" s="11" t="str">
        <f>CONCATENATE("          ", "6371", " - ", "COMPUTER SOFTWARE MAINTENANCE")</f>
        <v xml:space="preserve">          6371 - COMPUTER SOFTWARE MAINTENANCE</v>
      </c>
      <c r="C73" s="11"/>
      <c r="D73" s="7">
        <v>481.09</v>
      </c>
      <c r="E73" s="2"/>
      <c r="F73" s="6">
        <f t="shared" si="44"/>
        <v>2.6272919653218648E-2</v>
      </c>
      <c r="G73" s="2"/>
      <c r="H73" s="7"/>
      <c r="I73" s="2"/>
      <c r="J73" s="6">
        <f t="shared" si="45"/>
        <v>0</v>
      </c>
      <c r="K73" s="2"/>
      <c r="L73" s="7">
        <f t="shared" si="46"/>
        <v>481.09</v>
      </c>
      <c r="M73" s="2"/>
      <c r="N73" s="6">
        <f t="shared" si="47"/>
        <v>0</v>
      </c>
      <c r="O73" s="11"/>
      <c r="P73" s="7">
        <v>6817.17</v>
      </c>
      <c r="Q73" s="2"/>
      <c r="R73" s="6">
        <f t="shared" si="48"/>
        <v>9.9720604957949151E-3</v>
      </c>
      <c r="S73" s="2"/>
      <c r="T73" s="7">
        <v>2623</v>
      </c>
      <c r="U73" s="2"/>
      <c r="V73" s="6">
        <f t="shared" si="49"/>
        <v>3.1209991004669006E-3</v>
      </c>
      <c r="W73" s="2"/>
      <c r="X73" s="7">
        <f t="shared" si="50"/>
        <v>4194.17</v>
      </c>
      <c r="Y73" s="2"/>
      <c r="Z73" s="6">
        <f t="shared" si="51"/>
        <v>1.5989973313000381</v>
      </c>
    </row>
    <row r="74" spans="1:26" s="24" customFormat="1" hidden="1" outlineLevel="2" x14ac:dyDescent="0.3">
      <c r="A74" s="27"/>
      <c r="B74" s="11" t="str">
        <f>CONCATENATE("          ", "6372", " - ", "COMPUTER HARDWARE MAINTENANCE")</f>
        <v xml:space="preserve">          6372 - COMPUTER HARDWARE MAINTENANCE</v>
      </c>
      <c r="C74" s="11"/>
      <c r="D74" s="7"/>
      <c r="E74" s="2"/>
      <c r="F74" s="6">
        <f t="shared" si="44"/>
        <v>0</v>
      </c>
      <c r="G74" s="2"/>
      <c r="H74" s="7">
        <v>8000</v>
      </c>
      <c r="I74" s="2"/>
      <c r="J74" s="6">
        <f t="shared" si="45"/>
        <v>4.2791045973630017E-2</v>
      </c>
      <c r="K74" s="2"/>
      <c r="L74" s="7">
        <f t="shared" si="46"/>
        <v>-8000</v>
      </c>
      <c r="M74" s="2"/>
      <c r="N74" s="6">
        <f t="shared" si="47"/>
        <v>-1</v>
      </c>
      <c r="O74" s="11"/>
      <c r="P74" s="7"/>
      <c r="Q74" s="2"/>
      <c r="R74" s="6">
        <f t="shared" si="48"/>
        <v>0</v>
      </c>
      <c r="S74" s="2"/>
      <c r="T74" s="7">
        <v>8000</v>
      </c>
      <c r="U74" s="2"/>
      <c r="V74" s="6">
        <f t="shared" si="49"/>
        <v>9.5188687776344653E-3</v>
      </c>
      <c r="W74" s="2"/>
      <c r="X74" s="7">
        <f t="shared" si="50"/>
        <v>-8000</v>
      </c>
      <c r="Y74" s="2"/>
      <c r="Z74" s="6">
        <f t="shared" si="51"/>
        <v>-1</v>
      </c>
    </row>
    <row r="75" spans="1:26" s="24" customFormat="1" hidden="1" outlineLevel="2" x14ac:dyDescent="0.3">
      <c r="A75" s="27"/>
      <c r="B75" s="11" t="str">
        <f>CONCATENATE("          ", "6373", " - ", "MAINTENANCE CONTRACTS")</f>
        <v xml:space="preserve">          6373 - MAINTENANCE CONTRACTS</v>
      </c>
      <c r="C75" s="11"/>
      <c r="D75" s="7">
        <v>2634.51</v>
      </c>
      <c r="E75" s="2"/>
      <c r="F75" s="6">
        <f t="shared" si="44"/>
        <v>0.14387384804423511</v>
      </c>
      <c r="G75" s="2"/>
      <c r="H75" s="7">
        <v>1180</v>
      </c>
      <c r="I75" s="2"/>
      <c r="J75" s="6">
        <f t="shared" si="45"/>
        <v>6.3116792811104281E-3</v>
      </c>
      <c r="K75" s="2"/>
      <c r="L75" s="7">
        <f t="shared" si="46"/>
        <v>1454.5100000000002</v>
      </c>
      <c r="M75" s="2"/>
      <c r="N75" s="6">
        <f t="shared" si="47"/>
        <v>1.2326355932203392</v>
      </c>
      <c r="O75" s="11"/>
      <c r="P75" s="7">
        <v>14558.14</v>
      </c>
      <c r="Q75" s="2"/>
      <c r="R75" s="6">
        <f t="shared" si="48"/>
        <v>2.1295442652339867E-2</v>
      </c>
      <c r="S75" s="2"/>
      <c r="T75" s="7">
        <v>5601</v>
      </c>
      <c r="U75" s="2"/>
      <c r="V75" s="6">
        <f t="shared" si="49"/>
        <v>6.6643980029413305E-3</v>
      </c>
      <c r="W75" s="2"/>
      <c r="X75" s="7">
        <f t="shared" si="50"/>
        <v>8957.14</v>
      </c>
      <c r="Y75" s="2"/>
      <c r="Z75" s="6">
        <f t="shared" si="51"/>
        <v>1.5992037136225672</v>
      </c>
    </row>
    <row r="76" spans="1:26" s="24" customFormat="1" hidden="1" outlineLevel="2" x14ac:dyDescent="0.3">
      <c r="A76" s="27"/>
      <c r="B76" s="11" t="str">
        <f>CONCATENATE("          ", "6375", " - ", "OUTSIDE REPAIRS &amp; MAINTENANCE")</f>
        <v xml:space="preserve">          6375 - OUTSIDE REPAIRS &amp; MAINTENANCE</v>
      </c>
      <c r="C76" s="11"/>
      <c r="D76" s="7">
        <v>1519.7</v>
      </c>
      <c r="E76" s="2"/>
      <c r="F76" s="6">
        <f t="shared" si="44"/>
        <v>8.2992695747149972E-2</v>
      </c>
      <c r="G76" s="2"/>
      <c r="H76" s="7">
        <v>2351</v>
      </c>
      <c r="I76" s="2"/>
      <c r="J76" s="6">
        <f t="shared" si="45"/>
        <v>1.2575218635500521E-2</v>
      </c>
      <c r="K76" s="2"/>
      <c r="L76" s="7">
        <f t="shared" si="46"/>
        <v>-831.3</v>
      </c>
      <c r="M76" s="2"/>
      <c r="N76" s="6">
        <f t="shared" si="47"/>
        <v>-0.35359421522756274</v>
      </c>
      <c r="O76" s="11"/>
      <c r="P76" s="7">
        <v>39126.25</v>
      </c>
      <c r="Q76" s="2"/>
      <c r="R76" s="6">
        <f t="shared" si="48"/>
        <v>5.7233328782118648E-2</v>
      </c>
      <c r="S76" s="2"/>
      <c r="T76" s="7">
        <v>26850</v>
      </c>
      <c r="U76" s="2"/>
      <c r="V76" s="6">
        <f t="shared" si="49"/>
        <v>3.1947703334935677E-2</v>
      </c>
      <c r="W76" s="2"/>
      <c r="X76" s="7">
        <f t="shared" si="50"/>
        <v>12276.25</v>
      </c>
      <c r="Y76" s="2"/>
      <c r="Z76" s="6">
        <f t="shared" si="51"/>
        <v>0.45721601489757913</v>
      </c>
    </row>
    <row r="77" spans="1:26" s="28" customFormat="1" outlineLevel="1" collapsed="1" x14ac:dyDescent="0.3">
      <c r="A77" s="29"/>
      <c r="B77" s="14" t="str">
        <f>CONCATENATE("     ","Royalty &amp; Commissions                             ")</f>
        <v xml:space="preserve">     Royalty &amp; Commissions                             </v>
      </c>
      <c r="C77" s="14"/>
      <c r="D77" s="1">
        <f>SUM(OSRRefD22_13x_0)</f>
        <v>0</v>
      </c>
      <c r="E77" s="1"/>
      <c r="F77" s="5">
        <f t="shared" ref="F77:F79" si="52">IF(D$12=0,0,D77/D$12)</f>
        <v>0</v>
      </c>
      <c r="G77" s="1"/>
      <c r="H77" s="1">
        <f>SUM(OSRRefH22_13x_0)</f>
        <v>949</v>
      </c>
      <c r="I77" s="1"/>
      <c r="J77" s="5">
        <f t="shared" ref="J77:J79" si="53">IF(H$12=0,0,H77/H$12)</f>
        <v>5.0760878286218612E-3</v>
      </c>
      <c r="K77" s="1"/>
      <c r="L77" s="1">
        <f t="shared" ref="L77:L79" si="54">+D77-H77</f>
        <v>-949</v>
      </c>
      <c r="M77" s="1"/>
      <c r="N77" s="5">
        <f t="shared" ref="N77:N79" si="55">IF(H77=0,0,L77/H77)</f>
        <v>-1</v>
      </c>
      <c r="O77" s="14"/>
      <c r="P77" s="1">
        <f>SUM(OSRRefP22_13x_0)</f>
        <v>1844.91</v>
      </c>
      <c r="Q77" s="1"/>
      <c r="R77" s="5">
        <f t="shared" ref="R77:R79" si="56">IF(P$12=0,0,P77/P$12)</f>
        <v>2.6987084272941698E-3</v>
      </c>
      <c r="S77" s="1"/>
      <c r="T77" s="1">
        <f>SUM(OSRRefT22_13x_0)</f>
        <v>5221</v>
      </c>
      <c r="U77" s="1"/>
      <c r="V77" s="5">
        <f t="shared" ref="V77:V79" si="57">IF(T$12=0,0,T77/T$12)</f>
        <v>6.2122517360036931E-3</v>
      </c>
      <c r="W77" s="1"/>
      <c r="X77" s="1">
        <f t="shared" ref="X77:X79" si="58">+P77-T77</f>
        <v>-3376.09</v>
      </c>
      <c r="Y77" s="1"/>
      <c r="Z77" s="5">
        <f t="shared" ref="Z77:Z79" si="59">IF(T77=0,0,X77/T77)</f>
        <v>-0.64663665964374639</v>
      </c>
    </row>
    <row r="78" spans="1:26" s="24" customFormat="1" hidden="1" outlineLevel="2" x14ac:dyDescent="0.3">
      <c r="A78" s="27"/>
      <c r="B78" s="11" t="str">
        <f>CONCATENATE("          ", "6254", " - ", "ROYALTY &amp; COMMISSIONS")</f>
        <v xml:space="preserve">          6254 - ROYALTY &amp; COMMISSIONS</v>
      </c>
      <c r="C78" s="11"/>
      <c r="D78" s="7"/>
      <c r="E78" s="2"/>
      <c r="F78" s="6">
        <f t="shared" si="52"/>
        <v>0</v>
      </c>
      <c r="G78" s="2"/>
      <c r="H78" s="7"/>
      <c r="I78" s="2"/>
      <c r="J78" s="6">
        <f t="shared" si="53"/>
        <v>0</v>
      </c>
      <c r="K78" s="2"/>
      <c r="L78" s="7">
        <f t="shared" si="54"/>
        <v>0</v>
      </c>
      <c r="M78" s="2"/>
      <c r="N78" s="6">
        <f t="shared" si="55"/>
        <v>0</v>
      </c>
      <c r="O78" s="11"/>
      <c r="P78" s="7">
        <v>1844.91</v>
      </c>
      <c r="Q78" s="2"/>
      <c r="R78" s="6">
        <f t="shared" si="56"/>
        <v>2.6987084272941698E-3</v>
      </c>
      <c r="S78" s="2"/>
      <c r="T78" s="7"/>
      <c r="U78" s="2"/>
      <c r="V78" s="6">
        <f t="shared" si="57"/>
        <v>0</v>
      </c>
      <c r="W78" s="2"/>
      <c r="X78" s="7">
        <f t="shared" si="58"/>
        <v>1844.91</v>
      </c>
      <c r="Y78" s="2"/>
      <c r="Z78" s="6">
        <f t="shared" si="59"/>
        <v>0</v>
      </c>
    </row>
    <row r="79" spans="1:26" s="24" customFormat="1" hidden="1" outlineLevel="2" x14ac:dyDescent="0.3">
      <c r="A79" s="27"/>
      <c r="B79" s="11" t="str">
        <f>CONCATENATE("          ", "6259", " - ", "ROYALTY &amp; COMMISSIONS")</f>
        <v xml:space="preserve">          6259 - ROYALTY &amp; COMMISSIONS</v>
      </c>
      <c r="C79" s="11"/>
      <c r="D79" s="7"/>
      <c r="E79" s="2"/>
      <c r="F79" s="6">
        <f t="shared" si="52"/>
        <v>0</v>
      </c>
      <c r="G79" s="2"/>
      <c r="H79" s="7">
        <v>949</v>
      </c>
      <c r="I79" s="2"/>
      <c r="J79" s="6">
        <f t="shared" si="53"/>
        <v>5.0760878286218612E-3</v>
      </c>
      <c r="K79" s="2"/>
      <c r="L79" s="7">
        <f t="shared" si="54"/>
        <v>-949</v>
      </c>
      <c r="M79" s="2"/>
      <c r="N79" s="6">
        <f t="shared" si="55"/>
        <v>-1</v>
      </c>
      <c r="O79" s="11"/>
      <c r="P79" s="7"/>
      <c r="Q79" s="2"/>
      <c r="R79" s="6">
        <f t="shared" si="56"/>
        <v>0</v>
      </c>
      <c r="S79" s="2"/>
      <c r="T79" s="7">
        <v>5221</v>
      </c>
      <c r="U79" s="2"/>
      <c r="V79" s="6">
        <f t="shared" si="57"/>
        <v>6.2122517360036931E-3</v>
      </c>
      <c r="W79" s="2"/>
      <c r="X79" s="7">
        <f t="shared" si="58"/>
        <v>-5221</v>
      </c>
      <c r="Y79" s="2"/>
      <c r="Z79" s="6">
        <f t="shared" si="59"/>
        <v>-1</v>
      </c>
    </row>
    <row r="80" spans="1:26" s="28" customFormat="1" outlineLevel="1" collapsed="1" x14ac:dyDescent="0.3">
      <c r="A80" s="29"/>
      <c r="B80" s="14" t="str">
        <f>CONCATENATE("     ","Services                                          ")</f>
        <v xml:space="preserve">     Services                                          </v>
      </c>
      <c r="C80" s="14"/>
      <c r="D80" s="1">
        <f>SUM(OSRRefD22_14x_0)</f>
        <v>4481.2300000000005</v>
      </c>
      <c r="E80" s="1"/>
      <c r="F80" s="5">
        <f t="shared" ref="F80:F85" si="60">IF(D$12=0,0,D80/D$12)</f>
        <v>0.24472551027373884</v>
      </c>
      <c r="G80" s="1"/>
      <c r="H80" s="1">
        <f>SUM(OSRRefH22_14x_0)</f>
        <v>11429</v>
      </c>
      <c r="I80" s="1"/>
      <c r="J80" s="5">
        <f t="shared" ref="J80:J85" si="61">IF(H$12=0,0,H80/H$12)</f>
        <v>6.1132358054077185E-2</v>
      </c>
      <c r="K80" s="1"/>
      <c r="L80" s="1">
        <f t="shared" ref="L80:L85" si="62">+D80-H80</f>
        <v>-6947.7699999999995</v>
      </c>
      <c r="M80" s="1"/>
      <c r="N80" s="5">
        <f t="shared" ref="N80:N85" si="63">IF(H80=0,0,L80/H80)</f>
        <v>-0.60790707848455683</v>
      </c>
      <c r="O80" s="14"/>
      <c r="P80" s="1">
        <f>SUM(OSRRefP22_14x_0)</f>
        <v>56201.229999999996</v>
      </c>
      <c r="Q80" s="1"/>
      <c r="R80" s="5">
        <f t="shared" ref="R80:R85" si="64">IF(P$12=0,0,P80/P$12)</f>
        <v>8.2210369625238033E-2</v>
      </c>
      <c r="S80" s="1"/>
      <c r="T80" s="1">
        <f>SUM(OSRRefT22_14x_0)</f>
        <v>74899</v>
      </c>
      <c r="U80" s="1"/>
      <c r="V80" s="5">
        <f t="shared" ref="V80:V85" si="65">IF(T$12=0,0,T80/T$12)</f>
        <v>8.9119219072005484E-2</v>
      </c>
      <c r="W80" s="1"/>
      <c r="X80" s="1">
        <f t="shared" ref="X80:X85" si="66">+P80-T80</f>
        <v>-18697.770000000004</v>
      </c>
      <c r="Y80" s="1"/>
      <c r="Z80" s="5">
        <f t="shared" ref="Z80:Z85" si="67">IF(T80=0,0,X80/T80)</f>
        <v>-0.2496397815725177</v>
      </c>
    </row>
    <row r="81" spans="1:26" s="24" customFormat="1" hidden="1" outlineLevel="2" x14ac:dyDescent="0.3">
      <c r="A81" s="27"/>
      <c r="B81" s="11" t="str">
        <f>CONCATENATE("          ", "6282", " - ", "JANITORIAL/EXTERMINATOR EXPENS")</f>
        <v xml:space="preserve">          6282 - JANITORIAL/EXTERMINATOR EXPENS</v>
      </c>
      <c r="C81" s="11"/>
      <c r="D81" s="7">
        <v>821.95</v>
      </c>
      <c r="E81" s="2"/>
      <c r="F81" s="6">
        <f t="shared" si="60"/>
        <v>4.4887705645436551E-2</v>
      </c>
      <c r="G81" s="2"/>
      <c r="H81" s="7">
        <v>1386</v>
      </c>
      <c r="I81" s="2"/>
      <c r="J81" s="6">
        <f t="shared" si="61"/>
        <v>7.4135487149314004E-3</v>
      </c>
      <c r="K81" s="2"/>
      <c r="L81" s="7">
        <f t="shared" si="62"/>
        <v>-564.04999999999995</v>
      </c>
      <c r="M81" s="2"/>
      <c r="N81" s="6">
        <f t="shared" si="63"/>
        <v>-0.40696248196248191</v>
      </c>
      <c r="O81" s="11"/>
      <c r="P81" s="7">
        <v>9325.2099999999991</v>
      </c>
      <c r="Q81" s="2"/>
      <c r="R81" s="6">
        <f t="shared" si="64"/>
        <v>1.3640786170213106E-2</v>
      </c>
      <c r="S81" s="2"/>
      <c r="T81" s="7">
        <v>9344</v>
      </c>
      <c r="U81" s="2"/>
      <c r="V81" s="6">
        <f t="shared" si="65"/>
        <v>1.1118038732277057E-2</v>
      </c>
      <c r="W81" s="2"/>
      <c r="X81" s="7">
        <f t="shared" si="66"/>
        <v>-18.790000000000873</v>
      </c>
      <c r="Y81" s="2"/>
      <c r="Z81" s="6">
        <f t="shared" si="67"/>
        <v>-2.0109160958905045E-3</v>
      </c>
    </row>
    <row r="82" spans="1:26" s="24" customFormat="1" hidden="1" outlineLevel="2" x14ac:dyDescent="0.3">
      <c r="A82" s="27"/>
      <c r="B82" s="11" t="str">
        <f>CONCATENATE("          ", "6283", " - ", "PLANT SERVICE")</f>
        <v xml:space="preserve">          6283 - PLANT SERVICE</v>
      </c>
      <c r="C82" s="11"/>
      <c r="D82" s="7"/>
      <c r="E82" s="2"/>
      <c r="F82" s="6">
        <f t="shared" si="60"/>
        <v>0</v>
      </c>
      <c r="G82" s="2"/>
      <c r="H82" s="7">
        <v>100</v>
      </c>
      <c r="I82" s="2"/>
      <c r="J82" s="6">
        <f t="shared" si="61"/>
        <v>5.3488807467037521E-4</v>
      </c>
      <c r="K82" s="2"/>
      <c r="L82" s="7">
        <f t="shared" si="62"/>
        <v>-100</v>
      </c>
      <c r="M82" s="2"/>
      <c r="N82" s="6">
        <f t="shared" si="63"/>
        <v>-1</v>
      </c>
      <c r="O82" s="11"/>
      <c r="P82" s="7"/>
      <c r="Q82" s="2"/>
      <c r="R82" s="6">
        <f t="shared" si="64"/>
        <v>0</v>
      </c>
      <c r="S82" s="2"/>
      <c r="T82" s="7">
        <v>700</v>
      </c>
      <c r="U82" s="2"/>
      <c r="V82" s="6">
        <f t="shared" si="65"/>
        <v>8.329010180430158E-4</v>
      </c>
      <c r="W82" s="2"/>
      <c r="X82" s="7">
        <f t="shared" si="66"/>
        <v>-700</v>
      </c>
      <c r="Y82" s="2"/>
      <c r="Z82" s="6">
        <f t="shared" si="67"/>
        <v>-1</v>
      </c>
    </row>
    <row r="83" spans="1:26" s="24" customFormat="1" hidden="1" outlineLevel="2" x14ac:dyDescent="0.3">
      <c r="A83" s="27"/>
      <c r="B83" s="11" t="str">
        <f>CONCATENATE("          ", "6284", " - ", "TRASH REMOVAL EXPENSE")</f>
        <v xml:space="preserve">          6284 - TRASH REMOVAL EXPENSE</v>
      </c>
      <c r="C83" s="11"/>
      <c r="D83" s="7"/>
      <c r="E83" s="2"/>
      <c r="F83" s="6">
        <f t="shared" si="60"/>
        <v>0</v>
      </c>
      <c r="G83" s="2"/>
      <c r="H83" s="7">
        <v>1000</v>
      </c>
      <c r="I83" s="2"/>
      <c r="J83" s="6">
        <f t="shared" si="61"/>
        <v>5.3488807467037521E-3</v>
      </c>
      <c r="K83" s="2"/>
      <c r="L83" s="7">
        <f t="shared" si="62"/>
        <v>-1000</v>
      </c>
      <c r="M83" s="2"/>
      <c r="N83" s="6">
        <f t="shared" si="63"/>
        <v>-1</v>
      </c>
      <c r="O83" s="11"/>
      <c r="P83" s="7"/>
      <c r="Q83" s="2"/>
      <c r="R83" s="6">
        <f t="shared" si="64"/>
        <v>0</v>
      </c>
      <c r="S83" s="2"/>
      <c r="T83" s="7">
        <v>7000</v>
      </c>
      <c r="U83" s="2"/>
      <c r="V83" s="6">
        <f t="shared" si="65"/>
        <v>8.3290101804301582E-3</v>
      </c>
      <c r="W83" s="2"/>
      <c r="X83" s="7">
        <f t="shared" si="66"/>
        <v>-7000</v>
      </c>
      <c r="Y83" s="2"/>
      <c r="Z83" s="6">
        <f t="shared" si="67"/>
        <v>-1</v>
      </c>
    </row>
    <row r="84" spans="1:26" s="24" customFormat="1" hidden="1" outlineLevel="2" x14ac:dyDescent="0.3">
      <c r="A84" s="27"/>
      <c r="B84" s="11" t="str">
        <f>CONCATENATE("          ", "6285", " - ", "JANITORIAL SERVICES")</f>
        <v xml:space="preserve">          6285 - JANITORIAL SERVICES</v>
      </c>
      <c r="C84" s="11"/>
      <c r="D84" s="7">
        <v>3385.52</v>
      </c>
      <c r="E84" s="2"/>
      <c r="F84" s="6">
        <f t="shared" si="60"/>
        <v>0.18488743258925525</v>
      </c>
      <c r="G84" s="2"/>
      <c r="H84" s="7">
        <v>8224</v>
      </c>
      <c r="I84" s="2"/>
      <c r="J84" s="6">
        <f t="shared" si="61"/>
        <v>4.3989195260891657E-2</v>
      </c>
      <c r="K84" s="2"/>
      <c r="L84" s="7">
        <f t="shared" si="62"/>
        <v>-4838.4799999999996</v>
      </c>
      <c r="M84" s="2"/>
      <c r="N84" s="6">
        <f t="shared" si="63"/>
        <v>-0.58833657587548638</v>
      </c>
      <c r="O84" s="11"/>
      <c r="P84" s="7">
        <v>43788.959999999999</v>
      </c>
      <c r="Q84" s="2"/>
      <c r="R84" s="6">
        <f t="shared" si="64"/>
        <v>6.405387545974997E-2</v>
      </c>
      <c r="S84" s="2"/>
      <c r="T84" s="7">
        <v>53260</v>
      </c>
      <c r="U84" s="2"/>
      <c r="V84" s="6">
        <f t="shared" si="65"/>
        <v>6.337186888710146E-2</v>
      </c>
      <c r="W84" s="2"/>
      <c r="X84" s="7">
        <f t="shared" si="66"/>
        <v>-9471.0400000000009</v>
      </c>
      <c r="Y84" s="2"/>
      <c r="Z84" s="6">
        <f t="shared" si="67"/>
        <v>-0.17782651145324824</v>
      </c>
    </row>
    <row r="85" spans="1:26" s="24" customFormat="1" hidden="1" outlineLevel="2" x14ac:dyDescent="0.3">
      <c r="A85" s="27"/>
      <c r="B85" s="11" t="str">
        <f>CONCATENATE("          ", "6286", " - ", "LAUNDRY EXPENSE")</f>
        <v xml:space="preserve">          6286 - LAUNDRY EXPENSE</v>
      </c>
      <c r="C85" s="11"/>
      <c r="D85" s="7">
        <v>273.76</v>
      </c>
      <c r="E85" s="2"/>
      <c r="F85" s="6">
        <f t="shared" si="60"/>
        <v>1.4950372039047033E-2</v>
      </c>
      <c r="G85" s="2"/>
      <c r="H85" s="7">
        <v>719</v>
      </c>
      <c r="I85" s="2"/>
      <c r="J85" s="6">
        <f t="shared" si="61"/>
        <v>3.8458452568799978E-3</v>
      </c>
      <c r="K85" s="2"/>
      <c r="L85" s="7">
        <f t="shared" si="62"/>
        <v>-445.24</v>
      </c>
      <c r="M85" s="2"/>
      <c r="N85" s="6">
        <f t="shared" si="63"/>
        <v>-0.61924895688456194</v>
      </c>
      <c r="O85" s="11"/>
      <c r="P85" s="7">
        <v>3087.06</v>
      </c>
      <c r="Q85" s="2"/>
      <c r="R85" s="6">
        <f t="shared" si="64"/>
        <v>4.5157079952749674E-3</v>
      </c>
      <c r="S85" s="2"/>
      <c r="T85" s="7">
        <v>4595</v>
      </c>
      <c r="U85" s="2"/>
      <c r="V85" s="6">
        <f t="shared" si="65"/>
        <v>5.467400254153796E-3</v>
      </c>
      <c r="W85" s="2"/>
      <c r="X85" s="7">
        <f t="shared" si="66"/>
        <v>-1507.94</v>
      </c>
      <c r="Y85" s="2"/>
      <c r="Z85" s="6">
        <f t="shared" si="67"/>
        <v>-0.3281697497279652</v>
      </c>
    </row>
    <row r="86" spans="1:26" s="28" customFormat="1" outlineLevel="1" collapsed="1" x14ac:dyDescent="0.3">
      <c r="A86" s="29"/>
      <c r="B86" s="14" t="str">
        <f>CONCATENATE("     ","Subscriptions &amp; Dues                              ")</f>
        <v xml:space="preserve">     Subscriptions &amp; Dues                              </v>
      </c>
      <c r="C86" s="14"/>
      <c r="D86" s="1">
        <f>SUM(OSRRefD22_15x_0)</f>
        <v>560.5</v>
      </c>
      <c r="E86" s="1"/>
      <c r="F86" s="5">
        <f t="shared" ref="F86:F98" si="68">IF(D$12=0,0,D86/D$12)</f>
        <v>3.0609597924773021E-2</v>
      </c>
      <c r="G86" s="1"/>
      <c r="H86" s="1">
        <f>SUM(OSRRefH22_15x_0)</f>
        <v>610</v>
      </c>
      <c r="I86" s="1"/>
      <c r="J86" s="5">
        <f t="shared" ref="J86:J98" si="69">IF(H$12=0,0,H86/H$12)</f>
        <v>3.2628172554892889E-3</v>
      </c>
      <c r="K86" s="1"/>
      <c r="L86" s="1">
        <f t="shared" ref="L86:L98" si="70">+D86-H86</f>
        <v>-49.5</v>
      </c>
      <c r="M86" s="1"/>
      <c r="N86" s="5">
        <f t="shared" ref="N86:N98" si="71">IF(H86=0,0,L86/H86)</f>
        <v>-8.1147540983606561E-2</v>
      </c>
      <c r="O86" s="14"/>
      <c r="P86" s="1">
        <f>SUM(OSRRefP22_15x_0)</f>
        <v>4533.1099999999997</v>
      </c>
      <c r="Q86" s="1"/>
      <c r="R86" s="5">
        <f t="shared" ref="R86:R98" si="72">IF(P$12=0,0,P86/P$12)</f>
        <v>6.6309696184916733E-3</v>
      </c>
      <c r="S86" s="1"/>
      <c r="T86" s="1">
        <f>SUM(OSRRefT22_15x_0)</f>
        <v>4040</v>
      </c>
      <c r="U86" s="1"/>
      <c r="V86" s="5">
        <f t="shared" ref="V86:V98" si="73">IF(T$12=0,0,T86/T$12)</f>
        <v>4.8070287327054055E-3</v>
      </c>
      <c r="W86" s="1"/>
      <c r="X86" s="1">
        <f t="shared" ref="X86:X98" si="74">+P86-T86</f>
        <v>493.10999999999967</v>
      </c>
      <c r="Y86" s="1"/>
      <c r="Z86" s="5">
        <f t="shared" ref="Z86:Z98" si="75">IF(T86=0,0,X86/T86)</f>
        <v>0.12205693069306922</v>
      </c>
    </row>
    <row r="87" spans="1:26" s="24" customFormat="1" hidden="1" outlineLevel="2" x14ac:dyDescent="0.3">
      <c r="A87" s="27"/>
      <c r="B87" s="11" t="str">
        <f>CONCATENATE("          ", "6275", " - ", "SUBSCRIPTIONS")</f>
        <v xml:space="preserve">          6275 - SUBSCRIPTIONS</v>
      </c>
      <c r="C87" s="11"/>
      <c r="D87" s="7">
        <v>560.5</v>
      </c>
      <c r="E87" s="2"/>
      <c r="F87" s="6">
        <f t="shared" si="68"/>
        <v>3.0609597924773021E-2</v>
      </c>
      <c r="G87" s="2"/>
      <c r="H87" s="7">
        <v>610</v>
      </c>
      <c r="I87" s="2"/>
      <c r="J87" s="6">
        <f t="shared" si="69"/>
        <v>3.2628172554892889E-3</v>
      </c>
      <c r="K87" s="2"/>
      <c r="L87" s="7">
        <f t="shared" si="70"/>
        <v>-49.5</v>
      </c>
      <c r="M87" s="2"/>
      <c r="N87" s="6">
        <f t="shared" si="71"/>
        <v>-8.1147540983606561E-2</v>
      </c>
      <c r="O87" s="11"/>
      <c r="P87" s="7">
        <v>4533.1099999999997</v>
      </c>
      <c r="Q87" s="2"/>
      <c r="R87" s="6">
        <f t="shared" si="72"/>
        <v>6.6309696184916733E-3</v>
      </c>
      <c r="S87" s="2"/>
      <c r="T87" s="7">
        <v>4040</v>
      </c>
      <c r="U87" s="2"/>
      <c r="V87" s="6">
        <f t="shared" si="73"/>
        <v>4.8070287327054055E-3</v>
      </c>
      <c r="W87" s="2"/>
      <c r="X87" s="7">
        <f t="shared" si="74"/>
        <v>493.10999999999967</v>
      </c>
      <c r="Y87" s="2"/>
      <c r="Z87" s="6">
        <f t="shared" si="75"/>
        <v>0.12205693069306922</v>
      </c>
    </row>
    <row r="88" spans="1:26" s="28" customFormat="1" outlineLevel="1" collapsed="1" x14ac:dyDescent="0.3">
      <c r="A88" s="29"/>
      <c r="B88" s="14" t="str">
        <f>CONCATENATE("     ","Supplies                                          ")</f>
        <v xml:space="preserve">     Supplies                                          </v>
      </c>
      <c r="C88" s="14"/>
      <c r="D88" s="1">
        <f>SUM(OSRRefD22_16x_0)</f>
        <v>2223.5</v>
      </c>
      <c r="E88" s="1"/>
      <c r="F88" s="5">
        <f t="shared" si="68"/>
        <v>0.12142808382824766</v>
      </c>
      <c r="G88" s="1"/>
      <c r="H88" s="1">
        <f>SUM(OSRRefH22_16x_0)</f>
        <v>4725</v>
      </c>
      <c r="I88" s="1"/>
      <c r="J88" s="5">
        <f t="shared" si="69"/>
        <v>2.527346152817523E-2</v>
      </c>
      <c r="K88" s="1"/>
      <c r="L88" s="1">
        <f t="shared" si="70"/>
        <v>-2501.5</v>
      </c>
      <c r="M88" s="1"/>
      <c r="N88" s="5">
        <f t="shared" si="71"/>
        <v>-0.52941798941798945</v>
      </c>
      <c r="O88" s="14"/>
      <c r="P88" s="1">
        <f>SUM(OSRRefP22_16x_0)</f>
        <v>23573.899999999998</v>
      </c>
      <c r="Q88" s="1"/>
      <c r="R88" s="5">
        <f t="shared" si="72"/>
        <v>3.4483569710278564E-2</v>
      </c>
      <c r="S88" s="1"/>
      <c r="T88" s="1">
        <f>SUM(OSRRefT22_16x_0)</f>
        <v>37523</v>
      </c>
      <c r="U88" s="1"/>
      <c r="V88" s="5">
        <f t="shared" si="73"/>
        <v>4.4647064142897257E-2</v>
      </c>
      <c r="W88" s="1"/>
      <c r="X88" s="1">
        <f t="shared" si="74"/>
        <v>-13949.100000000002</v>
      </c>
      <c r="Y88" s="1"/>
      <c r="Z88" s="5">
        <f t="shared" si="75"/>
        <v>-0.37174799456333457</v>
      </c>
    </row>
    <row r="89" spans="1:26" s="24" customFormat="1" hidden="1" outlineLevel="2" x14ac:dyDescent="0.3">
      <c r="A89" s="27"/>
      <c r="B89" s="11" t="str">
        <f>CONCATENATE("          ", "6234", " - ", "EXPENDABLE SUPPLIES &amp; EQUIPMEN")</f>
        <v xml:space="preserve">          6234 - EXPENDABLE SUPPLIES &amp; EQUIPMEN</v>
      </c>
      <c r="C89" s="11"/>
      <c r="D89" s="7">
        <v>57.77</v>
      </c>
      <c r="E89" s="2"/>
      <c r="F89" s="6">
        <f t="shared" si="68"/>
        <v>3.1548911188477029E-3</v>
      </c>
      <c r="G89" s="2"/>
      <c r="H89" s="7">
        <v>200</v>
      </c>
      <c r="I89" s="2"/>
      <c r="J89" s="6">
        <f t="shared" si="69"/>
        <v>1.0697761493407504E-3</v>
      </c>
      <c r="K89" s="2"/>
      <c r="L89" s="7">
        <f t="shared" si="70"/>
        <v>-142.22999999999999</v>
      </c>
      <c r="M89" s="2"/>
      <c r="N89" s="6">
        <f t="shared" si="71"/>
        <v>-0.71114999999999995</v>
      </c>
      <c r="O89" s="11"/>
      <c r="P89" s="7">
        <v>1252.6600000000001</v>
      </c>
      <c r="Q89" s="2"/>
      <c r="R89" s="6">
        <f t="shared" si="72"/>
        <v>1.8323734483168908E-3</v>
      </c>
      <c r="S89" s="2"/>
      <c r="T89" s="7">
        <v>600</v>
      </c>
      <c r="U89" s="2"/>
      <c r="V89" s="6">
        <f t="shared" si="73"/>
        <v>7.1391515832258494E-4</v>
      </c>
      <c r="W89" s="2"/>
      <c r="X89" s="7">
        <f t="shared" si="74"/>
        <v>652.66000000000008</v>
      </c>
      <c r="Y89" s="2"/>
      <c r="Z89" s="6">
        <f t="shared" si="75"/>
        <v>1.0877666666666668</v>
      </c>
    </row>
    <row r="90" spans="1:26" s="24" customFormat="1" hidden="1" outlineLevel="2" x14ac:dyDescent="0.3">
      <c r="A90" s="27"/>
      <c r="B90" s="11" t="str">
        <f>CONCATENATE("          ", "6235", " - ", "COVID-19 EXPENSES")</f>
        <v xml:space="preserve">          6235 - COVID-19 EXPENSES</v>
      </c>
      <c r="C90" s="11"/>
      <c r="D90" s="7">
        <v>318.42</v>
      </c>
      <c r="E90" s="2"/>
      <c r="F90" s="6">
        <f t="shared" si="68"/>
        <v>1.7389309850501741E-2</v>
      </c>
      <c r="G90" s="2"/>
      <c r="H90" s="7">
        <v>250</v>
      </c>
      <c r="I90" s="2"/>
      <c r="J90" s="6">
        <f t="shared" si="69"/>
        <v>1.337220186675938E-3</v>
      </c>
      <c r="K90" s="2"/>
      <c r="L90" s="7">
        <f t="shared" si="70"/>
        <v>68.420000000000016</v>
      </c>
      <c r="M90" s="2"/>
      <c r="N90" s="6">
        <f t="shared" si="71"/>
        <v>0.27368000000000009</v>
      </c>
      <c r="O90" s="11"/>
      <c r="P90" s="7">
        <v>511.92</v>
      </c>
      <c r="Q90" s="2"/>
      <c r="R90" s="6">
        <f t="shared" si="72"/>
        <v>7.4882938360160199E-4</v>
      </c>
      <c r="S90" s="2"/>
      <c r="T90" s="7">
        <v>2000</v>
      </c>
      <c r="U90" s="2"/>
      <c r="V90" s="6">
        <f t="shared" si="73"/>
        <v>2.3797171944086163E-3</v>
      </c>
      <c r="W90" s="2"/>
      <c r="X90" s="7">
        <f t="shared" si="74"/>
        <v>-1488.08</v>
      </c>
      <c r="Y90" s="2"/>
      <c r="Z90" s="6">
        <f t="shared" si="75"/>
        <v>-0.74403999999999992</v>
      </c>
    </row>
    <row r="91" spans="1:26" s="24" customFormat="1" hidden="1" outlineLevel="2" x14ac:dyDescent="0.3">
      <c r="A91" s="27"/>
      <c r="B91" s="11" t="str">
        <f>CONCATENATE("          ", "6237", " - ", "JANITORIAL SUPPLIES")</f>
        <v xml:space="preserve">          6237 - JANITORIAL SUPPLIES</v>
      </c>
      <c r="C91" s="11"/>
      <c r="D91" s="7">
        <v>51.51</v>
      </c>
      <c r="E91" s="2"/>
      <c r="F91" s="6">
        <f t="shared" si="68"/>
        <v>2.8130247798484535E-3</v>
      </c>
      <c r="G91" s="2"/>
      <c r="H91" s="7">
        <v>275</v>
      </c>
      <c r="I91" s="2"/>
      <c r="J91" s="6">
        <f t="shared" si="69"/>
        <v>1.4709422053435319E-3</v>
      </c>
      <c r="K91" s="2"/>
      <c r="L91" s="7">
        <f t="shared" si="70"/>
        <v>-223.49</v>
      </c>
      <c r="M91" s="2"/>
      <c r="N91" s="6">
        <f t="shared" si="71"/>
        <v>-0.81269090909090913</v>
      </c>
      <c r="O91" s="11"/>
      <c r="P91" s="7">
        <v>6502.84</v>
      </c>
      <c r="Q91" s="2"/>
      <c r="R91" s="6">
        <f t="shared" si="72"/>
        <v>9.5122629880837646E-3</v>
      </c>
      <c r="S91" s="2"/>
      <c r="T91" s="7">
        <v>3203</v>
      </c>
      <c r="U91" s="2"/>
      <c r="V91" s="6">
        <f t="shared" si="73"/>
        <v>3.8111170868453991E-3</v>
      </c>
      <c r="W91" s="2"/>
      <c r="X91" s="7">
        <f t="shared" si="74"/>
        <v>3299.84</v>
      </c>
      <c r="Y91" s="2"/>
      <c r="Z91" s="6">
        <f t="shared" si="75"/>
        <v>1.0302341554792382</v>
      </c>
    </row>
    <row r="92" spans="1:26" s="24" customFormat="1" hidden="1" outlineLevel="2" x14ac:dyDescent="0.3">
      <c r="A92" s="27"/>
      <c r="B92" s="11" t="str">
        <f>CONCATENATE("          ", "6239", " - ", "KITCHEN SUPPLIES")</f>
        <v xml:space="preserve">          6239 - KITCHEN SUPPLIES</v>
      </c>
      <c r="C92" s="11"/>
      <c r="D92" s="7">
        <v>675.86</v>
      </c>
      <c r="E92" s="2"/>
      <c r="F92" s="6">
        <f t="shared" si="68"/>
        <v>3.6909550139941294E-2</v>
      </c>
      <c r="G92" s="2"/>
      <c r="H92" s="7">
        <v>100</v>
      </c>
      <c r="I92" s="2"/>
      <c r="J92" s="6">
        <f t="shared" si="69"/>
        <v>5.3488807467037521E-4</v>
      </c>
      <c r="K92" s="2"/>
      <c r="L92" s="7">
        <f t="shared" si="70"/>
        <v>575.86</v>
      </c>
      <c r="M92" s="2"/>
      <c r="N92" s="6">
        <f t="shared" si="71"/>
        <v>5.7586000000000004</v>
      </c>
      <c r="O92" s="11"/>
      <c r="P92" s="7">
        <v>3531.64</v>
      </c>
      <c r="Q92" s="2"/>
      <c r="R92" s="6">
        <f t="shared" si="72"/>
        <v>5.1660333729933606E-3</v>
      </c>
      <c r="S92" s="2"/>
      <c r="T92" s="7">
        <v>5349</v>
      </c>
      <c r="U92" s="2"/>
      <c r="V92" s="6">
        <f t="shared" si="73"/>
        <v>6.364553636445845E-3</v>
      </c>
      <c r="W92" s="2"/>
      <c r="X92" s="7">
        <f t="shared" si="74"/>
        <v>-1817.3600000000001</v>
      </c>
      <c r="Y92" s="2"/>
      <c r="Z92" s="6">
        <f t="shared" si="75"/>
        <v>-0.33975696391848947</v>
      </c>
    </row>
    <row r="93" spans="1:26" s="24" customFormat="1" hidden="1" outlineLevel="2" x14ac:dyDescent="0.3">
      <c r="A93" s="27"/>
      <c r="B93" s="11" t="str">
        <f>CONCATENATE("          ", "6241", " - ", "OFFICE EXPENSE")</f>
        <v xml:space="preserve">          6241 - OFFICE EXPENSE</v>
      </c>
      <c r="C93" s="11"/>
      <c r="D93" s="7">
        <v>441.26</v>
      </c>
      <c r="E93" s="2"/>
      <c r="F93" s="6">
        <f t="shared" si="68"/>
        <v>2.409775411290873E-2</v>
      </c>
      <c r="G93" s="2"/>
      <c r="H93" s="7">
        <v>200</v>
      </c>
      <c r="I93" s="2"/>
      <c r="J93" s="6">
        <f t="shared" si="69"/>
        <v>1.0697761493407504E-3</v>
      </c>
      <c r="K93" s="2"/>
      <c r="L93" s="7">
        <f t="shared" si="70"/>
        <v>241.26</v>
      </c>
      <c r="M93" s="2"/>
      <c r="N93" s="6">
        <f t="shared" si="71"/>
        <v>1.2062999999999999</v>
      </c>
      <c r="O93" s="11"/>
      <c r="P93" s="7">
        <v>7267.85</v>
      </c>
      <c r="Q93" s="2"/>
      <c r="R93" s="6">
        <f t="shared" si="72"/>
        <v>1.0631308867809233E-2</v>
      </c>
      <c r="S93" s="2"/>
      <c r="T93" s="7">
        <v>3127</v>
      </c>
      <c r="U93" s="2"/>
      <c r="V93" s="6">
        <f t="shared" si="73"/>
        <v>3.720687833457872E-3</v>
      </c>
      <c r="W93" s="2"/>
      <c r="X93" s="7">
        <f t="shared" si="74"/>
        <v>4140.8500000000004</v>
      </c>
      <c r="Y93" s="2"/>
      <c r="Z93" s="6">
        <f t="shared" si="75"/>
        <v>1.3242244963223537</v>
      </c>
    </row>
    <row r="94" spans="1:26" s="24" customFormat="1" hidden="1" outlineLevel="2" x14ac:dyDescent="0.3">
      <c r="A94" s="27"/>
      <c r="B94" s="11" t="str">
        <f>CONCATENATE("          ", "6243", " - ", "PAPER SUPPLIES")</f>
        <v xml:space="preserve">          6243 - PAPER SUPPLIES</v>
      </c>
      <c r="C94" s="11"/>
      <c r="D94" s="7">
        <v>44.38</v>
      </c>
      <c r="E94" s="2"/>
      <c r="F94" s="6">
        <f t="shared" si="68"/>
        <v>2.4236466653013858E-3</v>
      </c>
      <c r="G94" s="2"/>
      <c r="H94" s="7">
        <v>1100</v>
      </c>
      <c r="I94" s="2"/>
      <c r="J94" s="6">
        <f t="shared" si="69"/>
        <v>5.8837688213741277E-3</v>
      </c>
      <c r="K94" s="2"/>
      <c r="L94" s="7">
        <f t="shared" si="70"/>
        <v>-1055.6199999999999</v>
      </c>
      <c r="M94" s="2"/>
      <c r="N94" s="6">
        <f t="shared" si="71"/>
        <v>-0.95965454545454532</v>
      </c>
      <c r="O94" s="11"/>
      <c r="P94" s="7">
        <v>1296.6400000000001</v>
      </c>
      <c r="Q94" s="2"/>
      <c r="R94" s="6">
        <f t="shared" si="72"/>
        <v>1.8967067744045578E-3</v>
      </c>
      <c r="S94" s="2"/>
      <c r="T94" s="7">
        <v>6833</v>
      </c>
      <c r="U94" s="2"/>
      <c r="V94" s="6">
        <f t="shared" si="73"/>
        <v>8.1303037946970375E-3</v>
      </c>
      <c r="W94" s="2"/>
      <c r="X94" s="7">
        <f t="shared" si="74"/>
        <v>-5536.36</v>
      </c>
      <c r="Y94" s="2"/>
      <c r="Z94" s="6">
        <f t="shared" si="75"/>
        <v>-0.81023854822186447</v>
      </c>
    </row>
    <row r="95" spans="1:26" s="24" customFormat="1" hidden="1" outlineLevel="2" x14ac:dyDescent="0.3">
      <c r="A95" s="27"/>
      <c r="B95" s="11" t="str">
        <f>CONCATENATE("          ", "6244", " - ", "SAFETY SUPPLY EXPENSE")</f>
        <v xml:space="preserve">          6244 - SAFETY SUPPLY EXPENSE</v>
      </c>
      <c r="C95" s="11"/>
      <c r="D95" s="7"/>
      <c r="E95" s="2"/>
      <c r="F95" s="6">
        <f t="shared" si="68"/>
        <v>0</v>
      </c>
      <c r="G95" s="2"/>
      <c r="H95" s="7"/>
      <c r="I95" s="2"/>
      <c r="J95" s="6">
        <f t="shared" si="69"/>
        <v>0</v>
      </c>
      <c r="K95" s="2"/>
      <c r="L95" s="7">
        <f t="shared" si="70"/>
        <v>0</v>
      </c>
      <c r="M95" s="2"/>
      <c r="N95" s="6">
        <f t="shared" si="71"/>
        <v>0</v>
      </c>
      <c r="O95" s="11"/>
      <c r="P95" s="7"/>
      <c r="Q95" s="2"/>
      <c r="R95" s="6">
        <f t="shared" si="72"/>
        <v>0</v>
      </c>
      <c r="S95" s="2"/>
      <c r="T95" s="7">
        <v>100</v>
      </c>
      <c r="U95" s="2"/>
      <c r="V95" s="6">
        <f t="shared" si="73"/>
        <v>1.1898585972043082E-4</v>
      </c>
      <c r="W95" s="2"/>
      <c r="X95" s="7">
        <f t="shared" si="74"/>
        <v>-100</v>
      </c>
      <c r="Y95" s="2"/>
      <c r="Z95" s="6">
        <f t="shared" si="75"/>
        <v>-1</v>
      </c>
    </row>
    <row r="96" spans="1:26" s="24" customFormat="1" hidden="1" outlineLevel="2" x14ac:dyDescent="0.3">
      <c r="A96" s="27"/>
      <c r="B96" s="11" t="str">
        <f>CONCATENATE("          ", "6245", " - ", "PRINTING")</f>
        <v xml:space="preserve">          6245 - PRINTING</v>
      </c>
      <c r="C96" s="11"/>
      <c r="D96" s="7"/>
      <c r="E96" s="2"/>
      <c r="F96" s="6">
        <f t="shared" si="68"/>
        <v>0</v>
      </c>
      <c r="G96" s="2"/>
      <c r="H96" s="7">
        <v>400</v>
      </c>
      <c r="I96" s="2"/>
      <c r="J96" s="6">
        <f t="shared" si="69"/>
        <v>2.1395522986815008E-3</v>
      </c>
      <c r="K96" s="2"/>
      <c r="L96" s="7">
        <f t="shared" si="70"/>
        <v>-400</v>
      </c>
      <c r="M96" s="2"/>
      <c r="N96" s="6">
        <f t="shared" si="71"/>
        <v>-1</v>
      </c>
      <c r="O96" s="11"/>
      <c r="P96" s="7">
        <v>1071</v>
      </c>
      <c r="Q96" s="2"/>
      <c r="R96" s="6">
        <f t="shared" si="72"/>
        <v>1.5666437526123528E-3</v>
      </c>
      <c r="S96" s="2"/>
      <c r="T96" s="7">
        <v>1500</v>
      </c>
      <c r="U96" s="2"/>
      <c r="V96" s="6">
        <f t="shared" si="73"/>
        <v>1.7847878958064623E-3</v>
      </c>
      <c r="W96" s="2"/>
      <c r="X96" s="7">
        <f t="shared" si="74"/>
        <v>-429</v>
      </c>
      <c r="Y96" s="2"/>
      <c r="Z96" s="6">
        <f t="shared" si="75"/>
        <v>-0.28599999999999998</v>
      </c>
    </row>
    <row r="97" spans="1:26" s="24" customFormat="1" hidden="1" outlineLevel="2" x14ac:dyDescent="0.3">
      <c r="A97" s="27"/>
      <c r="B97" s="11" t="str">
        <f>CONCATENATE("          ", "6247", " - ", "STORE SUPPLIES")</f>
        <v xml:space="preserve">          6247 - STORE SUPPLIES</v>
      </c>
      <c r="C97" s="11"/>
      <c r="D97" s="7">
        <v>285</v>
      </c>
      <c r="E97" s="2"/>
      <c r="F97" s="6">
        <f t="shared" si="68"/>
        <v>1.556420233463035E-2</v>
      </c>
      <c r="G97" s="2"/>
      <c r="H97" s="7">
        <v>1700</v>
      </c>
      <c r="I97" s="2"/>
      <c r="J97" s="6">
        <f t="shared" si="69"/>
        <v>9.0930972693963781E-3</v>
      </c>
      <c r="K97" s="2"/>
      <c r="L97" s="7">
        <f t="shared" si="70"/>
        <v>-1415</v>
      </c>
      <c r="M97" s="2"/>
      <c r="N97" s="6">
        <f t="shared" si="71"/>
        <v>-0.83235294117647063</v>
      </c>
      <c r="O97" s="11"/>
      <c r="P97" s="7">
        <v>1537.1</v>
      </c>
      <c r="Q97" s="2"/>
      <c r="R97" s="6">
        <f t="shared" si="72"/>
        <v>2.2484482839780088E-3</v>
      </c>
      <c r="S97" s="2"/>
      <c r="T97" s="7">
        <v>11461</v>
      </c>
      <c r="U97" s="2"/>
      <c r="V97" s="6">
        <f t="shared" si="73"/>
        <v>1.3636969382558577E-2</v>
      </c>
      <c r="W97" s="2"/>
      <c r="X97" s="7">
        <f t="shared" si="74"/>
        <v>-9923.9</v>
      </c>
      <c r="Y97" s="2"/>
      <c r="Z97" s="6">
        <f t="shared" si="75"/>
        <v>-0.86588430328941624</v>
      </c>
    </row>
    <row r="98" spans="1:26" s="24" customFormat="1" hidden="1" outlineLevel="2" x14ac:dyDescent="0.3">
      <c r="A98" s="27"/>
      <c r="B98" s="11" t="str">
        <f>CONCATENATE("          ", "6248", " - ", "UNIFORMS")</f>
        <v xml:space="preserve">          6248 - UNIFORMS</v>
      </c>
      <c r="C98" s="11"/>
      <c r="D98" s="7">
        <v>349.3</v>
      </c>
      <c r="E98" s="2"/>
      <c r="F98" s="6">
        <f t="shared" si="68"/>
        <v>1.9075704826268004E-2</v>
      </c>
      <c r="G98" s="2"/>
      <c r="H98" s="7">
        <v>500</v>
      </c>
      <c r="I98" s="2"/>
      <c r="J98" s="6">
        <f t="shared" si="69"/>
        <v>2.674440373351876E-3</v>
      </c>
      <c r="K98" s="2"/>
      <c r="L98" s="7">
        <f t="shared" si="70"/>
        <v>-150.69999999999999</v>
      </c>
      <c r="M98" s="2"/>
      <c r="N98" s="6">
        <f t="shared" si="71"/>
        <v>-0.3014</v>
      </c>
      <c r="O98" s="11"/>
      <c r="P98" s="7">
        <v>602.25</v>
      </c>
      <c r="Q98" s="2"/>
      <c r="R98" s="6">
        <f t="shared" si="72"/>
        <v>8.8096283847879508E-4</v>
      </c>
      <c r="S98" s="2"/>
      <c r="T98" s="7">
        <v>3350</v>
      </c>
      <c r="U98" s="2"/>
      <c r="V98" s="6">
        <f t="shared" si="73"/>
        <v>3.9860263006344324E-3</v>
      </c>
      <c r="W98" s="2"/>
      <c r="X98" s="7">
        <f t="shared" si="74"/>
        <v>-2747.75</v>
      </c>
      <c r="Y98" s="2"/>
      <c r="Z98" s="6">
        <f t="shared" si="75"/>
        <v>-0.8202238805970149</v>
      </c>
    </row>
    <row r="99" spans="1:26" s="28" customFormat="1" outlineLevel="1" collapsed="1" x14ac:dyDescent="0.3">
      <c r="A99" s="29"/>
      <c r="B99" s="14" t="str">
        <f>CONCATENATE("     ","Telephone/Data Lines                              ")</f>
        <v xml:space="preserve">     Telephone/Data Lines                              </v>
      </c>
      <c r="C99" s="14"/>
      <c r="D99" s="1">
        <f>SUM(OSRRefD22_17x_0)</f>
        <v>577.15</v>
      </c>
      <c r="E99" s="1"/>
      <c r="F99" s="5">
        <f t="shared" ref="F99:F101" si="76">IF(D$12=0,0,D99/D$12)</f>
        <v>3.1518875008533002E-2</v>
      </c>
      <c r="G99" s="1"/>
      <c r="H99" s="1">
        <f>SUM(OSRRefH22_17x_0)</f>
        <v>688</v>
      </c>
      <c r="I99" s="1"/>
      <c r="J99" s="5">
        <f t="shared" ref="J99:J101" si="77">IF(H$12=0,0,H99/H$12)</f>
        <v>3.6800299537321814E-3</v>
      </c>
      <c r="K99" s="1"/>
      <c r="L99" s="1">
        <f t="shared" ref="L99:L101" si="78">+D99-H99</f>
        <v>-110.85000000000002</v>
      </c>
      <c r="M99" s="1"/>
      <c r="N99" s="5">
        <f t="shared" ref="N99:N101" si="79">IF(H99=0,0,L99/H99)</f>
        <v>-0.16111918604651165</v>
      </c>
      <c r="O99" s="14"/>
      <c r="P99" s="1">
        <f>SUM(OSRRefP22_17x_0)</f>
        <v>5376.59</v>
      </c>
      <c r="Q99" s="1"/>
      <c r="R99" s="5">
        <f t="shared" ref="R99:R101" si="80">IF(P$12=0,0,P99/P$12)</f>
        <v>7.8648003117255377E-3</v>
      </c>
      <c r="S99" s="1"/>
      <c r="T99" s="1">
        <f>SUM(OSRRefT22_17x_0)</f>
        <v>4216</v>
      </c>
      <c r="U99" s="1"/>
      <c r="V99" s="5">
        <f t="shared" ref="V99:V101" si="81">IF(T$12=0,0,T99/T$12)</f>
        <v>5.0164438458133636E-3</v>
      </c>
      <c r="W99" s="1"/>
      <c r="X99" s="1">
        <f t="shared" ref="X99:X101" si="82">+P99-T99</f>
        <v>1160.5900000000001</v>
      </c>
      <c r="Y99" s="1"/>
      <c r="Z99" s="5">
        <f t="shared" ref="Z99:Z101" si="83">IF(T99=0,0,X99/T99)</f>
        <v>0.27528225806451617</v>
      </c>
    </row>
    <row r="100" spans="1:26" s="24" customFormat="1" hidden="1" outlineLevel="2" x14ac:dyDescent="0.3">
      <c r="A100" s="27"/>
      <c r="B100" s="11" t="str">
        <f>CONCATENATE("          ", "6303", " - ", "DATA PHONE LINES")</f>
        <v xml:space="preserve">          6303 - DATA PHONE LINES</v>
      </c>
      <c r="C100" s="11"/>
      <c r="D100" s="7"/>
      <c r="E100" s="2"/>
      <c r="F100" s="6">
        <f t="shared" si="76"/>
        <v>0</v>
      </c>
      <c r="G100" s="2"/>
      <c r="H100" s="7">
        <v>185</v>
      </c>
      <c r="I100" s="2"/>
      <c r="J100" s="6">
        <f t="shared" si="77"/>
        <v>9.8954293814019416E-4</v>
      </c>
      <c r="K100" s="2"/>
      <c r="L100" s="7">
        <f t="shared" si="78"/>
        <v>-185</v>
      </c>
      <c r="M100" s="2"/>
      <c r="N100" s="6">
        <f t="shared" si="79"/>
        <v>-1</v>
      </c>
      <c r="O100" s="11"/>
      <c r="P100" s="7"/>
      <c r="Q100" s="2"/>
      <c r="R100" s="6">
        <f t="shared" si="80"/>
        <v>0</v>
      </c>
      <c r="S100" s="2"/>
      <c r="T100" s="7">
        <v>1295</v>
      </c>
      <c r="U100" s="2"/>
      <c r="V100" s="6">
        <f t="shared" si="81"/>
        <v>1.5408668833795792E-3</v>
      </c>
      <c r="W100" s="2"/>
      <c r="X100" s="7">
        <f t="shared" si="82"/>
        <v>-1295</v>
      </c>
      <c r="Y100" s="2"/>
      <c r="Z100" s="6">
        <f t="shared" si="83"/>
        <v>-1</v>
      </c>
    </row>
    <row r="101" spans="1:26" s="24" customFormat="1" hidden="1" outlineLevel="2" x14ac:dyDescent="0.3">
      <c r="A101" s="27"/>
      <c r="B101" s="11" t="str">
        <f>CONCATENATE("          ", "6309", " - ", "TELEPHONE")</f>
        <v xml:space="preserve">          6309 - TELEPHONE</v>
      </c>
      <c r="C101" s="11"/>
      <c r="D101" s="7">
        <v>577.15</v>
      </c>
      <c r="E101" s="2"/>
      <c r="F101" s="6">
        <f t="shared" si="76"/>
        <v>3.1518875008533002E-2</v>
      </c>
      <c r="G101" s="2"/>
      <c r="H101" s="7">
        <v>503</v>
      </c>
      <c r="I101" s="2"/>
      <c r="J101" s="6">
        <f t="shared" si="77"/>
        <v>2.6904870155919874E-3</v>
      </c>
      <c r="K101" s="2"/>
      <c r="L101" s="7">
        <f t="shared" si="78"/>
        <v>74.149999999999977</v>
      </c>
      <c r="M101" s="2"/>
      <c r="N101" s="6">
        <f t="shared" si="79"/>
        <v>0.14741550695825045</v>
      </c>
      <c r="O101" s="11"/>
      <c r="P101" s="7">
        <v>5376.59</v>
      </c>
      <c r="Q101" s="2"/>
      <c r="R101" s="6">
        <f t="shared" si="80"/>
        <v>7.8648003117255377E-3</v>
      </c>
      <c r="S101" s="2"/>
      <c r="T101" s="7">
        <v>2921</v>
      </c>
      <c r="U101" s="2"/>
      <c r="V101" s="6">
        <f t="shared" si="81"/>
        <v>3.4755769624337843E-3</v>
      </c>
      <c r="W101" s="2"/>
      <c r="X101" s="7">
        <f t="shared" si="82"/>
        <v>2455.59</v>
      </c>
      <c r="Y101" s="2"/>
      <c r="Z101" s="6">
        <f t="shared" si="83"/>
        <v>0.84066757959602878</v>
      </c>
    </row>
    <row r="102" spans="1:26" s="28" customFormat="1" outlineLevel="1" collapsed="1" x14ac:dyDescent="0.3">
      <c r="A102" s="29"/>
      <c r="B102" s="14" t="str">
        <f>CONCATENATE("     ","Training                                          ")</f>
        <v xml:space="preserve">     Training                                          </v>
      </c>
      <c r="C102" s="14"/>
      <c r="D102" s="1">
        <f>SUM(OSRRefD22_18x_0)</f>
        <v>0</v>
      </c>
      <c r="E102" s="1"/>
      <c r="F102" s="5">
        <f t="shared" ref="F102:F107" si="84">IF(D$12=0,0,D102/D$12)</f>
        <v>0</v>
      </c>
      <c r="G102" s="1"/>
      <c r="H102" s="1">
        <f>SUM(OSRRefH22_18x_0)</f>
        <v>1135</v>
      </c>
      <c r="I102" s="1"/>
      <c r="J102" s="5">
        <f t="shared" ref="J102:J107" si="85">IF(H$12=0,0,H102/H$12)</f>
        <v>6.0709796475087591E-3</v>
      </c>
      <c r="K102" s="1"/>
      <c r="L102" s="1">
        <f t="shared" ref="L102:L107" si="86">+D102-H102</f>
        <v>-1135</v>
      </c>
      <c r="M102" s="1"/>
      <c r="N102" s="5">
        <f t="shared" ref="N102:N107" si="87">IF(H102=0,0,L102/H102)</f>
        <v>-1</v>
      </c>
      <c r="O102" s="14"/>
      <c r="P102" s="1">
        <f>SUM(OSRRefP22_18x_0)</f>
        <v>0</v>
      </c>
      <c r="Q102" s="1"/>
      <c r="R102" s="5">
        <f t="shared" ref="R102:R107" si="88">IF(P$12=0,0,P102/P$12)</f>
        <v>0</v>
      </c>
      <c r="S102" s="1"/>
      <c r="T102" s="1">
        <f>SUM(OSRRefT22_18x_0)</f>
        <v>2010</v>
      </c>
      <c r="U102" s="1"/>
      <c r="V102" s="5">
        <f t="shared" ref="V102:V107" si="89">IF(T$12=0,0,T102/T$12)</f>
        <v>2.3916157803806595E-3</v>
      </c>
      <c r="W102" s="1"/>
      <c r="X102" s="1">
        <f t="shared" ref="X102:X107" si="90">+P102-T102</f>
        <v>-2010</v>
      </c>
      <c r="Y102" s="1"/>
      <c r="Z102" s="5">
        <f t="shared" ref="Z102:Z107" si="91">IF(T102=0,0,X102/T102)</f>
        <v>-1</v>
      </c>
    </row>
    <row r="103" spans="1:26" s="24" customFormat="1" hidden="1" outlineLevel="2" x14ac:dyDescent="0.3">
      <c r="A103" s="27"/>
      <c r="B103" s="11" t="str">
        <f>CONCATENATE("          ", "6376", " - ", "TRAINING")</f>
        <v xml:space="preserve">          6376 - TRAINING</v>
      </c>
      <c r="C103" s="11"/>
      <c r="D103" s="7"/>
      <c r="E103" s="2"/>
      <c r="F103" s="6">
        <f t="shared" si="84"/>
        <v>0</v>
      </c>
      <c r="G103" s="2"/>
      <c r="H103" s="7">
        <v>1135</v>
      </c>
      <c r="I103" s="2"/>
      <c r="J103" s="6">
        <f t="shared" si="85"/>
        <v>6.0709796475087591E-3</v>
      </c>
      <c r="K103" s="2"/>
      <c r="L103" s="7">
        <f t="shared" si="86"/>
        <v>-1135</v>
      </c>
      <c r="M103" s="2"/>
      <c r="N103" s="6">
        <f t="shared" si="87"/>
        <v>-1</v>
      </c>
      <c r="O103" s="11"/>
      <c r="P103" s="7"/>
      <c r="Q103" s="2"/>
      <c r="R103" s="6">
        <f t="shared" si="88"/>
        <v>0</v>
      </c>
      <c r="S103" s="2"/>
      <c r="T103" s="7">
        <v>2010</v>
      </c>
      <c r="U103" s="2"/>
      <c r="V103" s="6">
        <f t="shared" si="89"/>
        <v>2.3916157803806595E-3</v>
      </c>
      <c r="W103" s="2"/>
      <c r="X103" s="7">
        <f t="shared" si="90"/>
        <v>-2010</v>
      </c>
      <c r="Y103" s="2"/>
      <c r="Z103" s="6">
        <f t="shared" si="91"/>
        <v>-1</v>
      </c>
    </row>
    <row r="104" spans="1:26" s="28" customFormat="1" outlineLevel="1" collapsed="1" x14ac:dyDescent="0.3">
      <c r="A104" s="29"/>
      <c r="B104" s="14" t="str">
        <f>CONCATENATE("     ","Travel                                            ")</f>
        <v xml:space="preserve">     Travel                                            </v>
      </c>
      <c r="C104" s="14"/>
      <c r="D104" s="1">
        <f>SUM(OSRRefD22_19x_0)</f>
        <v>0</v>
      </c>
      <c r="E104" s="1"/>
      <c r="F104" s="5">
        <f t="shared" si="84"/>
        <v>0</v>
      </c>
      <c r="G104" s="1"/>
      <c r="H104" s="1">
        <f>SUM(OSRRefH22_19x_0)</f>
        <v>0</v>
      </c>
      <c r="I104" s="1"/>
      <c r="J104" s="5">
        <f t="shared" si="85"/>
        <v>0</v>
      </c>
      <c r="K104" s="1"/>
      <c r="L104" s="1">
        <f t="shared" si="86"/>
        <v>0</v>
      </c>
      <c r="M104" s="1"/>
      <c r="N104" s="5">
        <f t="shared" si="87"/>
        <v>0</v>
      </c>
      <c r="O104" s="14"/>
      <c r="P104" s="1">
        <f>SUM(OSRRefP22_19x_0)</f>
        <v>18.59</v>
      </c>
      <c r="Q104" s="1"/>
      <c r="R104" s="5">
        <f t="shared" si="88"/>
        <v>2.7193190813318056E-5</v>
      </c>
      <c r="S104" s="1"/>
      <c r="T104" s="1">
        <f>SUM(OSRRefT22_19x_0)</f>
        <v>0</v>
      </c>
      <c r="U104" s="1"/>
      <c r="V104" s="5">
        <f t="shared" si="89"/>
        <v>0</v>
      </c>
      <c r="W104" s="1"/>
      <c r="X104" s="1">
        <f t="shared" si="90"/>
        <v>18.59</v>
      </c>
      <c r="Y104" s="1"/>
      <c r="Z104" s="5">
        <f t="shared" si="91"/>
        <v>0</v>
      </c>
    </row>
    <row r="105" spans="1:26" s="24" customFormat="1" hidden="1" outlineLevel="2" x14ac:dyDescent="0.3">
      <c r="A105" s="27"/>
      <c r="B105" s="11" t="str">
        <f>CONCATENATE("          ", "6292", " - ", "TRAVEL/CONFERENCE")</f>
        <v xml:space="preserve">          6292 - TRAVEL/CONFERENCE</v>
      </c>
      <c r="C105" s="11"/>
      <c r="D105" s="7"/>
      <c r="E105" s="2"/>
      <c r="F105" s="6">
        <f t="shared" si="84"/>
        <v>0</v>
      </c>
      <c r="G105" s="2"/>
      <c r="H105" s="7"/>
      <c r="I105" s="2"/>
      <c r="J105" s="6">
        <f t="shared" si="85"/>
        <v>0</v>
      </c>
      <c r="K105" s="2"/>
      <c r="L105" s="7">
        <f t="shared" si="86"/>
        <v>0</v>
      </c>
      <c r="M105" s="2"/>
      <c r="N105" s="6">
        <f t="shared" si="87"/>
        <v>0</v>
      </c>
      <c r="O105" s="11"/>
      <c r="P105" s="7">
        <v>18.59</v>
      </c>
      <c r="Q105" s="2"/>
      <c r="R105" s="6">
        <f t="shared" si="88"/>
        <v>2.7193190813318056E-5</v>
      </c>
      <c r="S105" s="2"/>
      <c r="T105" s="7"/>
      <c r="U105" s="2"/>
      <c r="V105" s="6">
        <f t="shared" si="89"/>
        <v>0</v>
      </c>
      <c r="W105" s="2"/>
      <c r="X105" s="7">
        <f t="shared" si="90"/>
        <v>18.59</v>
      </c>
      <c r="Y105" s="2"/>
      <c r="Z105" s="6">
        <f t="shared" si="91"/>
        <v>0</v>
      </c>
    </row>
    <row r="106" spans="1:26" s="28" customFormat="1" outlineLevel="1" collapsed="1" x14ac:dyDescent="0.3">
      <c r="A106" s="29"/>
      <c r="B106" s="14" t="str">
        <f>CONCATENATE("     ","Utilities                                         ")</f>
        <v xml:space="preserve">     Utilities                                         </v>
      </c>
      <c r="C106" s="14"/>
      <c r="D106" s="1">
        <f>SUM(OSRRefD22_20x_0)</f>
        <v>8250</v>
      </c>
      <c r="E106" s="1"/>
      <c r="F106" s="5">
        <f t="shared" si="84"/>
        <v>0.45054269916035222</v>
      </c>
      <c r="G106" s="1"/>
      <c r="H106" s="1">
        <f>SUM(OSRRefH22_20x_0)</f>
        <v>8667</v>
      </c>
      <c r="I106" s="1"/>
      <c r="J106" s="5">
        <f t="shared" si="85"/>
        <v>4.6358749431681417E-2</v>
      </c>
      <c r="K106" s="1"/>
      <c r="L106" s="1">
        <f t="shared" si="86"/>
        <v>-417</v>
      </c>
      <c r="M106" s="1"/>
      <c r="N106" s="5">
        <f t="shared" si="87"/>
        <v>-4.8113534094842508E-2</v>
      </c>
      <c r="O106" s="14"/>
      <c r="P106" s="1">
        <f>SUM(OSRRefP22_20x_0)</f>
        <v>55350</v>
      </c>
      <c r="Q106" s="1"/>
      <c r="R106" s="5">
        <f t="shared" si="88"/>
        <v>8.0965202340890496E-2</v>
      </c>
      <c r="S106" s="1"/>
      <c r="T106" s="1">
        <f>SUM(OSRRefT22_20x_0)</f>
        <v>60669</v>
      </c>
      <c r="U106" s="1"/>
      <c r="V106" s="5">
        <f t="shared" si="89"/>
        <v>7.2187531233788182E-2</v>
      </c>
      <c r="W106" s="1"/>
      <c r="X106" s="1">
        <f t="shared" si="90"/>
        <v>-5319</v>
      </c>
      <c r="Y106" s="1"/>
      <c r="Z106" s="5">
        <f t="shared" si="91"/>
        <v>-8.7672452158433473E-2</v>
      </c>
    </row>
    <row r="107" spans="1:26" s="24" customFormat="1" hidden="1" outlineLevel="2" x14ac:dyDescent="0.3">
      <c r="A107" s="27"/>
      <c r="B107" s="11" t="str">
        <f>CONCATENATE("          ", "6274", " - ", "UTILITIES")</f>
        <v xml:space="preserve">          6274 - UTILITIES</v>
      </c>
      <c r="C107" s="11"/>
      <c r="D107" s="7">
        <v>8250</v>
      </c>
      <c r="E107" s="2"/>
      <c r="F107" s="6">
        <f t="shared" si="84"/>
        <v>0.45054269916035222</v>
      </c>
      <c r="G107" s="2"/>
      <c r="H107" s="7">
        <v>8667</v>
      </c>
      <c r="I107" s="2"/>
      <c r="J107" s="6">
        <f t="shared" si="85"/>
        <v>4.6358749431681417E-2</v>
      </c>
      <c r="K107" s="2"/>
      <c r="L107" s="7">
        <f t="shared" si="86"/>
        <v>-417</v>
      </c>
      <c r="M107" s="2"/>
      <c r="N107" s="6">
        <f t="shared" si="87"/>
        <v>-4.8113534094842508E-2</v>
      </c>
      <c r="O107" s="11"/>
      <c r="P107" s="7">
        <v>55350</v>
      </c>
      <c r="Q107" s="2"/>
      <c r="R107" s="6">
        <f t="shared" si="88"/>
        <v>8.0965202340890496E-2</v>
      </c>
      <c r="S107" s="2"/>
      <c r="T107" s="7">
        <v>60669</v>
      </c>
      <c r="U107" s="2"/>
      <c r="V107" s="6">
        <f t="shared" si="89"/>
        <v>7.2187531233788182E-2</v>
      </c>
      <c r="W107" s="2"/>
      <c r="X107" s="7">
        <f t="shared" si="90"/>
        <v>-5319</v>
      </c>
      <c r="Y107" s="2"/>
      <c r="Z107" s="6">
        <f t="shared" si="91"/>
        <v>-8.7672452158433473E-2</v>
      </c>
    </row>
    <row r="108" spans="1:26" s="55" customFormat="1" x14ac:dyDescent="0.3">
      <c r="A108" s="36"/>
      <c r="B108" s="36"/>
      <c r="C108" s="36"/>
      <c r="D108" s="1"/>
      <c r="E108" s="1"/>
      <c r="F108" s="5"/>
      <c r="G108" s="1"/>
      <c r="H108" s="1"/>
      <c r="I108" s="1"/>
      <c r="J108" s="5"/>
      <c r="K108" s="1"/>
      <c r="L108" s="1"/>
      <c r="M108" s="1"/>
      <c r="N108" s="5"/>
      <c r="O108" s="36"/>
      <c r="P108" s="1"/>
      <c r="Q108" s="1"/>
      <c r="R108" s="5"/>
      <c r="S108" s="1"/>
      <c r="T108" s="1"/>
      <c r="U108" s="1"/>
      <c r="V108" s="5"/>
      <c r="W108" s="1"/>
      <c r="X108" s="1"/>
      <c r="Y108" s="1"/>
      <c r="Z108" s="5"/>
    </row>
    <row r="109" spans="1:26" s="23" customFormat="1" collapsed="1" x14ac:dyDescent="0.3">
      <c r="A109" s="10"/>
      <c r="B109" s="25" t="s">
        <v>293</v>
      </c>
      <c r="C109" s="10"/>
      <c r="D109" s="4">
        <f>SUM(OSRRefD25x_0)</f>
        <v>6523.34</v>
      </c>
      <c r="E109" s="4"/>
      <c r="F109" s="12">
        <f t="shared" ref="F109:F113" si="92">IF(D$12=0,0,D109/D$12)</f>
        <v>0.35624766195644753</v>
      </c>
      <c r="G109" s="4"/>
      <c r="H109" s="4">
        <f>SUM(OSRRefH25x_0)</f>
        <v>46218.59</v>
      </c>
      <c r="I109" s="4"/>
      <c r="J109" s="12">
        <f t="shared" ref="J109:J113" si="93">IF(H$12=0,0,H109/H$12)</f>
        <v>0.24721772619079455</v>
      </c>
      <c r="K109" s="4"/>
      <c r="L109" s="4">
        <f t="shared" ref="L109:L113" si="94">+D109-H109</f>
        <v>-39695.25</v>
      </c>
      <c r="M109" s="4"/>
      <c r="N109" s="12">
        <f t="shared" ref="N109:N113" si="95">IF(H109=0,0,L109/H109)</f>
        <v>-0.85885895696947923</v>
      </c>
      <c r="O109" s="10"/>
      <c r="P109" s="4">
        <f>SUM(OSRRefP25x_0)</f>
        <v>141141.85</v>
      </c>
      <c r="Q109" s="4"/>
      <c r="R109" s="12">
        <f t="shared" ref="R109:R113" si="96">IF(P$12=0,0,P109/P$12)</f>
        <v>0.20646031515840318</v>
      </c>
      <c r="S109" s="4"/>
      <c r="T109" s="4">
        <f>SUM(OSRRefT25x_0)</f>
        <v>47218.59</v>
      </c>
      <c r="U109" s="4"/>
      <c r="V109" s="12">
        <f t="shared" ref="V109:V113" si="97">IF(T$12=0,0,T109/T$12)</f>
        <v>5.6183445259365375E-2</v>
      </c>
      <c r="W109" s="4"/>
      <c r="X109" s="4">
        <f t="shared" ref="X109:X113" si="98">+P109-T109</f>
        <v>93923.260000000009</v>
      </c>
      <c r="Y109" s="4"/>
      <c r="Z109" s="12">
        <f t="shared" ref="Z109:Z113" si="99">IF(T109=0,0,X109/T109)</f>
        <v>1.9891161510752442</v>
      </c>
    </row>
    <row r="110" spans="1:26" s="24" customFormat="1" hidden="1" outlineLevel="1" x14ac:dyDescent="0.3">
      <c r="A110" s="44"/>
      <c r="B110" s="11" t="str">
        <f>CONCATENATE("          ", "9150", " - ", "MISC. INCOME")</f>
        <v xml:space="preserve">          9150 - MISC. INCOME</v>
      </c>
      <c r="C110" s="11"/>
      <c r="D110" s="2">
        <f>--6523.34</f>
        <v>6523.34</v>
      </c>
      <c r="E110" s="2"/>
      <c r="F110" s="19">
        <f t="shared" si="92"/>
        <v>0.35624766195644753</v>
      </c>
      <c r="G110" s="2"/>
      <c r="H110" s="2"/>
      <c r="I110" s="2"/>
      <c r="J110" s="19">
        <f t="shared" si="93"/>
        <v>0</v>
      </c>
      <c r="K110" s="2"/>
      <c r="L110" s="2">
        <f t="shared" si="94"/>
        <v>6523.34</v>
      </c>
      <c r="M110" s="2"/>
      <c r="N110" s="19">
        <f t="shared" si="95"/>
        <v>0</v>
      </c>
      <c r="O110" s="11"/>
      <c r="P110" s="2">
        <f>--141141.85</f>
        <v>141141.85</v>
      </c>
      <c r="Q110" s="2"/>
      <c r="R110" s="19">
        <f t="shared" si="96"/>
        <v>0.20646031515840318</v>
      </c>
      <c r="S110" s="2"/>
      <c r="T110" s="2">
        <v>1000</v>
      </c>
      <c r="U110" s="2"/>
      <c r="V110" s="19">
        <f t="shared" si="97"/>
        <v>1.1898585972043082E-3</v>
      </c>
      <c r="W110" s="2"/>
      <c r="X110" s="2">
        <f t="shared" si="98"/>
        <v>140141.85</v>
      </c>
      <c r="Y110" s="2"/>
      <c r="Z110" s="19">
        <f t="shared" si="99"/>
        <v>140.14185000000001</v>
      </c>
    </row>
    <row r="111" spans="1:26" s="24" customFormat="1" hidden="1" outlineLevel="1" x14ac:dyDescent="0.3">
      <c r="A111" s="44"/>
      <c r="B111" s="11" t="str">
        <f>CONCATENATE("          ", "9151", " - ", "MISC. INCOME")</f>
        <v xml:space="preserve">          9151 - MISC. INCOME</v>
      </c>
      <c r="C111" s="11"/>
      <c r="D111" s="2">
        <f t="shared" ref="D111:D113" si="100">0</f>
        <v>0</v>
      </c>
      <c r="E111" s="2"/>
      <c r="F111" s="19">
        <f t="shared" si="92"/>
        <v>0</v>
      </c>
      <c r="G111" s="2"/>
      <c r="H111" s="2">
        <v>16252</v>
      </c>
      <c r="I111" s="2"/>
      <c r="J111" s="19">
        <f t="shared" si="93"/>
        <v>8.6930009895429386E-2</v>
      </c>
      <c r="K111" s="2"/>
      <c r="L111" s="2">
        <f t="shared" si="94"/>
        <v>-16252</v>
      </c>
      <c r="M111" s="2"/>
      <c r="N111" s="19">
        <f t="shared" si="95"/>
        <v>-1</v>
      </c>
      <c r="O111" s="11"/>
      <c r="P111" s="2">
        <f t="shared" ref="P111:P113" si="101">0</f>
        <v>0</v>
      </c>
      <c r="Q111" s="2"/>
      <c r="R111" s="19">
        <f t="shared" si="96"/>
        <v>0</v>
      </c>
      <c r="S111" s="2"/>
      <c r="T111" s="2">
        <v>16252</v>
      </c>
      <c r="U111" s="2"/>
      <c r="V111" s="19">
        <f t="shared" si="97"/>
        <v>1.9337581921764418E-2</v>
      </c>
      <c r="W111" s="2"/>
      <c r="X111" s="2">
        <f t="shared" si="98"/>
        <v>-16252</v>
      </c>
      <c r="Y111" s="2"/>
      <c r="Z111" s="19">
        <f t="shared" si="99"/>
        <v>-1</v>
      </c>
    </row>
    <row r="112" spans="1:26" s="24" customFormat="1" hidden="1" outlineLevel="1" x14ac:dyDescent="0.3">
      <c r="A112" s="44"/>
      <c r="B112" s="11" t="str">
        <f>CONCATENATE("          ", "9160", " - ", "MISC. INCOME")</f>
        <v xml:space="preserve">          9160 - MISC. INCOME</v>
      </c>
      <c r="C112" s="11"/>
      <c r="D112" s="2">
        <f t="shared" si="100"/>
        <v>0</v>
      </c>
      <c r="E112" s="2"/>
      <c r="F112" s="19">
        <f t="shared" si="92"/>
        <v>0</v>
      </c>
      <c r="G112" s="2"/>
      <c r="H112" s="2">
        <v>29966.59</v>
      </c>
      <c r="I112" s="2"/>
      <c r="J112" s="19">
        <f t="shared" si="93"/>
        <v>0.1602877162953652</v>
      </c>
      <c r="K112" s="2"/>
      <c r="L112" s="2">
        <f t="shared" si="94"/>
        <v>-29966.59</v>
      </c>
      <c r="M112" s="2"/>
      <c r="N112" s="19">
        <f t="shared" si="95"/>
        <v>-1</v>
      </c>
      <c r="O112" s="11"/>
      <c r="P112" s="2">
        <f t="shared" si="101"/>
        <v>0</v>
      </c>
      <c r="Q112" s="2"/>
      <c r="R112" s="19">
        <f t="shared" si="96"/>
        <v>0</v>
      </c>
      <c r="S112" s="2"/>
      <c r="T112" s="2">
        <v>29966.59</v>
      </c>
      <c r="U112" s="2"/>
      <c r="V112" s="19">
        <f t="shared" si="97"/>
        <v>3.5656004740396652E-2</v>
      </c>
      <c r="W112" s="2"/>
      <c r="X112" s="2">
        <f t="shared" si="98"/>
        <v>-29966.59</v>
      </c>
      <c r="Y112" s="2"/>
      <c r="Z112" s="19">
        <f t="shared" si="99"/>
        <v>-1</v>
      </c>
    </row>
    <row r="113" spans="1:26" s="24" customFormat="1" hidden="1" outlineLevel="1" x14ac:dyDescent="0.3">
      <c r="A113" s="44"/>
      <c r="B113" s="11" t="str">
        <f>CONCATENATE("          ", "9165", " - ", "OTHER INCOME")</f>
        <v xml:space="preserve">          9165 - OTHER INCOME</v>
      </c>
      <c r="C113" s="11"/>
      <c r="D113" s="2">
        <f t="shared" si="100"/>
        <v>0</v>
      </c>
      <c r="E113" s="2"/>
      <c r="F113" s="19">
        <f t="shared" si="92"/>
        <v>0</v>
      </c>
      <c r="G113" s="2"/>
      <c r="H113" s="2"/>
      <c r="I113" s="2"/>
      <c r="J113" s="19">
        <f t="shared" si="93"/>
        <v>0</v>
      </c>
      <c r="K113" s="2"/>
      <c r="L113" s="2">
        <f t="shared" si="94"/>
        <v>0</v>
      </c>
      <c r="M113" s="2"/>
      <c r="N113" s="19">
        <f t="shared" si="95"/>
        <v>0</v>
      </c>
      <c r="O113" s="11"/>
      <c r="P113" s="2">
        <f t="shared" si="101"/>
        <v>0</v>
      </c>
      <c r="Q113" s="2"/>
      <c r="R113" s="19">
        <f t="shared" si="96"/>
        <v>0</v>
      </c>
      <c r="S113" s="2"/>
      <c r="T113" s="2"/>
      <c r="U113" s="2"/>
      <c r="V113" s="19">
        <f t="shared" si="97"/>
        <v>0</v>
      </c>
      <c r="W113" s="2"/>
      <c r="X113" s="2">
        <f t="shared" si="98"/>
        <v>0</v>
      </c>
      <c r="Y113" s="2"/>
      <c r="Z113" s="19">
        <f t="shared" si="99"/>
        <v>0</v>
      </c>
    </row>
    <row r="114" spans="1:26" x14ac:dyDescent="0.3">
      <c r="A114" s="9"/>
      <c r="B114" s="10"/>
      <c r="C114" s="10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O114" s="10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x14ac:dyDescent="0.3">
      <c r="A115" s="10"/>
      <c r="B115" s="26" t="s">
        <v>277</v>
      </c>
      <c r="C115" s="26"/>
      <c r="D115" s="21">
        <f>+D25-D27+D109</f>
        <v>-188373.34000000003</v>
      </c>
      <c r="E115" s="13"/>
      <c r="F115" s="22">
        <f>IF(D$12=0,0,D115/D$12)</f>
        <v>-10.28730097617585</v>
      </c>
      <c r="G115" s="13"/>
      <c r="H115" s="21">
        <f>+H25-H27+H109</f>
        <v>-75903.552113800222</v>
      </c>
      <c r="I115" s="13"/>
      <c r="J115" s="22">
        <f>IF(H$12=0,0,H115/H$12)</f>
        <v>-0.40599904850793089</v>
      </c>
      <c r="K115" s="15"/>
      <c r="L115" s="21">
        <f>+D115-H115</f>
        <v>-112469.7878861998</v>
      </c>
      <c r="M115" s="15"/>
      <c r="N115" s="22">
        <f>IF(H115=0,0,L115/H115)</f>
        <v>1.4817460415762462</v>
      </c>
      <c r="O115" s="25"/>
      <c r="P115" s="21">
        <f>+P25-P27+P109</f>
        <v>-860512.02999999991</v>
      </c>
      <c r="Q115" s="13"/>
      <c r="R115" s="22">
        <f>IF(P$12=0,0,P115/P$12)</f>
        <v>-1.2587449074204233</v>
      </c>
      <c r="S115" s="13"/>
      <c r="T115" s="21">
        <f>+T25-T27+T109</f>
        <v>-899478.22318538942</v>
      </c>
      <c r="U115" s="13"/>
      <c r="V115" s="22">
        <f>IF(T$12=0,0,T115/T$12)</f>
        <v>-1.0702518968551911</v>
      </c>
      <c r="W115" s="15"/>
      <c r="X115" s="21">
        <f>+P115-T115</f>
        <v>38966.193185389508</v>
      </c>
      <c r="Y115" s="15"/>
      <c r="Z115" s="22">
        <f>IF(T115=0,0,X115/T115)</f>
        <v>-4.3320885576746501E-2</v>
      </c>
    </row>
    <row r="116" spans="1:26" x14ac:dyDescent="0.3">
      <c r="A116" s="9"/>
      <c r="B116" s="10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3">
      <c r="A117" s="52"/>
      <c r="B117" s="10" t="s">
        <v>128</v>
      </c>
      <c r="C117" s="10"/>
      <c r="D117" s="4">
        <v>10405.32</v>
      </c>
      <c r="E117" s="4"/>
      <c r="F117" s="12">
        <f>IF(D$12=0,0,D117/D$12)</f>
        <v>0.56824738890026616</v>
      </c>
      <c r="G117" s="4"/>
      <c r="H117" s="4">
        <v>20697</v>
      </c>
      <c r="I117" s="4"/>
      <c r="J117" s="12">
        <f>IF(H$12=0,0,H117/H$12)</f>
        <v>0.11070578481452756</v>
      </c>
      <c r="K117" s="4"/>
      <c r="L117" s="4">
        <f>+D117-H117</f>
        <v>-10291.68</v>
      </c>
      <c r="M117" s="4"/>
      <c r="N117" s="12">
        <f>IF(H117=0,0,L117/H117)</f>
        <v>-0.49725467459052036</v>
      </c>
      <c r="O117" s="10"/>
      <c r="P117" s="4">
        <v>90489.93</v>
      </c>
      <c r="Q117" s="4"/>
      <c r="R117" s="12">
        <f>IF(P$12=0,0,P117/P$12)</f>
        <v>0.13236739823420085</v>
      </c>
      <c r="S117" s="4"/>
      <c r="T117" s="4">
        <v>105303</v>
      </c>
      <c r="U117" s="4"/>
      <c r="V117" s="12">
        <f>IF(T$12=0,0,T117/T$12)</f>
        <v>0.12529567986140527</v>
      </c>
      <c r="W117" s="4"/>
      <c r="X117" s="4">
        <f>+P117-T117</f>
        <v>-14813.070000000007</v>
      </c>
      <c r="Y117" s="4"/>
      <c r="Z117" s="12">
        <f>IF(T117=0,0,X117/T117)</f>
        <v>-0.14067092105638024</v>
      </c>
    </row>
    <row r="118" spans="1:26" x14ac:dyDescent="0.3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" thickBot="1" x14ac:dyDescent="0.35">
      <c r="A119" s="10"/>
      <c r="B119" s="26" t="s">
        <v>126</v>
      </c>
      <c r="C119" s="26"/>
      <c r="D119" s="32">
        <f>+D115-D117</f>
        <v>-198778.66000000003</v>
      </c>
      <c r="E119" s="13"/>
      <c r="F119" s="31">
        <f>IF(D$12=0,0,D119/D$12)</f>
        <v>-10.855548365076116</v>
      </c>
      <c r="G119" s="13"/>
      <c r="H119" s="32">
        <f>+H115-H117</f>
        <v>-96600.552113800222</v>
      </c>
      <c r="I119" s="13"/>
      <c r="J119" s="31">
        <f>IF(H$12=0,0,H119/H$12)</f>
        <v>-0.51670483332245842</v>
      </c>
      <c r="K119" s="15"/>
      <c r="L119" s="32">
        <f>D119-H119</f>
        <v>-102178.10788619981</v>
      </c>
      <c r="M119" s="15"/>
      <c r="N119" s="31">
        <f>IF(H119=0,0,L119/H119)</f>
        <v>1.057738342590723</v>
      </c>
      <c r="O119" s="25"/>
      <c r="P119" s="32">
        <f>+P115-P117</f>
        <v>-951001.96</v>
      </c>
      <c r="Q119" s="13"/>
      <c r="R119" s="31">
        <f>IF(P$12=0,0,P119/P$12)</f>
        <v>-1.3911123056546242</v>
      </c>
      <c r="S119" s="13"/>
      <c r="T119" s="32">
        <f>+T115-T117</f>
        <v>-1004781.2231853894</v>
      </c>
      <c r="U119" s="13"/>
      <c r="V119" s="31">
        <f>IF(T$12=0,0,T119/T$12)</f>
        <v>-1.1955475767165964</v>
      </c>
      <c r="W119" s="15"/>
      <c r="X119" s="32">
        <f>P119-T119</f>
        <v>53779.263185389456</v>
      </c>
      <c r="Y119" s="15"/>
      <c r="Z119" s="31">
        <f>IF(T119=0,0,X119/T119)</f>
        <v>-5.352335607436684E-2</v>
      </c>
    </row>
    <row r="120" spans="1:26" ht="15" thickTop="1" x14ac:dyDescent="0.3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x14ac:dyDescent="0.3">
      <c r="A121" s="9"/>
      <c r="B121" s="9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" thickBot="1" x14ac:dyDescent="0.35">
      <c r="A122" s="10"/>
      <c r="B122" s="26" t="s">
        <v>294</v>
      </c>
      <c r="C122" s="26"/>
      <c r="D122" s="34">
        <f>SUM(D119:D121)</f>
        <v>-198778.66000000003</v>
      </c>
      <c r="E122" s="13"/>
      <c r="F122" s="35">
        <f>IF(D$12=0,0,D122/D$12)</f>
        <v>-10.855548365076116</v>
      </c>
      <c r="G122" s="13"/>
      <c r="H122" s="34">
        <f>SUM(H119:H121)</f>
        <v>-96600.552113800222</v>
      </c>
      <c r="I122" s="13"/>
      <c r="J122" s="35">
        <f>IF(H$12=0,0,H122/H$12)</f>
        <v>-0.51670483332245842</v>
      </c>
      <c r="K122" s="15"/>
      <c r="L122" s="34">
        <f>+D122-H122</f>
        <v>-102178.10788619981</v>
      </c>
      <c r="M122" s="15"/>
      <c r="N122" s="35">
        <f>IF(H122=0,0,L122/H122)</f>
        <v>1.057738342590723</v>
      </c>
      <c r="O122" s="25"/>
      <c r="P122" s="34">
        <f>SUM(P119:P121)</f>
        <v>-951001.96</v>
      </c>
      <c r="Q122" s="13"/>
      <c r="R122" s="35">
        <f>IF(P$12=0,0,P122/P$12)</f>
        <v>-1.3911123056546242</v>
      </c>
      <c r="S122" s="13"/>
      <c r="T122" s="34">
        <f>SUM(T119:T121)</f>
        <v>-1004781.2231853894</v>
      </c>
      <c r="U122" s="13"/>
      <c r="V122" s="35">
        <f>IF(T$12=0,0,T122/T$12)</f>
        <v>-1.1955475767165964</v>
      </c>
      <c r="W122" s="15"/>
      <c r="X122" s="34">
        <f>+P122-T122</f>
        <v>53779.263185389456</v>
      </c>
      <c r="Y122" s="15"/>
      <c r="Z122" s="35">
        <f>IF(T122=0,0,X122/T122)</f>
        <v>-5.352335607436684E-2</v>
      </c>
    </row>
    <row r="123" spans="1:26" ht="15" thickTop="1" x14ac:dyDescent="0.3">
      <c r="A123" s="9"/>
      <c r="C123" s="9"/>
      <c r="D123" s="17"/>
      <c r="E123" s="17"/>
      <c r="G123" s="17"/>
      <c r="H123" s="17"/>
      <c r="I123" s="17"/>
      <c r="J123" s="43"/>
      <c r="K123" s="17"/>
      <c r="L123" s="17"/>
      <c r="M123" s="17"/>
      <c r="P123" s="17"/>
      <c r="Q123" s="17"/>
      <c r="R123" s="43"/>
      <c r="S123" s="17"/>
      <c r="T123" s="17"/>
      <c r="U123" s="17"/>
      <c r="V123" s="43"/>
      <c r="W123" s="17"/>
      <c r="X123" s="17"/>
    </row>
    <row r="124" spans="1:26" x14ac:dyDescent="0.3">
      <c r="A124" s="9"/>
      <c r="B124" s="53">
        <v>44604.019959108795</v>
      </c>
      <c r="D124" s="17"/>
      <c r="E124" s="17"/>
      <c r="G124" s="17"/>
      <c r="H124" s="17"/>
      <c r="I124" s="17"/>
      <c r="J124" s="43"/>
      <c r="K124" s="17"/>
      <c r="L124" s="17"/>
      <c r="M124" s="17"/>
      <c r="P124" s="17"/>
      <c r="Q124" s="17"/>
      <c r="R124" s="43"/>
      <c r="S124" s="17"/>
      <c r="T124" s="17"/>
      <c r="U124" s="17"/>
      <c r="V124" s="43"/>
      <c r="W124" s="17"/>
      <c r="X124" s="17"/>
    </row>
    <row r="125" spans="1:26" x14ac:dyDescent="0.3">
      <c r="A125" s="9"/>
      <c r="B125" s="63" t="s">
        <v>56</v>
      </c>
      <c r="D125" s="17"/>
      <c r="E125" s="17"/>
      <c r="G125" s="17"/>
      <c r="H125" s="17"/>
      <c r="I125" s="17"/>
      <c r="J125" s="43"/>
      <c r="K125" s="17"/>
      <c r="L125" s="17"/>
      <c r="M125" s="17"/>
      <c r="P125" s="17"/>
      <c r="Q125" s="17"/>
      <c r="R125" s="43"/>
      <c r="S125" s="17"/>
      <c r="T125" s="17"/>
      <c r="U125" s="17"/>
      <c r="V125" s="43"/>
      <c r="W125" s="17"/>
      <c r="X125" s="17"/>
    </row>
    <row r="126" spans="1:26" x14ac:dyDescent="0.3">
      <c r="A126" s="9"/>
      <c r="B126" s="58"/>
      <c r="D126" s="17"/>
      <c r="E126" s="17"/>
      <c r="G126" s="17"/>
      <c r="H126" s="17"/>
      <c r="I126" s="17"/>
      <c r="J126" s="43"/>
      <c r="K126" s="17"/>
      <c r="L126" s="17"/>
      <c r="M126" s="17"/>
      <c r="P126" s="17"/>
      <c r="Q126" s="17"/>
      <c r="R126" s="43"/>
      <c r="S126" s="17"/>
      <c r="T126" s="17"/>
      <c r="U126" s="17"/>
      <c r="V126" s="43"/>
      <c r="W126" s="17"/>
      <c r="X126" s="17"/>
    </row>
    <row r="127" spans="1:26" x14ac:dyDescent="0.3">
      <c r="D127" s="17"/>
      <c r="E127" s="17"/>
      <c r="G127" s="17"/>
      <c r="H127" s="17"/>
      <c r="I127" s="17"/>
      <c r="J127" s="43"/>
      <c r="K127" s="17"/>
      <c r="L127" s="17"/>
      <c r="M127" s="17"/>
      <c r="P127" s="17"/>
      <c r="Q127" s="17"/>
      <c r="R127" s="43"/>
      <c r="S127" s="17"/>
      <c r="T127" s="17"/>
      <c r="U127" s="17"/>
      <c r="V127" s="43"/>
      <c r="W127" s="17"/>
      <c r="X127" s="17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  <outlinePr summaryBelow="0" summaryRight="0"/>
  </sheetPr>
  <dimension ref="A2:Z12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106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13477.79</v>
      </c>
      <c r="E12" s="4"/>
      <c r="F12" s="12"/>
      <c r="G12" s="4"/>
      <c r="H12" s="4">
        <f>SUM(OSRRefH13x_0)</f>
        <v>151529</v>
      </c>
      <c r="I12" s="4"/>
      <c r="J12" s="12"/>
      <c r="K12" s="4"/>
      <c r="L12" s="4">
        <f t="shared" ref="L12:L17" si="0">+D12-H12</f>
        <v>-138051.21</v>
      </c>
      <c r="M12" s="4"/>
      <c r="N12" s="12">
        <f t="shared" ref="N12:N17" si="1">IF(H12=0,0,L12/H12)</f>
        <v>-0.9110547155989942</v>
      </c>
      <c r="O12" s="10"/>
      <c r="P12" s="4">
        <f>SUM(OSRRefP13x_0)</f>
        <v>602386.05999999994</v>
      </c>
      <c r="Q12" s="4"/>
      <c r="R12" s="12"/>
      <c r="S12" s="4"/>
      <c r="T12" s="4">
        <f>SUM(OSRRefT13x_0)</f>
        <v>651437</v>
      </c>
      <c r="U12" s="4"/>
      <c r="V12" s="12"/>
      <c r="W12" s="4"/>
      <c r="X12" s="4">
        <f t="shared" ref="X12:X17" si="2">+P12-T12</f>
        <v>-49050.940000000061</v>
      </c>
      <c r="Y12" s="4"/>
      <c r="Z12" s="12">
        <f t="shared" ref="Z12:Z17" si="3">IF(T12=0,0,X12/T12)</f>
        <v>-7.5296521382727813E-2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69166</v>
      </c>
      <c r="I13" s="2"/>
      <c r="J13" s="19"/>
      <c r="K13" s="2"/>
      <c r="L13" s="2">
        <f t="shared" si="0"/>
        <v>-69166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220875</v>
      </c>
      <c r="U13" s="2"/>
      <c r="V13" s="19"/>
      <c r="W13" s="2"/>
      <c r="X13" s="2">
        <f t="shared" si="2"/>
        <v>-220875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--2376.57</f>
        <v>2376.5700000000002</v>
      </c>
      <c r="E14" s="2"/>
      <c r="F14" s="19"/>
      <c r="G14" s="2"/>
      <c r="H14" s="2"/>
      <c r="I14" s="2"/>
      <c r="J14" s="19"/>
      <c r="K14" s="2"/>
      <c r="L14" s="2">
        <f t="shared" si="0"/>
        <v>2376.5700000000002</v>
      </c>
      <c r="M14" s="2"/>
      <c r="N14" s="19">
        <f t="shared" si="1"/>
        <v>0</v>
      </c>
      <c r="O14" s="11"/>
      <c r="P14" s="2">
        <f>--149359.36</f>
        <v>149359.35999999999</v>
      </c>
      <c r="Q14" s="2"/>
      <c r="R14" s="19"/>
      <c r="S14" s="2"/>
      <c r="T14" s="2"/>
      <c r="U14" s="2"/>
      <c r="V14" s="19"/>
      <c r="W14" s="2"/>
      <c r="X14" s="2">
        <f t="shared" si="2"/>
        <v>149359.35999999999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--1412.89</f>
        <v>1412.89</v>
      </c>
      <c r="E15" s="2"/>
      <c r="F15" s="19"/>
      <c r="G15" s="2"/>
      <c r="H15" s="2"/>
      <c r="I15" s="2"/>
      <c r="J15" s="19"/>
      <c r="K15" s="2"/>
      <c r="L15" s="2">
        <f t="shared" si="0"/>
        <v>1412.89</v>
      </c>
      <c r="M15" s="2"/>
      <c r="N15" s="19">
        <f t="shared" si="1"/>
        <v>0</v>
      </c>
      <c r="O15" s="11"/>
      <c r="P15" s="2">
        <f>--8792.47</f>
        <v>8792.4699999999993</v>
      </c>
      <c r="Q15" s="2"/>
      <c r="R15" s="19"/>
      <c r="S15" s="2"/>
      <c r="T15" s="2"/>
      <c r="U15" s="2"/>
      <c r="V15" s="19"/>
      <c r="W15" s="2"/>
      <c r="X15" s="2">
        <f t="shared" si="2"/>
        <v>8792.4699999999993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0</f>
        <v>0</v>
      </c>
      <c r="E16" s="2"/>
      <c r="F16" s="19"/>
      <c r="G16" s="2"/>
      <c r="H16" s="2">
        <v>82363</v>
      </c>
      <c r="I16" s="2"/>
      <c r="J16" s="19"/>
      <c r="K16" s="2"/>
      <c r="L16" s="2">
        <f t="shared" si="0"/>
        <v>-82363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v>430562</v>
      </c>
      <c r="U16" s="2"/>
      <c r="V16" s="19"/>
      <c r="W16" s="2"/>
      <c r="X16" s="2">
        <f t="shared" si="2"/>
        <v>-430562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"4151", " - ", "NON-TAXABLE SALES-FOOD")</f>
        <v xml:space="preserve">          4151 - NON-TAXABLE SALES-FOOD</v>
      </c>
      <c r="C17" s="11"/>
      <c r="D17" s="2">
        <f>--9688.33</f>
        <v>9688.33</v>
      </c>
      <c r="E17" s="2"/>
      <c r="F17" s="19"/>
      <c r="G17" s="2"/>
      <c r="H17" s="2"/>
      <c r="I17" s="2"/>
      <c r="J17" s="19"/>
      <c r="K17" s="2"/>
      <c r="L17" s="2">
        <f t="shared" si="0"/>
        <v>9688.33</v>
      </c>
      <c r="M17" s="2"/>
      <c r="N17" s="19">
        <f t="shared" si="1"/>
        <v>0</v>
      </c>
      <c r="O17" s="11"/>
      <c r="P17" s="2">
        <f>--444234.23</f>
        <v>444234.23</v>
      </c>
      <c r="Q17" s="2"/>
      <c r="R17" s="19"/>
      <c r="S17" s="2"/>
      <c r="T17" s="2"/>
      <c r="U17" s="2"/>
      <c r="V17" s="19"/>
      <c r="W17" s="2"/>
      <c r="X17" s="2">
        <f t="shared" si="2"/>
        <v>444234.23</v>
      </c>
      <c r="Y17" s="2"/>
      <c r="Z17" s="19">
        <f t="shared" si="3"/>
        <v>0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5" t="s">
        <v>257</v>
      </c>
      <c r="C19" s="10"/>
      <c r="D19" s="4">
        <f>SUM(OSRRefD16x_0)</f>
        <v>8748.619999999999</v>
      </c>
      <c r="E19" s="4"/>
      <c r="F19" s="12">
        <f t="shared" ref="F19:F22" si="4">IF(D$12=0,0,D19/D$12)</f>
        <v>0.64911383839635417</v>
      </c>
      <c r="G19" s="4"/>
      <c r="H19" s="4">
        <f>SUM(OSRRefH16x_0)</f>
        <v>52138</v>
      </c>
      <c r="I19" s="4"/>
      <c r="J19" s="12">
        <f t="shared" ref="J19:J22" si="5">IF(H$12=0,0,H19/H$12)</f>
        <v>0.34407935114730515</v>
      </c>
      <c r="K19" s="4"/>
      <c r="L19" s="4">
        <f t="shared" ref="L19:L22" si="6">+D19-H19</f>
        <v>-43389.380000000005</v>
      </c>
      <c r="M19" s="4"/>
      <c r="N19" s="12">
        <f t="shared" ref="N19:N22" si="7">IF(H19=0,0,L19/H19)</f>
        <v>-0.83220261613410573</v>
      </c>
      <c r="O19" s="10"/>
      <c r="P19" s="4">
        <f>SUM(OSRRefP16x_0)</f>
        <v>242387.71</v>
      </c>
      <c r="Q19" s="4"/>
      <c r="R19" s="12">
        <f t="shared" ref="R19:R22" si="8">IF(P$12=0,0,P19/P$12)</f>
        <v>0.40237934788862811</v>
      </c>
      <c r="S19" s="4"/>
      <c r="T19" s="4">
        <f>SUM(OSRRefT16x_0)</f>
        <v>224802</v>
      </c>
      <c r="U19" s="4"/>
      <c r="V19" s="12">
        <f t="shared" ref="V19:V22" si="9">IF(T$12=0,0,T19/T$12)</f>
        <v>0.34508632454097632</v>
      </c>
      <c r="W19" s="4"/>
      <c r="X19" s="4">
        <f t="shared" ref="X19:X22" si="10">+P19-T19</f>
        <v>17585.709999999992</v>
      </c>
      <c r="Y19" s="4"/>
      <c r="Z19" s="12">
        <f t="shared" ref="Z19:Z22" si="11">IF(T19=0,0,X19/T19)</f>
        <v>7.8227551356304617E-2</v>
      </c>
    </row>
    <row r="20" spans="1:26" s="24" customFormat="1" hidden="1" outlineLevel="1" x14ac:dyDescent="0.3">
      <c r="A20" s="44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19">
        <f t="shared" si="4"/>
        <v>0</v>
      </c>
      <c r="G20" s="2"/>
      <c r="H20" s="2">
        <v>52138</v>
      </c>
      <c r="I20" s="2"/>
      <c r="J20" s="19">
        <f t="shared" si="5"/>
        <v>0.34407935114730515</v>
      </c>
      <c r="K20" s="2"/>
      <c r="L20" s="2">
        <f t="shared" si="6"/>
        <v>-52138</v>
      </c>
      <c r="M20" s="2"/>
      <c r="N20" s="19">
        <f t="shared" si="7"/>
        <v>-1</v>
      </c>
      <c r="O20" s="11"/>
      <c r="P20" s="2"/>
      <c r="Q20" s="2"/>
      <c r="R20" s="19">
        <f t="shared" si="8"/>
        <v>0</v>
      </c>
      <c r="S20" s="2"/>
      <c r="T20" s="2">
        <v>224802</v>
      </c>
      <c r="U20" s="2"/>
      <c r="V20" s="19">
        <f t="shared" si="9"/>
        <v>0.34508632454097632</v>
      </c>
      <c r="W20" s="2"/>
      <c r="X20" s="2">
        <f t="shared" si="10"/>
        <v>-224802</v>
      </c>
      <c r="Y20" s="2"/>
      <c r="Z20" s="19">
        <f t="shared" si="11"/>
        <v>-1</v>
      </c>
    </row>
    <row r="21" spans="1:26" s="24" customFormat="1" hidden="1" outlineLevel="1" x14ac:dyDescent="0.3">
      <c r="A21" s="44"/>
      <c r="B21" s="11" t="str">
        <f>CONCATENATE("          ", "5053", " - ", "PURCHASES @ COST-FOOD")</f>
        <v xml:space="preserve">          5053 - PURCHASES @ COST-FOOD</v>
      </c>
      <c r="C21" s="11"/>
      <c r="D21" s="2">
        <v>12217.14</v>
      </c>
      <c r="E21" s="2"/>
      <c r="F21" s="19">
        <f t="shared" si="4"/>
        <v>0.90646463552258927</v>
      </c>
      <c r="G21" s="2"/>
      <c r="H21" s="2"/>
      <c r="I21" s="2"/>
      <c r="J21" s="19">
        <f t="shared" si="5"/>
        <v>0</v>
      </c>
      <c r="K21" s="2"/>
      <c r="L21" s="2">
        <f t="shared" si="6"/>
        <v>12217.14</v>
      </c>
      <c r="M21" s="2"/>
      <c r="N21" s="19">
        <f t="shared" si="7"/>
        <v>0</v>
      </c>
      <c r="O21" s="11"/>
      <c r="P21" s="2">
        <v>229234.5</v>
      </c>
      <c r="Q21" s="2"/>
      <c r="R21" s="19">
        <f t="shared" si="8"/>
        <v>0.38054416465082214</v>
      </c>
      <c r="S21" s="2"/>
      <c r="T21" s="2"/>
      <c r="U21" s="2"/>
      <c r="V21" s="19">
        <f t="shared" si="9"/>
        <v>0</v>
      </c>
      <c r="W21" s="2"/>
      <c r="X21" s="2">
        <f t="shared" si="10"/>
        <v>229234.5</v>
      </c>
      <c r="Y21" s="2"/>
      <c r="Z21" s="19">
        <f t="shared" si="11"/>
        <v>0</v>
      </c>
    </row>
    <row r="22" spans="1:26" s="24" customFormat="1" hidden="1" outlineLevel="1" x14ac:dyDescent="0.3">
      <c r="A22" s="44"/>
      <c r="B22" s="11" t="str">
        <f>CONCATENATE("          ", "5059", " - ", "PURCHASES @ COST-FOOD")</f>
        <v xml:space="preserve">          5059 - PURCHASES @ COST-FOOD</v>
      </c>
      <c r="C22" s="11"/>
      <c r="D22" s="2">
        <v>-3468.52</v>
      </c>
      <c r="E22" s="2"/>
      <c r="F22" s="19">
        <f t="shared" si="4"/>
        <v>-0.25735079712623504</v>
      </c>
      <c r="G22" s="2"/>
      <c r="H22" s="2"/>
      <c r="I22" s="2"/>
      <c r="J22" s="19">
        <f t="shared" si="5"/>
        <v>0</v>
      </c>
      <c r="K22" s="2"/>
      <c r="L22" s="2">
        <f t="shared" si="6"/>
        <v>-3468.52</v>
      </c>
      <c r="M22" s="2"/>
      <c r="N22" s="19">
        <f t="shared" si="7"/>
        <v>0</v>
      </c>
      <c r="O22" s="11"/>
      <c r="P22" s="2">
        <v>13153.21</v>
      </c>
      <c r="Q22" s="2"/>
      <c r="R22" s="19">
        <f t="shared" si="8"/>
        <v>2.1835183237806002E-2</v>
      </c>
      <c r="S22" s="2"/>
      <c r="T22" s="2"/>
      <c r="U22" s="2"/>
      <c r="V22" s="19">
        <f t="shared" si="9"/>
        <v>0</v>
      </c>
      <c r="W22" s="2"/>
      <c r="X22" s="2">
        <f t="shared" si="10"/>
        <v>13153.21</v>
      </c>
      <c r="Y22" s="2"/>
      <c r="Z22" s="19">
        <f t="shared" si="11"/>
        <v>0</v>
      </c>
    </row>
    <row r="23" spans="1:26" x14ac:dyDescent="0.3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">
      <c r="A24" s="10"/>
      <c r="B24" s="26" t="s">
        <v>108</v>
      </c>
      <c r="C24" s="26"/>
      <c r="D24" s="21">
        <f>D12-D19</f>
        <v>4729.1700000000019</v>
      </c>
      <c r="E24" s="13"/>
      <c r="F24" s="22">
        <f>IF(D$12=0,0,D24/D$12)</f>
        <v>0.35088616160364583</v>
      </c>
      <c r="G24" s="13"/>
      <c r="H24" s="21">
        <f>H12-H19</f>
        <v>99391</v>
      </c>
      <c r="I24" s="13"/>
      <c r="J24" s="22">
        <f>IF(H$12=0,0,H24/H$12)</f>
        <v>0.65592064885269485</v>
      </c>
      <c r="K24" s="15"/>
      <c r="L24" s="21">
        <f>+D24-H24</f>
        <v>-94661.83</v>
      </c>
      <c r="M24" s="15"/>
      <c r="N24" s="22">
        <f>IF(H24=0,0,L24/H24)</f>
        <v>-0.95241852884063949</v>
      </c>
      <c r="O24" s="25"/>
      <c r="P24" s="21">
        <f>P12-P19</f>
        <v>359998.35</v>
      </c>
      <c r="Q24" s="13"/>
      <c r="R24" s="22">
        <f>IF(P$12=0,0,P24/P$12)</f>
        <v>0.59762065211137194</v>
      </c>
      <c r="S24" s="13"/>
      <c r="T24" s="21">
        <f>T12-T19</f>
        <v>426635</v>
      </c>
      <c r="U24" s="13"/>
      <c r="V24" s="22">
        <f>IF(T$12=0,0,T24/T$12)</f>
        <v>0.65491367545902368</v>
      </c>
      <c r="W24" s="15"/>
      <c r="X24" s="21">
        <f>+P24-T24</f>
        <v>-66636.650000000023</v>
      </c>
      <c r="Y24" s="15"/>
      <c r="Z24" s="22">
        <f>IF(T24=0,0,X24/T24)</f>
        <v>-0.15619124075614993</v>
      </c>
    </row>
    <row r="25" spans="1:26" x14ac:dyDescent="0.3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3">
      <c r="A26" s="10"/>
      <c r="B26" s="25" t="s">
        <v>295</v>
      </c>
      <c r="C26" s="10"/>
      <c r="D26" s="20">
        <f>SUM(OSRRefD22x_0)</f>
        <v>166883.88999999998</v>
      </c>
      <c r="E26" s="20"/>
      <c r="F26" s="33">
        <f t="shared" ref="F26:F36" si="12">IF(D$12=0,0,D26/D$12)</f>
        <v>12.38214054381319</v>
      </c>
      <c r="G26" s="20"/>
      <c r="H26" s="20">
        <f>SUM(OSRRefH22x_0)</f>
        <v>204844.33344416565</v>
      </c>
      <c r="I26" s="20"/>
      <c r="J26" s="33">
        <f t="shared" ref="J26:J36" si="13">IF(H$12=0,0,H26/H$12)</f>
        <v>1.3518490417290792</v>
      </c>
      <c r="K26" s="4"/>
      <c r="L26" s="20">
        <f t="shared" ref="L26:L36" si="14">+D26-H26</f>
        <v>-37960.443444165663</v>
      </c>
      <c r="M26" s="4"/>
      <c r="N26" s="33">
        <f t="shared" ref="N26:N36" si="15">IF(H26=0,0,L26/H26)</f>
        <v>-0.18531361256577072</v>
      </c>
      <c r="O26" s="10"/>
      <c r="P26" s="20">
        <f>SUM(OSRRefP22x_0)</f>
        <v>1241007.1100000006</v>
      </c>
      <c r="Q26" s="20"/>
      <c r="R26" s="33">
        <f t="shared" ref="R26:R36" si="16">IF(P$12=0,0,P26/P$12)</f>
        <v>2.0601524377904772</v>
      </c>
      <c r="S26" s="20"/>
      <c r="T26" s="20">
        <f>SUM(OSRRefT22x_0)</f>
        <v>1227309.3420857547</v>
      </c>
      <c r="U26" s="20"/>
      <c r="V26" s="33">
        <f t="shared" ref="V26:V36" si="17">IF(T$12=0,0,T26/T$12)</f>
        <v>1.8840031224596618</v>
      </c>
      <c r="W26" s="4"/>
      <c r="X26" s="20">
        <f t="shared" ref="X26:X36" si="18">+P26-T26</f>
        <v>13697.767914245836</v>
      </c>
      <c r="Y26" s="4"/>
      <c r="Z26" s="33">
        <f t="shared" ref="Z26:Z36" si="19">IF(T26=0,0,X26/T26)</f>
        <v>1.1160811251519622E-2</v>
      </c>
    </row>
    <row r="27" spans="1:26" s="28" customFormat="1" outlineLevel="1" collapsed="1" x14ac:dyDescent="0.3">
      <c r="A27" s="29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SUM(OSRRefD22_0x_0)</f>
        <v>37883.480000000003</v>
      </c>
      <c r="E27" s="1"/>
      <c r="F27" s="5">
        <f t="shared" si="12"/>
        <v>2.8108080033892797</v>
      </c>
      <c r="G27" s="1"/>
      <c r="H27" s="1">
        <f>SUM(OSRRefH22_0x_0)</f>
        <v>31949.354779165653</v>
      </c>
      <c r="I27" s="1"/>
      <c r="J27" s="5">
        <f t="shared" si="13"/>
        <v>0.21084647017511932</v>
      </c>
      <c r="K27" s="1"/>
      <c r="L27" s="1">
        <f t="shared" si="14"/>
        <v>5934.1252208343503</v>
      </c>
      <c r="M27" s="1"/>
      <c r="N27" s="5">
        <f t="shared" si="15"/>
        <v>0.18573536967651144</v>
      </c>
      <c r="O27" s="14"/>
      <c r="P27" s="1">
        <f>SUM(OSRRefP22_0x_0)</f>
        <v>215582.75</v>
      </c>
      <c r="Q27" s="1"/>
      <c r="R27" s="5">
        <f t="shared" si="16"/>
        <v>0.35788137262007691</v>
      </c>
      <c r="S27" s="1"/>
      <c r="T27" s="1">
        <f>SUM(OSRRefT22_0x_0)</f>
        <v>196316.59891075516</v>
      </c>
      <c r="U27" s="1"/>
      <c r="V27" s="5">
        <f t="shared" si="17"/>
        <v>0.30135930091590618</v>
      </c>
      <c r="W27" s="1"/>
      <c r="X27" s="1">
        <f t="shared" si="18"/>
        <v>19266.151089244842</v>
      </c>
      <c r="Y27" s="1"/>
      <c r="Z27" s="5">
        <f t="shared" si="19"/>
        <v>9.8138166594884668E-2</v>
      </c>
    </row>
    <row r="28" spans="1:26" s="24" customFormat="1" hidden="1" outlineLevel="2" x14ac:dyDescent="0.3">
      <c r="A28" s="27"/>
      <c r="B28" s="11" t="str">
        <f>CONCATENATE("          ", "6111", " - ", "F.I.C.A.")</f>
        <v xml:space="preserve">          6111 - F.I.C.A.</v>
      </c>
      <c r="C28" s="11"/>
      <c r="D28" s="7">
        <v>3785.51</v>
      </c>
      <c r="E28" s="2"/>
      <c r="F28" s="6">
        <f t="shared" si="12"/>
        <v>0.28087023169228781</v>
      </c>
      <c r="G28" s="2"/>
      <c r="H28" s="7">
        <v>4295.3860650117804</v>
      </c>
      <c r="I28" s="2"/>
      <c r="J28" s="6">
        <f t="shared" si="13"/>
        <v>2.8346957117197237E-2</v>
      </c>
      <c r="K28" s="2"/>
      <c r="L28" s="7">
        <f t="shared" si="14"/>
        <v>-509.87606501178016</v>
      </c>
      <c r="M28" s="2"/>
      <c r="N28" s="6">
        <f t="shared" si="15"/>
        <v>-0.11870319857043672</v>
      </c>
      <c r="O28" s="11"/>
      <c r="P28" s="7">
        <v>30178.06</v>
      </c>
      <c r="Q28" s="2"/>
      <c r="R28" s="6">
        <f t="shared" si="16"/>
        <v>5.0097540437771759E-2</v>
      </c>
      <c r="S28" s="2"/>
      <c r="T28" s="7">
        <v>25485.002959985799</v>
      </c>
      <c r="U28" s="2"/>
      <c r="V28" s="6">
        <f t="shared" si="17"/>
        <v>3.9121208896617479E-2</v>
      </c>
      <c r="W28" s="2"/>
      <c r="X28" s="7">
        <f t="shared" si="18"/>
        <v>4693.0570400142024</v>
      </c>
      <c r="Y28" s="2"/>
      <c r="Z28" s="6">
        <f t="shared" si="19"/>
        <v>0.18414975455889912</v>
      </c>
    </row>
    <row r="29" spans="1:26" s="24" customFormat="1" hidden="1" outlineLevel="2" x14ac:dyDescent="0.3">
      <c r="A29" s="27"/>
      <c r="B29" s="11" t="str">
        <f>CONCATENATE("          ", "6112", " - ", "COMPENSATION INSURANCE")</f>
        <v xml:space="preserve">          6112 - COMPENSATION INSURANCE</v>
      </c>
      <c r="C29" s="11"/>
      <c r="D29" s="7">
        <v>1412.38</v>
      </c>
      <c r="E29" s="2"/>
      <c r="F29" s="6">
        <f t="shared" si="12"/>
        <v>0.10479314487019015</v>
      </c>
      <c r="G29" s="2"/>
      <c r="H29" s="7">
        <v>3247.7672366761599</v>
      </c>
      <c r="I29" s="2"/>
      <c r="J29" s="6">
        <f t="shared" si="13"/>
        <v>2.1433304758007775E-2</v>
      </c>
      <c r="K29" s="2"/>
      <c r="L29" s="7">
        <f t="shared" si="14"/>
        <v>-1835.3872366761598</v>
      </c>
      <c r="M29" s="2"/>
      <c r="N29" s="6">
        <f t="shared" si="15"/>
        <v>-0.56512277602582672</v>
      </c>
      <c r="O29" s="11"/>
      <c r="P29" s="7">
        <v>13606.17</v>
      </c>
      <c r="Q29" s="2"/>
      <c r="R29" s="6">
        <f t="shared" si="16"/>
        <v>2.2587126269157029E-2</v>
      </c>
      <c r="S29" s="2"/>
      <c r="T29" s="7">
        <v>18016.236579496199</v>
      </c>
      <c r="U29" s="2"/>
      <c r="V29" s="6">
        <f t="shared" si="17"/>
        <v>2.7656145689446868E-2</v>
      </c>
      <c r="W29" s="2"/>
      <c r="X29" s="7">
        <f t="shared" si="18"/>
        <v>-4410.0665794961988</v>
      </c>
      <c r="Y29" s="2"/>
      <c r="Z29" s="6">
        <f t="shared" si="19"/>
        <v>-0.24478289680738199</v>
      </c>
    </row>
    <row r="30" spans="1:26" s="24" customFormat="1" hidden="1" outlineLevel="2" x14ac:dyDescent="0.3">
      <c r="A30" s="27"/>
      <c r="B30" s="11" t="str">
        <f>CONCATENATE("          ", "6113", " - ", "GROUP INSURANCE")</f>
        <v xml:space="preserve">          6113 - GROUP INSURANCE</v>
      </c>
      <c r="C30" s="11"/>
      <c r="D30" s="7">
        <v>11880.48</v>
      </c>
      <c r="E30" s="2"/>
      <c r="F30" s="6">
        <f t="shared" si="12"/>
        <v>0.88148576287358671</v>
      </c>
      <c r="G30" s="2"/>
      <c r="H30" s="7">
        <v>14056.7076923077</v>
      </c>
      <c r="I30" s="2"/>
      <c r="J30" s="6">
        <f t="shared" si="13"/>
        <v>9.2765791975844225E-2</v>
      </c>
      <c r="K30" s="2"/>
      <c r="L30" s="7">
        <f t="shared" si="14"/>
        <v>-2176.2276923077006</v>
      </c>
      <c r="M30" s="2"/>
      <c r="N30" s="6">
        <f t="shared" si="15"/>
        <v>-0.15481773826019055</v>
      </c>
      <c r="O30" s="11"/>
      <c r="P30" s="7">
        <v>86812.04</v>
      </c>
      <c r="Q30" s="2"/>
      <c r="R30" s="6">
        <f t="shared" si="16"/>
        <v>0.14411362706500877</v>
      </c>
      <c r="S30" s="2"/>
      <c r="T30" s="7">
        <v>92651.873076923104</v>
      </c>
      <c r="U30" s="2"/>
      <c r="V30" s="6">
        <f t="shared" si="17"/>
        <v>0.1422269123137358</v>
      </c>
      <c r="W30" s="2"/>
      <c r="X30" s="7">
        <f t="shared" si="18"/>
        <v>-5839.8330769231106</v>
      </c>
      <c r="Y30" s="2"/>
      <c r="Z30" s="6">
        <f t="shared" si="19"/>
        <v>-6.3029843682433265E-2</v>
      </c>
    </row>
    <row r="31" spans="1:26" s="24" customFormat="1" hidden="1" outlineLevel="2" x14ac:dyDescent="0.3">
      <c r="A31" s="27"/>
      <c r="B31" s="11" t="str">
        <f>CONCATENATE("          ", "6114", " - ", "STATE UNEMPLOYMENT INSURANCE")</f>
        <v xml:space="preserve">          6114 - STATE UNEMPLOYMENT INSURANCE</v>
      </c>
      <c r="C31" s="11"/>
      <c r="D31" s="7">
        <v>132.13</v>
      </c>
      <c r="E31" s="2"/>
      <c r="F31" s="6">
        <f t="shared" si="12"/>
        <v>9.8035360396622872E-3</v>
      </c>
      <c r="G31" s="2"/>
      <c r="H31" s="7">
        <v>179.955440554615</v>
      </c>
      <c r="I31" s="2"/>
      <c r="J31" s="6">
        <f t="shared" si="13"/>
        <v>1.1875973612616396E-3</v>
      </c>
      <c r="K31" s="2"/>
      <c r="L31" s="7">
        <f t="shared" si="14"/>
        <v>-47.825440554615</v>
      </c>
      <c r="M31" s="2"/>
      <c r="N31" s="6">
        <f t="shared" si="15"/>
        <v>-0.26576268217964977</v>
      </c>
      <c r="O31" s="11"/>
      <c r="P31" s="7">
        <v>1204.4000000000001</v>
      </c>
      <c r="Q31" s="2"/>
      <c r="R31" s="6">
        <f t="shared" si="16"/>
        <v>1.9993822566212772E-3</v>
      </c>
      <c r="S31" s="2"/>
      <c r="T31" s="7">
        <v>998.26112973461602</v>
      </c>
      <c r="U31" s="2"/>
      <c r="V31" s="6">
        <f t="shared" si="17"/>
        <v>1.5323985738215913E-3</v>
      </c>
      <c r="W31" s="2"/>
      <c r="X31" s="7">
        <f t="shared" si="18"/>
        <v>206.13887026538407</v>
      </c>
      <c r="Y31" s="2"/>
      <c r="Z31" s="6">
        <f t="shared" si="19"/>
        <v>0.20649794339902358</v>
      </c>
    </row>
    <row r="32" spans="1:26" s="24" customFormat="1" hidden="1" outlineLevel="2" x14ac:dyDescent="0.3">
      <c r="A32" s="27"/>
      <c r="B32" s="11" t="str">
        <f>CONCATENATE("          ", "6115", " - ", "P.E.R.S.")</f>
        <v xml:space="preserve">          6115 - P.E.R.S.</v>
      </c>
      <c r="C32" s="11"/>
      <c r="D32" s="7">
        <v>3175.7</v>
      </c>
      <c r="E32" s="2"/>
      <c r="F32" s="6">
        <f t="shared" si="12"/>
        <v>0.23562468327522537</v>
      </c>
      <c r="G32" s="2"/>
      <c r="H32" s="7">
        <v>3501.5529288461598</v>
      </c>
      <c r="I32" s="2"/>
      <c r="J32" s="6">
        <f t="shared" si="13"/>
        <v>2.3108137246640313E-2</v>
      </c>
      <c r="K32" s="2"/>
      <c r="L32" s="7">
        <f t="shared" si="14"/>
        <v>-325.85292884616001</v>
      </c>
      <c r="M32" s="2"/>
      <c r="N32" s="6">
        <f t="shared" si="15"/>
        <v>-9.3059546854696792E-2</v>
      </c>
      <c r="O32" s="11"/>
      <c r="P32" s="7">
        <v>24206.44</v>
      </c>
      <c r="Q32" s="2"/>
      <c r="R32" s="6">
        <f t="shared" si="16"/>
        <v>4.0184263228136459E-2</v>
      </c>
      <c r="S32" s="2"/>
      <c r="T32" s="7">
        <v>18768.840958846198</v>
      </c>
      <c r="U32" s="2"/>
      <c r="V32" s="6">
        <f t="shared" si="17"/>
        <v>2.8811444481732229E-2</v>
      </c>
      <c r="W32" s="2"/>
      <c r="X32" s="7">
        <f t="shared" si="18"/>
        <v>5437.5990411538005</v>
      </c>
      <c r="Y32" s="2"/>
      <c r="Z32" s="6">
        <f t="shared" si="19"/>
        <v>0.28971416258876292</v>
      </c>
    </row>
    <row r="33" spans="1:26" s="24" customFormat="1" hidden="1" outlineLevel="2" x14ac:dyDescent="0.3">
      <c r="A33" s="27"/>
      <c r="B33" s="11" t="str">
        <f>CONCATENATE("          ", "6116", " - ", "EDUCATIONAL BENEFITS")</f>
        <v xml:space="preserve">          6116 - EDUCATIONAL BENEFITS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3">
      <c r="A34" s="27"/>
      <c r="B34" s="11" t="str">
        <f>CONCATENATE("          ", "6118", " - ", "VACATION")</f>
        <v xml:space="preserve">          6118 - VACATION</v>
      </c>
      <c r="C34" s="11"/>
      <c r="D34" s="7">
        <v>5599.63</v>
      </c>
      <c r="E34" s="2"/>
      <c r="F34" s="6">
        <f t="shared" si="12"/>
        <v>0.41547093403295343</v>
      </c>
      <c r="G34" s="2"/>
      <c r="H34" s="7">
        <v>2946.59694638462</v>
      </c>
      <c r="I34" s="2"/>
      <c r="J34" s="6">
        <f t="shared" si="13"/>
        <v>1.9445762503445676E-2</v>
      </c>
      <c r="K34" s="2"/>
      <c r="L34" s="7">
        <f t="shared" si="14"/>
        <v>2653.0330536153801</v>
      </c>
      <c r="M34" s="2"/>
      <c r="N34" s="6">
        <f t="shared" si="15"/>
        <v>0.9003718872615295</v>
      </c>
      <c r="O34" s="11"/>
      <c r="P34" s="7">
        <v>25714.6</v>
      </c>
      <c r="Q34" s="2"/>
      <c r="R34" s="6">
        <f t="shared" si="16"/>
        <v>4.2687906821748167E-2</v>
      </c>
      <c r="S34" s="2"/>
      <c r="T34" s="7">
        <v>17559.635720384598</v>
      </c>
      <c r="U34" s="2"/>
      <c r="V34" s="6">
        <f t="shared" si="17"/>
        <v>2.6955232386838019E-2</v>
      </c>
      <c r="W34" s="2"/>
      <c r="X34" s="7">
        <f t="shared" si="18"/>
        <v>8154.9642796154003</v>
      </c>
      <c r="Y34" s="2"/>
      <c r="Z34" s="6">
        <f t="shared" si="19"/>
        <v>0.46441534491222275</v>
      </c>
    </row>
    <row r="35" spans="1:26" s="24" customFormat="1" hidden="1" outlineLevel="2" x14ac:dyDescent="0.3">
      <c r="A35" s="27"/>
      <c r="B35" s="11" t="str">
        <f>CONCATENATE("          ", "6119", " - ", "SICK LEAVE")</f>
        <v xml:space="preserve">          6119 - SICK LEAVE</v>
      </c>
      <c r="C35" s="11"/>
      <c r="D35" s="7">
        <v>10406.469999999999</v>
      </c>
      <c r="E35" s="2"/>
      <c r="F35" s="6">
        <f t="shared" si="12"/>
        <v>0.77211990986652845</v>
      </c>
      <c r="G35" s="2"/>
      <c r="H35" s="7">
        <v>1576.3884693846201</v>
      </c>
      <c r="I35" s="2"/>
      <c r="J35" s="6">
        <f t="shared" si="13"/>
        <v>1.0403213044266247E-2</v>
      </c>
      <c r="K35" s="2"/>
      <c r="L35" s="7">
        <f t="shared" si="14"/>
        <v>8830.08153061538</v>
      </c>
      <c r="M35" s="2"/>
      <c r="N35" s="6">
        <f t="shared" si="15"/>
        <v>5.6014629021375724</v>
      </c>
      <c r="O35" s="11"/>
      <c r="P35" s="7">
        <v>23559.61</v>
      </c>
      <c r="Q35" s="2"/>
      <c r="R35" s="6">
        <f t="shared" si="16"/>
        <v>3.9110483399964473E-2</v>
      </c>
      <c r="S35" s="2"/>
      <c r="T35" s="7">
        <v>8493.7484853846199</v>
      </c>
      <c r="U35" s="2"/>
      <c r="V35" s="6">
        <f t="shared" si="17"/>
        <v>1.303848029108666E-2</v>
      </c>
      <c r="W35" s="2"/>
      <c r="X35" s="7">
        <f t="shared" si="18"/>
        <v>15065.861514615381</v>
      </c>
      <c r="Y35" s="2"/>
      <c r="Z35" s="6">
        <f t="shared" si="19"/>
        <v>1.7737588463491167</v>
      </c>
    </row>
    <row r="36" spans="1:26" s="24" customFormat="1" hidden="1" outlineLevel="2" x14ac:dyDescent="0.3">
      <c r="A36" s="27"/>
      <c r="B36" s="11" t="str">
        <f>CONCATENATE("          ", "6156", " - ", "EMPLOYEE MEALS")</f>
        <v xml:space="preserve">          6156 - EMPLOYEE MEALS</v>
      </c>
      <c r="C36" s="11"/>
      <c r="D36" s="7">
        <v>1491.18</v>
      </c>
      <c r="E36" s="2"/>
      <c r="F36" s="6">
        <f t="shared" si="12"/>
        <v>0.11063980073884516</v>
      </c>
      <c r="G36" s="2"/>
      <c r="H36" s="7">
        <v>2145</v>
      </c>
      <c r="I36" s="2"/>
      <c r="J36" s="6">
        <f t="shared" si="13"/>
        <v>1.4155706168456203E-2</v>
      </c>
      <c r="K36" s="2"/>
      <c r="L36" s="7">
        <f t="shared" si="14"/>
        <v>-653.81999999999994</v>
      </c>
      <c r="M36" s="2"/>
      <c r="N36" s="6">
        <f t="shared" si="15"/>
        <v>-0.30481118881118879</v>
      </c>
      <c r="O36" s="11"/>
      <c r="P36" s="7">
        <v>10301.43</v>
      </c>
      <c r="Q36" s="2"/>
      <c r="R36" s="6">
        <f t="shared" si="16"/>
        <v>1.7101043141668985E-2</v>
      </c>
      <c r="S36" s="2"/>
      <c r="T36" s="7">
        <v>14343</v>
      </c>
      <c r="U36" s="2"/>
      <c r="V36" s="6">
        <f t="shared" si="17"/>
        <v>2.2017478282627484E-2</v>
      </c>
      <c r="W36" s="2"/>
      <c r="X36" s="7">
        <f t="shared" si="18"/>
        <v>-4041.5699999999997</v>
      </c>
      <c r="Y36" s="2"/>
      <c r="Z36" s="6">
        <f t="shared" si="19"/>
        <v>-0.28177996235097258</v>
      </c>
    </row>
    <row r="37" spans="1:26" s="28" customFormat="1" outlineLevel="1" collapsed="1" x14ac:dyDescent="0.3">
      <c r="A37" s="29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58309.85</v>
      </c>
      <c r="E37" s="1"/>
      <c r="F37" s="5">
        <f t="shared" ref="F37:F47" si="20">IF(D$12=0,0,D37/D$12)</f>
        <v>4.3263658211027174</v>
      </c>
      <c r="G37" s="1"/>
      <c r="H37" s="1">
        <f>SUM(OSRRefH22_1x_0)</f>
        <v>81265.978665000002</v>
      </c>
      <c r="I37" s="1"/>
      <c r="J37" s="5">
        <f t="shared" ref="J37:J47" si="21">IF(H$12=0,0,H37/H$12)</f>
        <v>0.53630644078031264</v>
      </c>
      <c r="K37" s="1"/>
      <c r="L37" s="1">
        <f t="shared" ref="L37:L47" si="22">+D37-H37</f>
        <v>-22956.128665000004</v>
      </c>
      <c r="M37" s="1"/>
      <c r="N37" s="5">
        <f t="shared" ref="N37:N47" si="23">IF(H37=0,0,L37/H37)</f>
        <v>-0.28248141525042453</v>
      </c>
      <c r="O37" s="14"/>
      <c r="P37" s="1">
        <f>SUM(OSRRefP22_1x_0)</f>
        <v>449191.33999999997</v>
      </c>
      <c r="Q37" s="1"/>
      <c r="R37" s="5">
        <f t="shared" ref="R37:R47" si="24">IF(P$12=0,0,P37/P$12)</f>
        <v>0.74568681088005262</v>
      </c>
      <c r="S37" s="1"/>
      <c r="T37" s="1">
        <f>SUM(OSRRefT22_1x_0)</f>
        <v>449822.74317499954</v>
      </c>
      <c r="U37" s="1"/>
      <c r="V37" s="5">
        <f t="shared" ref="V37:V47" si="25">IF(T$12=0,0,T37/T$12)</f>
        <v>0.69050843469898016</v>
      </c>
      <c r="W37" s="1"/>
      <c r="X37" s="1">
        <f t="shared" ref="X37:X47" si="26">+P37-T37</f>
        <v>-631.40317499957746</v>
      </c>
      <c r="Y37" s="1"/>
      <c r="Z37" s="5">
        <f t="shared" ref="Z37:Z47" si="27">IF(T37=0,0,X37/T37)</f>
        <v>-1.4036710783961754E-3</v>
      </c>
    </row>
    <row r="38" spans="1:26" s="24" customFormat="1" hidden="1" outlineLevel="2" x14ac:dyDescent="0.3">
      <c r="A38" s="27"/>
      <c r="B38" s="11" t="str">
        <f>CONCATENATE("          ", "6001", " - ", "ADMINISTRATIVE SALARIES")</f>
        <v xml:space="preserve">          6001 - ADMINISTRATIVE SALARIES</v>
      </c>
      <c r="C38" s="11"/>
      <c r="D38" s="7">
        <v>14390.06</v>
      </c>
      <c r="E38" s="2"/>
      <c r="F38" s="6">
        <f t="shared" si="20"/>
        <v>1.0676869130621562</v>
      </c>
      <c r="G38" s="2"/>
      <c r="H38" s="7">
        <v>12835.384615384601</v>
      </c>
      <c r="I38" s="2"/>
      <c r="J38" s="6">
        <f t="shared" si="21"/>
        <v>8.4705796351751808E-2</v>
      </c>
      <c r="K38" s="2"/>
      <c r="L38" s="7">
        <f t="shared" si="22"/>
        <v>1554.6753846153988</v>
      </c>
      <c r="M38" s="2"/>
      <c r="N38" s="6">
        <f t="shared" si="23"/>
        <v>0.12112417595589241</v>
      </c>
      <c r="O38" s="11"/>
      <c r="P38" s="7">
        <v>78259.83</v>
      </c>
      <c r="Q38" s="2"/>
      <c r="R38" s="6">
        <f t="shared" si="24"/>
        <v>0.12991640277997138</v>
      </c>
      <c r="S38" s="2"/>
      <c r="T38" s="7">
        <v>79579.384615384595</v>
      </c>
      <c r="U38" s="2"/>
      <c r="V38" s="6">
        <f t="shared" si="25"/>
        <v>0.12215975545660532</v>
      </c>
      <c r="W38" s="2"/>
      <c r="X38" s="7">
        <f t="shared" si="26"/>
        <v>-1319.5546153845935</v>
      </c>
      <c r="Y38" s="2"/>
      <c r="Z38" s="6">
        <f t="shared" si="27"/>
        <v>-1.6581613715186887E-2</v>
      </c>
    </row>
    <row r="39" spans="1:26" s="24" customFormat="1" hidden="1" outlineLevel="2" x14ac:dyDescent="0.3">
      <c r="A39" s="27"/>
      <c r="B39" s="11" t="str">
        <f>CONCATENATE("          ", "6002", " - ", "STAFF SALARIES")</f>
        <v xml:space="preserve">          6002 - STAFF SALARIES</v>
      </c>
      <c r="C39" s="11"/>
      <c r="D39" s="7">
        <v>24810.84</v>
      </c>
      <c r="E39" s="2"/>
      <c r="F39" s="6">
        <f t="shared" si="20"/>
        <v>1.8408685696987412</v>
      </c>
      <c r="G39" s="2"/>
      <c r="H39" s="7">
        <v>24735.329759615401</v>
      </c>
      <c r="I39" s="2"/>
      <c r="J39" s="6">
        <f t="shared" si="21"/>
        <v>0.16323825643682333</v>
      </c>
      <c r="K39" s="2"/>
      <c r="L39" s="7">
        <f t="shared" si="22"/>
        <v>75.510240384599456</v>
      </c>
      <c r="M39" s="2"/>
      <c r="N39" s="6">
        <f t="shared" si="23"/>
        <v>3.0527282683686986E-3</v>
      </c>
      <c r="O39" s="11"/>
      <c r="P39" s="7">
        <v>159759.09</v>
      </c>
      <c r="Q39" s="2"/>
      <c r="R39" s="6">
        <f t="shared" si="24"/>
        <v>0.26521046984387392</v>
      </c>
      <c r="S39" s="2"/>
      <c r="T39" s="7">
        <v>120873.604509615</v>
      </c>
      <c r="U39" s="2"/>
      <c r="V39" s="6">
        <f t="shared" si="25"/>
        <v>0.18554918512398744</v>
      </c>
      <c r="W39" s="2"/>
      <c r="X39" s="7">
        <f t="shared" si="26"/>
        <v>38885.485490384992</v>
      </c>
      <c r="Y39" s="2"/>
      <c r="Z39" s="6">
        <f t="shared" si="27"/>
        <v>0.32170369741304283</v>
      </c>
    </row>
    <row r="40" spans="1:26" s="24" customFormat="1" hidden="1" outlineLevel="2" x14ac:dyDescent="0.3">
      <c r="A40" s="27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3">
      <c r="A41" s="27"/>
      <c r="B41" s="11" t="str">
        <f>CONCATENATE("          ", "6004", " - ", "STAFF HOURLY")</f>
        <v xml:space="preserve">          6004 - STAFF HOURLY</v>
      </c>
      <c r="C41" s="11"/>
      <c r="D41" s="7">
        <v>9378.99</v>
      </c>
      <c r="E41" s="2"/>
      <c r="F41" s="6">
        <f t="shared" si="20"/>
        <v>0.69588485946138046</v>
      </c>
      <c r="G41" s="2"/>
      <c r="H41" s="7">
        <v>13400.50944</v>
      </c>
      <c r="I41" s="2"/>
      <c r="J41" s="6">
        <f t="shared" si="21"/>
        <v>8.8435279319470206E-2</v>
      </c>
      <c r="K41" s="2"/>
      <c r="L41" s="7">
        <f t="shared" si="22"/>
        <v>-4021.51944</v>
      </c>
      <c r="M41" s="2"/>
      <c r="N41" s="6">
        <f t="shared" si="23"/>
        <v>-0.30010198179450709</v>
      </c>
      <c r="O41" s="11"/>
      <c r="P41" s="7">
        <v>64965.3</v>
      </c>
      <c r="Q41" s="2"/>
      <c r="R41" s="6">
        <f t="shared" si="24"/>
        <v>0.10784661915981258</v>
      </c>
      <c r="S41" s="2"/>
      <c r="T41" s="7">
        <v>97704.379199999996</v>
      </c>
      <c r="U41" s="2"/>
      <c r="V41" s="6">
        <f t="shared" si="25"/>
        <v>0.14998285206397549</v>
      </c>
      <c r="W41" s="2"/>
      <c r="X41" s="7">
        <f t="shared" si="26"/>
        <v>-32739.079199999993</v>
      </c>
      <c r="Y41" s="2"/>
      <c r="Z41" s="6">
        <f t="shared" si="27"/>
        <v>-0.33508302768070802</v>
      </c>
    </row>
    <row r="42" spans="1:26" s="24" customFormat="1" hidden="1" outlineLevel="2" x14ac:dyDescent="0.3">
      <c r="A42" s="27"/>
      <c r="B42" s="11" t="str">
        <f>CONCATENATE("          ", "6005", " - ", "TEMPORARY WAGES-HOURLY")</f>
        <v xml:space="preserve">          6005 - TEMPORARY WAGES-HOURLY</v>
      </c>
      <c r="C42" s="11"/>
      <c r="D42" s="7">
        <v>3234.96</v>
      </c>
      <c r="E42" s="2"/>
      <c r="F42" s="6">
        <f t="shared" si="20"/>
        <v>0.24002154655919108</v>
      </c>
      <c r="G42" s="2"/>
      <c r="H42" s="7">
        <v>8331.2232999999997</v>
      </c>
      <c r="I42" s="2"/>
      <c r="J42" s="6">
        <f t="shared" si="21"/>
        <v>5.4981048512165988E-2</v>
      </c>
      <c r="K42" s="2"/>
      <c r="L42" s="7">
        <f t="shared" si="22"/>
        <v>-5096.2632999999996</v>
      </c>
      <c r="M42" s="2"/>
      <c r="N42" s="6">
        <f t="shared" si="23"/>
        <v>-0.61170648252820203</v>
      </c>
      <c r="O42" s="11"/>
      <c r="P42" s="7">
        <v>65712.479999999996</v>
      </c>
      <c r="Q42" s="2"/>
      <c r="R42" s="6">
        <f t="shared" si="24"/>
        <v>0.10908698650828673</v>
      </c>
      <c r="S42" s="2"/>
      <c r="T42" s="7">
        <v>64937.513299999999</v>
      </c>
      <c r="U42" s="2"/>
      <c r="V42" s="6">
        <f t="shared" si="25"/>
        <v>9.9683489424149993E-2</v>
      </c>
      <c r="W42" s="2"/>
      <c r="X42" s="7">
        <f t="shared" si="26"/>
        <v>774.96669999999722</v>
      </c>
      <c r="Y42" s="2"/>
      <c r="Z42" s="6">
        <f t="shared" si="27"/>
        <v>1.1934037209275109E-2</v>
      </c>
    </row>
    <row r="43" spans="1:26" s="24" customFormat="1" hidden="1" outlineLevel="2" x14ac:dyDescent="0.3">
      <c r="A43" s="27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3">
      <c r="A44" s="27"/>
      <c r="B44" s="11" t="str">
        <f>CONCATENATE("          ", "6007", " - ", "STUDENT HOURLY")</f>
        <v xml:space="preserve">          6007 - STUDENT HOURLY</v>
      </c>
      <c r="C44" s="11"/>
      <c r="D44" s="7">
        <v>6495</v>
      </c>
      <c r="E44" s="2"/>
      <c r="F44" s="6">
        <f t="shared" si="20"/>
        <v>0.48190393232124851</v>
      </c>
      <c r="G44" s="2"/>
      <c r="H44" s="7">
        <v>1415.6956</v>
      </c>
      <c r="I44" s="2"/>
      <c r="J44" s="6">
        <f t="shared" si="21"/>
        <v>9.3427370338351069E-3</v>
      </c>
      <c r="K44" s="2"/>
      <c r="L44" s="7">
        <f t="shared" si="22"/>
        <v>5079.3044</v>
      </c>
      <c r="M44" s="2"/>
      <c r="N44" s="6">
        <f t="shared" si="23"/>
        <v>3.5878506650723501</v>
      </c>
      <c r="O44" s="11"/>
      <c r="P44" s="7">
        <v>80494.64</v>
      </c>
      <c r="Q44" s="2"/>
      <c r="R44" s="6">
        <f t="shared" si="24"/>
        <v>0.13362633258810805</v>
      </c>
      <c r="S44" s="2"/>
      <c r="T44" s="7">
        <v>12745.955599999999</v>
      </c>
      <c r="U44" s="2"/>
      <c r="V44" s="6">
        <f t="shared" si="25"/>
        <v>1.9565906756908186E-2</v>
      </c>
      <c r="W44" s="2"/>
      <c r="X44" s="7">
        <f t="shared" si="26"/>
        <v>67748.684399999998</v>
      </c>
      <c r="Y44" s="2"/>
      <c r="Z44" s="6">
        <f t="shared" si="27"/>
        <v>5.3153083633839113</v>
      </c>
    </row>
    <row r="45" spans="1:26" s="24" customFormat="1" hidden="1" outlineLevel="2" x14ac:dyDescent="0.3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7"/>
      <c r="E45" s="2"/>
      <c r="F45" s="6">
        <f t="shared" si="20"/>
        <v>0</v>
      </c>
      <c r="G45" s="2"/>
      <c r="H45" s="7">
        <v>20547.835950000001</v>
      </c>
      <c r="I45" s="2"/>
      <c r="J45" s="6">
        <f t="shared" si="21"/>
        <v>0.13560332312626627</v>
      </c>
      <c r="K45" s="2"/>
      <c r="L45" s="7">
        <f t="shared" si="22"/>
        <v>-20547.835950000001</v>
      </c>
      <c r="M45" s="2"/>
      <c r="N45" s="6">
        <f t="shared" si="23"/>
        <v>-1</v>
      </c>
      <c r="O45" s="11"/>
      <c r="P45" s="7"/>
      <c r="Q45" s="2"/>
      <c r="R45" s="6">
        <f t="shared" si="24"/>
        <v>0</v>
      </c>
      <c r="S45" s="2"/>
      <c r="T45" s="7">
        <v>73981.90595</v>
      </c>
      <c r="U45" s="2"/>
      <c r="V45" s="6">
        <f t="shared" si="25"/>
        <v>0.11356724587335383</v>
      </c>
      <c r="W45" s="2"/>
      <c r="X45" s="7">
        <f t="shared" si="26"/>
        <v>-73981.90595</v>
      </c>
      <c r="Y45" s="2"/>
      <c r="Z45" s="6">
        <f t="shared" si="27"/>
        <v>-1</v>
      </c>
    </row>
    <row r="46" spans="1:26" s="24" customFormat="1" hidden="1" outlineLevel="2" x14ac:dyDescent="0.3">
      <c r="A46" s="27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3">
      <c r="A47" s="27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8" customFormat="1" outlineLevel="1" collapsed="1" x14ac:dyDescent="0.3">
      <c r="A48" s="29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261.93</v>
      </c>
      <c r="E48" s="1"/>
      <c r="F48" s="5">
        <f t="shared" ref="F48:F56" si="28">IF(D$12=0,0,D48/D$12)</f>
        <v>1.9434195072040743E-2</v>
      </c>
      <c r="G48" s="1"/>
      <c r="H48" s="1">
        <f>SUM(OSRRefH22_2x_0)</f>
        <v>0</v>
      </c>
      <c r="I48" s="1"/>
      <c r="J48" s="5">
        <f t="shared" ref="J48:J56" si="29">IF(H$12=0,0,H48/H$12)</f>
        <v>0</v>
      </c>
      <c r="K48" s="1"/>
      <c r="L48" s="1">
        <f t="shared" ref="L48:L56" si="30">+D48-H48</f>
        <v>261.93</v>
      </c>
      <c r="M48" s="1"/>
      <c r="N48" s="5">
        <f t="shared" ref="N48:N56" si="31">IF(H48=0,0,L48/H48)</f>
        <v>0</v>
      </c>
      <c r="O48" s="14"/>
      <c r="P48" s="1">
        <f>SUM(OSRRefP22_2x_0)</f>
        <v>1175.29</v>
      </c>
      <c r="Q48" s="1"/>
      <c r="R48" s="5">
        <f t="shared" ref="R48:R56" si="32">IF(P$12=0,0,P48/P$12)</f>
        <v>1.9510577651813525E-3</v>
      </c>
      <c r="S48" s="1"/>
      <c r="T48" s="1">
        <f>SUM(OSRRefT22_2x_0)</f>
        <v>0</v>
      </c>
      <c r="U48" s="1"/>
      <c r="V48" s="5">
        <f t="shared" ref="V48:V56" si="33">IF(T$12=0,0,T48/T$12)</f>
        <v>0</v>
      </c>
      <c r="W48" s="1"/>
      <c r="X48" s="1">
        <f t="shared" ref="X48:X56" si="34">+P48-T48</f>
        <v>1175.29</v>
      </c>
      <c r="Y48" s="1"/>
      <c r="Z48" s="5">
        <f t="shared" ref="Z48:Z56" si="35">IF(T48=0,0,X48/T48)</f>
        <v>0</v>
      </c>
    </row>
    <row r="49" spans="1:26" s="24" customFormat="1" hidden="1" outlineLevel="2" x14ac:dyDescent="0.3">
      <c r="A49" s="27"/>
      <c r="B49" s="11" t="str">
        <f>CONCATENATE("          ", "6362", " - ", "ADVERTISING EXPENSE")</f>
        <v xml:space="preserve">          6362 - ADVERTISING EXPENSE</v>
      </c>
      <c r="C49" s="11"/>
      <c r="D49" s="7">
        <v>261.93</v>
      </c>
      <c r="E49" s="2"/>
      <c r="F49" s="6">
        <f t="shared" si="28"/>
        <v>1.9434195072040743E-2</v>
      </c>
      <c r="G49" s="2"/>
      <c r="H49" s="7"/>
      <c r="I49" s="2"/>
      <c r="J49" s="6">
        <f t="shared" si="29"/>
        <v>0</v>
      </c>
      <c r="K49" s="2"/>
      <c r="L49" s="7">
        <f t="shared" si="30"/>
        <v>261.93</v>
      </c>
      <c r="M49" s="2"/>
      <c r="N49" s="6">
        <f t="shared" si="31"/>
        <v>0</v>
      </c>
      <c r="O49" s="11"/>
      <c r="P49" s="7">
        <v>1175.29</v>
      </c>
      <c r="Q49" s="2"/>
      <c r="R49" s="6">
        <f t="shared" si="32"/>
        <v>1.9510577651813525E-3</v>
      </c>
      <c r="S49" s="2"/>
      <c r="T49" s="7"/>
      <c r="U49" s="2"/>
      <c r="V49" s="6">
        <f t="shared" si="33"/>
        <v>0</v>
      </c>
      <c r="W49" s="2"/>
      <c r="X49" s="7">
        <f t="shared" si="34"/>
        <v>1175.29</v>
      </c>
      <c r="Y49" s="2"/>
      <c r="Z49" s="6">
        <f t="shared" si="35"/>
        <v>0</v>
      </c>
    </row>
    <row r="50" spans="1:26" s="28" customFormat="1" outlineLevel="1" collapsed="1" x14ac:dyDescent="0.3">
      <c r="A50" s="29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-1.04</v>
      </c>
      <c r="E50" s="1"/>
      <c r="F50" s="5">
        <f t="shared" si="28"/>
        <v>-7.7163986083771894E-5</v>
      </c>
      <c r="G50" s="1"/>
      <c r="H50" s="1">
        <f>SUM(OSRRefH22_3x_0)</f>
        <v>0</v>
      </c>
      <c r="I50" s="1"/>
      <c r="J50" s="5">
        <f t="shared" si="29"/>
        <v>0</v>
      </c>
      <c r="K50" s="1"/>
      <c r="L50" s="1">
        <f t="shared" si="30"/>
        <v>-1.04</v>
      </c>
      <c r="M50" s="1"/>
      <c r="N50" s="5">
        <f t="shared" si="31"/>
        <v>0</v>
      </c>
      <c r="O50" s="14"/>
      <c r="P50" s="1">
        <f>SUM(OSRRefP22_3x_0)</f>
        <v>-81.95</v>
      </c>
      <c r="Q50" s="1"/>
      <c r="R50" s="5">
        <f t="shared" si="32"/>
        <v>-1.360423247510077E-4</v>
      </c>
      <c r="S50" s="1"/>
      <c r="T50" s="1">
        <f>SUM(OSRRefT22_3x_0)</f>
        <v>50</v>
      </c>
      <c r="U50" s="1"/>
      <c r="V50" s="5">
        <f t="shared" si="33"/>
        <v>7.6753392883732426E-5</v>
      </c>
      <c r="W50" s="1"/>
      <c r="X50" s="1">
        <f t="shared" si="34"/>
        <v>-131.94999999999999</v>
      </c>
      <c r="Y50" s="1"/>
      <c r="Z50" s="5">
        <f t="shared" si="35"/>
        <v>-2.6389999999999998</v>
      </c>
    </row>
    <row r="51" spans="1:26" s="24" customFormat="1" hidden="1" outlineLevel="2" x14ac:dyDescent="0.3">
      <c r="A51" s="27"/>
      <c r="B51" s="11" t="str">
        <f>CONCATENATE("          ", "6272", " - ", "CASH (OVER/SHORT)")</f>
        <v xml:space="preserve">          6272 - CASH (OVER/SHORT)</v>
      </c>
      <c r="C51" s="11"/>
      <c r="D51" s="7">
        <v>-1.04</v>
      </c>
      <c r="E51" s="2"/>
      <c r="F51" s="6">
        <f t="shared" si="28"/>
        <v>-7.7163986083771894E-5</v>
      </c>
      <c r="G51" s="2"/>
      <c r="H51" s="7"/>
      <c r="I51" s="2"/>
      <c r="J51" s="6">
        <f t="shared" si="29"/>
        <v>0</v>
      </c>
      <c r="K51" s="2"/>
      <c r="L51" s="7">
        <f t="shared" si="30"/>
        <v>-1.04</v>
      </c>
      <c r="M51" s="2"/>
      <c r="N51" s="6">
        <f t="shared" si="31"/>
        <v>0</v>
      </c>
      <c r="O51" s="11"/>
      <c r="P51" s="7">
        <v>-81.95</v>
      </c>
      <c r="Q51" s="2"/>
      <c r="R51" s="6">
        <f t="shared" si="32"/>
        <v>-1.360423247510077E-4</v>
      </c>
      <c r="S51" s="2"/>
      <c r="T51" s="7">
        <v>50</v>
      </c>
      <c r="U51" s="2"/>
      <c r="V51" s="6">
        <f t="shared" si="33"/>
        <v>7.6753392883732426E-5</v>
      </c>
      <c r="W51" s="2"/>
      <c r="X51" s="7">
        <f t="shared" si="34"/>
        <v>-131.94999999999999</v>
      </c>
      <c r="Y51" s="2"/>
      <c r="Z51" s="6">
        <f t="shared" si="35"/>
        <v>-2.6389999999999998</v>
      </c>
    </row>
    <row r="52" spans="1:26" s="28" customFormat="1" outlineLevel="1" collapsed="1" x14ac:dyDescent="0.3">
      <c r="A52" s="29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546.46</v>
      </c>
      <c r="E52" s="1"/>
      <c r="F52" s="5">
        <f t="shared" si="28"/>
        <v>4.054522291859422E-2</v>
      </c>
      <c r="G52" s="1"/>
      <c r="H52" s="1">
        <f>SUM(OSRRefH22_4x_0)</f>
        <v>7303</v>
      </c>
      <c r="I52" s="1"/>
      <c r="J52" s="5">
        <f t="shared" si="29"/>
        <v>4.81953949409024E-2</v>
      </c>
      <c r="K52" s="1"/>
      <c r="L52" s="1">
        <f t="shared" si="30"/>
        <v>-6756.54</v>
      </c>
      <c r="M52" s="1"/>
      <c r="N52" s="5">
        <f t="shared" si="31"/>
        <v>-0.9251732164863754</v>
      </c>
      <c r="O52" s="14"/>
      <c r="P52" s="1">
        <f>SUM(OSRRefP22_4x_0)</f>
        <v>23096.32</v>
      </c>
      <c r="Q52" s="1"/>
      <c r="R52" s="5">
        <f t="shared" si="32"/>
        <v>3.8341391897415422E-2</v>
      </c>
      <c r="S52" s="1"/>
      <c r="T52" s="1">
        <f>SUM(OSRRefT22_4x_0)</f>
        <v>33515</v>
      </c>
      <c r="U52" s="1"/>
      <c r="V52" s="5">
        <f t="shared" si="33"/>
        <v>5.1447799249965842E-2</v>
      </c>
      <c r="W52" s="1"/>
      <c r="X52" s="1">
        <f t="shared" si="34"/>
        <v>-10418.68</v>
      </c>
      <c r="Y52" s="1"/>
      <c r="Z52" s="5">
        <f t="shared" si="35"/>
        <v>-0.31086617932269134</v>
      </c>
    </row>
    <row r="53" spans="1:26" s="24" customFormat="1" hidden="1" outlineLevel="2" x14ac:dyDescent="0.3">
      <c r="A53" s="27"/>
      <c r="B53" s="11" t="str">
        <f>CONCATENATE("          ", "6381", " - ", "BANK/CREDIT CARD FEES")</f>
        <v xml:space="preserve">          6381 - BANK/CREDIT CARD FEES</v>
      </c>
      <c r="C53" s="11"/>
      <c r="D53" s="7">
        <v>546.46</v>
      </c>
      <c r="E53" s="2"/>
      <c r="F53" s="6">
        <f t="shared" si="28"/>
        <v>4.054522291859422E-2</v>
      </c>
      <c r="G53" s="2"/>
      <c r="H53" s="7">
        <v>7303</v>
      </c>
      <c r="I53" s="2"/>
      <c r="J53" s="6">
        <f t="shared" si="29"/>
        <v>4.81953949409024E-2</v>
      </c>
      <c r="K53" s="2"/>
      <c r="L53" s="7">
        <f t="shared" si="30"/>
        <v>-6756.54</v>
      </c>
      <c r="M53" s="2"/>
      <c r="N53" s="6">
        <f t="shared" si="31"/>
        <v>-0.9251732164863754</v>
      </c>
      <c r="O53" s="11"/>
      <c r="P53" s="7">
        <v>23096.32</v>
      </c>
      <c r="Q53" s="2"/>
      <c r="R53" s="6">
        <f t="shared" si="32"/>
        <v>3.8341391897415422E-2</v>
      </c>
      <c r="S53" s="2"/>
      <c r="T53" s="7">
        <v>33515</v>
      </c>
      <c r="U53" s="2"/>
      <c r="V53" s="6">
        <f t="shared" si="33"/>
        <v>5.1447799249965842E-2</v>
      </c>
      <c r="W53" s="2"/>
      <c r="X53" s="7">
        <f t="shared" si="34"/>
        <v>-10418.68</v>
      </c>
      <c r="Y53" s="2"/>
      <c r="Z53" s="6">
        <f t="shared" si="35"/>
        <v>-0.31086617932269134</v>
      </c>
    </row>
    <row r="54" spans="1:26" s="28" customFormat="1" outlineLevel="1" collapsed="1" x14ac:dyDescent="0.3">
      <c r="A54" s="29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32782.04</v>
      </c>
      <c r="E54" s="1"/>
      <c r="F54" s="5">
        <f t="shared" si="28"/>
        <v>2.4323008445746668</v>
      </c>
      <c r="G54" s="1"/>
      <c r="H54" s="1">
        <f>SUM(OSRRefH22_5x_0)</f>
        <v>32783</v>
      </c>
      <c r="I54" s="1"/>
      <c r="J54" s="5">
        <f t="shared" si="29"/>
        <v>0.21634802579044277</v>
      </c>
      <c r="K54" s="1"/>
      <c r="L54" s="1">
        <f t="shared" si="30"/>
        <v>-0.95999999999912689</v>
      </c>
      <c r="M54" s="1"/>
      <c r="N54" s="5">
        <f t="shared" si="31"/>
        <v>-2.9283470091179176E-5</v>
      </c>
      <c r="O54" s="14"/>
      <c r="P54" s="1">
        <f>SUM(OSRRefP22_5x_0)</f>
        <v>229562.42</v>
      </c>
      <c r="Q54" s="1"/>
      <c r="R54" s="5">
        <f t="shared" si="32"/>
        <v>0.38108853315762325</v>
      </c>
      <c r="S54" s="1"/>
      <c r="T54" s="1">
        <f>SUM(OSRRefT22_5x_0)</f>
        <v>229569</v>
      </c>
      <c r="U54" s="1"/>
      <c r="V54" s="5">
        <f t="shared" si="33"/>
        <v>0.35240399301851139</v>
      </c>
      <c r="W54" s="1"/>
      <c r="X54" s="1">
        <f t="shared" si="34"/>
        <v>-6.5799999999871943</v>
      </c>
      <c r="Y54" s="1"/>
      <c r="Z54" s="5">
        <f t="shared" si="35"/>
        <v>-2.8662406509533928E-5</v>
      </c>
    </row>
    <row r="55" spans="1:26" s="24" customFormat="1" hidden="1" outlineLevel="2" x14ac:dyDescent="0.3">
      <c r="A55" s="27"/>
      <c r="B55" s="11" t="str">
        <f>CONCATENATE("          ", "6321", " - ", "BUILDING DEPRECIATION")</f>
        <v xml:space="preserve">          6321 - BUILDING DEPRECIATION</v>
      </c>
      <c r="C55" s="11"/>
      <c r="D55" s="7">
        <v>23539.4</v>
      </c>
      <c r="E55" s="2"/>
      <c r="F55" s="6">
        <f t="shared" si="28"/>
        <v>1.7465326288657117</v>
      </c>
      <c r="G55" s="2"/>
      <c r="H55" s="7"/>
      <c r="I55" s="2"/>
      <c r="J55" s="6">
        <f t="shared" si="29"/>
        <v>0</v>
      </c>
      <c r="K55" s="2"/>
      <c r="L55" s="7">
        <f t="shared" si="30"/>
        <v>23539.4</v>
      </c>
      <c r="M55" s="2"/>
      <c r="N55" s="6">
        <f t="shared" si="31"/>
        <v>0</v>
      </c>
      <c r="O55" s="11"/>
      <c r="P55" s="7">
        <v>164863.94</v>
      </c>
      <c r="Q55" s="2"/>
      <c r="R55" s="6">
        <f t="shared" si="32"/>
        <v>0.27368485253460217</v>
      </c>
      <c r="S55" s="2"/>
      <c r="T55" s="7"/>
      <c r="U55" s="2"/>
      <c r="V55" s="6">
        <f t="shared" si="33"/>
        <v>0</v>
      </c>
      <c r="W55" s="2"/>
      <c r="X55" s="7">
        <f t="shared" si="34"/>
        <v>164863.94</v>
      </c>
      <c r="Y55" s="2"/>
      <c r="Z55" s="6">
        <f t="shared" si="35"/>
        <v>0</v>
      </c>
    </row>
    <row r="56" spans="1:26" s="24" customFormat="1" hidden="1" outlineLevel="2" x14ac:dyDescent="0.3">
      <c r="A56" s="27"/>
      <c r="B56" s="11" t="str">
        <f>CONCATENATE("          ", "6322", " - ", "EQUIPMENT DEPRECIATION EXPENSE")</f>
        <v xml:space="preserve">          6322 - EQUIPMENT DEPRECIATION EXPENSE</v>
      </c>
      <c r="C56" s="11"/>
      <c r="D56" s="7">
        <v>9242.64</v>
      </c>
      <c r="E56" s="2"/>
      <c r="F56" s="6">
        <f t="shared" si="28"/>
        <v>0.68576821570895519</v>
      </c>
      <c r="G56" s="2"/>
      <c r="H56" s="7">
        <v>32783</v>
      </c>
      <c r="I56" s="2"/>
      <c r="J56" s="6">
        <f t="shared" si="29"/>
        <v>0.21634802579044277</v>
      </c>
      <c r="K56" s="2"/>
      <c r="L56" s="7">
        <f t="shared" si="30"/>
        <v>-23540.36</v>
      </c>
      <c r="M56" s="2"/>
      <c r="N56" s="6">
        <f t="shared" si="31"/>
        <v>-0.71806607082939333</v>
      </c>
      <c r="O56" s="11"/>
      <c r="P56" s="7">
        <v>64698.48</v>
      </c>
      <c r="Q56" s="2"/>
      <c r="R56" s="6">
        <f t="shared" si="32"/>
        <v>0.10740368062302107</v>
      </c>
      <c r="S56" s="2"/>
      <c r="T56" s="7">
        <v>229569</v>
      </c>
      <c r="U56" s="2"/>
      <c r="V56" s="6">
        <f t="shared" si="33"/>
        <v>0.35240399301851139</v>
      </c>
      <c r="W56" s="2"/>
      <c r="X56" s="7">
        <f t="shared" si="34"/>
        <v>-164870.51999999999</v>
      </c>
      <c r="Y56" s="2"/>
      <c r="Z56" s="6">
        <f t="shared" si="35"/>
        <v>-0.71817414372149546</v>
      </c>
    </row>
    <row r="57" spans="1:26" s="28" customFormat="1" outlineLevel="1" collapsed="1" x14ac:dyDescent="0.3">
      <c r="A57" s="29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SUM(OSRRefD22_6x_0)</f>
        <v>0</v>
      </c>
      <c r="E57" s="1"/>
      <c r="F57" s="5">
        <f t="shared" ref="F57:F63" si="36">IF(D$12=0,0,D57/D$12)</f>
        <v>0</v>
      </c>
      <c r="G57" s="1"/>
      <c r="H57" s="1">
        <f>SUM(OSRRefH22_6x_0)</f>
        <v>20</v>
      </c>
      <c r="I57" s="1"/>
      <c r="J57" s="5">
        <f t="shared" ref="J57:J63" si="37">IF(H$12=0,0,H57/H$12)</f>
        <v>1.3198793630262194E-4</v>
      </c>
      <c r="K57" s="1"/>
      <c r="L57" s="1">
        <f t="shared" ref="L57:L63" si="38">+D57-H57</f>
        <v>-20</v>
      </c>
      <c r="M57" s="1"/>
      <c r="N57" s="5">
        <f t="shared" ref="N57:N63" si="39">IF(H57=0,0,L57/H57)</f>
        <v>-1</v>
      </c>
      <c r="O57" s="14"/>
      <c r="P57" s="1">
        <f>SUM(OSRRefP22_6x_0)</f>
        <v>314.87</v>
      </c>
      <c r="Q57" s="1"/>
      <c r="R57" s="5">
        <f t="shared" ref="R57:R63" si="40">IF(P$12=0,0,P57/P$12)</f>
        <v>5.2270465886943007E-4</v>
      </c>
      <c r="S57" s="1"/>
      <c r="T57" s="1">
        <f>SUM(OSRRefT22_6x_0)</f>
        <v>230</v>
      </c>
      <c r="U57" s="1"/>
      <c r="V57" s="5">
        <f t="shared" ref="V57:V63" si="41">IF(T$12=0,0,T57/T$12)</f>
        <v>3.5306560726516915E-4</v>
      </c>
      <c r="W57" s="1"/>
      <c r="X57" s="1">
        <f t="shared" ref="X57:X63" si="42">+P57-T57</f>
        <v>84.87</v>
      </c>
      <c r="Y57" s="1"/>
      <c r="Z57" s="5">
        <f t="shared" ref="Z57:Z63" si="43">IF(T57=0,0,X57/T57)</f>
        <v>0.36899999999999999</v>
      </c>
    </row>
    <row r="58" spans="1:26" s="24" customFormat="1" hidden="1" outlineLevel="2" x14ac:dyDescent="0.3">
      <c r="A58" s="27"/>
      <c r="B58" s="11" t="str">
        <f>CONCATENATE("          ", "6277", " - ", "EMPLOYEE APPRECIATION")</f>
        <v xml:space="preserve">          6277 - EMPLOYEE APPRECIATION</v>
      </c>
      <c r="C58" s="11"/>
      <c r="D58" s="7"/>
      <c r="E58" s="2"/>
      <c r="F58" s="6">
        <f t="shared" si="36"/>
        <v>0</v>
      </c>
      <c r="G58" s="2"/>
      <c r="H58" s="7">
        <v>20</v>
      </c>
      <c r="I58" s="2"/>
      <c r="J58" s="6">
        <f t="shared" si="37"/>
        <v>1.3198793630262194E-4</v>
      </c>
      <c r="K58" s="2"/>
      <c r="L58" s="7">
        <f t="shared" si="38"/>
        <v>-20</v>
      </c>
      <c r="M58" s="2"/>
      <c r="N58" s="6">
        <f t="shared" si="39"/>
        <v>-1</v>
      </c>
      <c r="O58" s="11"/>
      <c r="P58" s="7">
        <v>314.87</v>
      </c>
      <c r="Q58" s="2"/>
      <c r="R58" s="6">
        <f t="shared" si="40"/>
        <v>5.2270465886943007E-4</v>
      </c>
      <c r="S58" s="2"/>
      <c r="T58" s="7">
        <v>230</v>
      </c>
      <c r="U58" s="2"/>
      <c r="V58" s="6">
        <f t="shared" si="41"/>
        <v>3.5306560726516915E-4</v>
      </c>
      <c r="W58" s="2"/>
      <c r="X58" s="7">
        <f t="shared" si="42"/>
        <v>84.87</v>
      </c>
      <c r="Y58" s="2"/>
      <c r="Z58" s="6">
        <f t="shared" si="43"/>
        <v>0.36899999999999999</v>
      </c>
    </row>
    <row r="59" spans="1:26" s="28" customFormat="1" outlineLevel="1" collapsed="1" x14ac:dyDescent="0.3">
      <c r="A59" s="29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SUM(OSRRefD22_7x_0)</f>
        <v>958.04</v>
      </c>
      <c r="E59" s="1"/>
      <c r="F59" s="5">
        <f t="shared" si="36"/>
        <v>7.1082870411246946E-2</v>
      </c>
      <c r="G59" s="1"/>
      <c r="H59" s="1">
        <f>SUM(OSRRefH22_7x_0)</f>
        <v>775</v>
      </c>
      <c r="I59" s="1"/>
      <c r="J59" s="5">
        <f t="shared" si="37"/>
        <v>5.1145325317266E-3</v>
      </c>
      <c r="K59" s="1"/>
      <c r="L59" s="1">
        <f t="shared" si="38"/>
        <v>183.03999999999996</v>
      </c>
      <c r="M59" s="1"/>
      <c r="N59" s="5">
        <f t="shared" si="39"/>
        <v>0.23618064516129028</v>
      </c>
      <c r="O59" s="14"/>
      <c r="P59" s="1">
        <f>SUM(OSRRefP22_7x_0)</f>
        <v>6326.19</v>
      </c>
      <c r="Q59" s="1"/>
      <c r="R59" s="5">
        <f t="shared" si="40"/>
        <v>1.050188644803633E-2</v>
      </c>
      <c r="S59" s="1"/>
      <c r="T59" s="1">
        <f>SUM(OSRRefT22_7x_0)</f>
        <v>5425</v>
      </c>
      <c r="U59" s="1"/>
      <c r="V59" s="5">
        <f t="shared" si="41"/>
        <v>8.3277431278849685E-3</v>
      </c>
      <c r="W59" s="1"/>
      <c r="X59" s="1">
        <f t="shared" si="42"/>
        <v>901.1899999999996</v>
      </c>
      <c r="Y59" s="1"/>
      <c r="Z59" s="5">
        <f t="shared" si="43"/>
        <v>0.16611797235023035</v>
      </c>
    </row>
    <row r="60" spans="1:26" s="24" customFormat="1" hidden="1" outlineLevel="2" x14ac:dyDescent="0.3">
      <c r="A60" s="27"/>
      <c r="B60" s="11" t="str">
        <f>CONCATENATE("          ", "6351", " - ", "EQUIPMENT RENTAL")</f>
        <v xml:space="preserve">          6351 - EQUIPMENT RENTAL</v>
      </c>
      <c r="C60" s="11"/>
      <c r="D60" s="7">
        <v>958.04</v>
      </c>
      <c r="E60" s="2"/>
      <c r="F60" s="6">
        <f t="shared" si="36"/>
        <v>7.1082870411246946E-2</v>
      </c>
      <c r="G60" s="2"/>
      <c r="H60" s="7">
        <v>775</v>
      </c>
      <c r="I60" s="2"/>
      <c r="J60" s="6">
        <f t="shared" si="37"/>
        <v>5.1145325317266E-3</v>
      </c>
      <c r="K60" s="2"/>
      <c r="L60" s="7">
        <f t="shared" si="38"/>
        <v>183.03999999999996</v>
      </c>
      <c r="M60" s="2"/>
      <c r="N60" s="6">
        <f t="shared" si="39"/>
        <v>0.23618064516129028</v>
      </c>
      <c r="O60" s="11"/>
      <c r="P60" s="7">
        <v>6326.19</v>
      </c>
      <c r="Q60" s="2"/>
      <c r="R60" s="6">
        <f t="shared" si="40"/>
        <v>1.050188644803633E-2</v>
      </c>
      <c r="S60" s="2"/>
      <c r="T60" s="7">
        <v>5425</v>
      </c>
      <c r="U60" s="2"/>
      <c r="V60" s="6">
        <f t="shared" si="41"/>
        <v>8.3277431278849685E-3</v>
      </c>
      <c r="W60" s="2"/>
      <c r="X60" s="7">
        <f t="shared" si="42"/>
        <v>901.1899999999996</v>
      </c>
      <c r="Y60" s="2"/>
      <c r="Z60" s="6">
        <f t="shared" si="43"/>
        <v>0.16611797235023035</v>
      </c>
    </row>
    <row r="61" spans="1:26" s="28" customFormat="1" outlineLevel="1" collapsed="1" x14ac:dyDescent="0.3">
      <c r="A61" s="29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SUM(OSRRefD22_8x_0)</f>
        <v>1226.18</v>
      </c>
      <c r="E61" s="1"/>
      <c r="F61" s="5">
        <f t="shared" si="36"/>
        <v>9.0977823515576359E-2</v>
      </c>
      <c r="G61" s="1"/>
      <c r="H61" s="1">
        <f>SUM(OSRRefH22_8x_0)</f>
        <v>250</v>
      </c>
      <c r="I61" s="1"/>
      <c r="J61" s="5">
        <f t="shared" si="37"/>
        <v>1.6498492037827742E-3</v>
      </c>
      <c r="K61" s="1"/>
      <c r="L61" s="1">
        <f t="shared" si="38"/>
        <v>976.18000000000006</v>
      </c>
      <c r="M61" s="1"/>
      <c r="N61" s="5">
        <f t="shared" si="39"/>
        <v>3.9047200000000002</v>
      </c>
      <c r="O61" s="14"/>
      <c r="P61" s="1">
        <f>SUM(OSRRefP22_8x_0)</f>
        <v>16026.44</v>
      </c>
      <c r="Q61" s="1"/>
      <c r="R61" s="5">
        <f t="shared" si="40"/>
        <v>2.6604931727669798E-2</v>
      </c>
      <c r="S61" s="1"/>
      <c r="T61" s="1">
        <f>SUM(OSRRefT22_8x_0)</f>
        <v>5440</v>
      </c>
      <c r="U61" s="1"/>
      <c r="V61" s="5">
        <f t="shared" si="41"/>
        <v>8.3507691457500883E-3</v>
      </c>
      <c r="W61" s="1"/>
      <c r="X61" s="1">
        <f t="shared" si="42"/>
        <v>10586.44</v>
      </c>
      <c r="Y61" s="1"/>
      <c r="Z61" s="5">
        <f t="shared" si="43"/>
        <v>1.9460367647058825</v>
      </c>
    </row>
    <row r="62" spans="1:26" s="24" customFormat="1" hidden="1" outlineLevel="2" x14ac:dyDescent="0.3">
      <c r="A62" s="27"/>
      <c r="B62" s="11" t="str">
        <f>CONCATENATE("          ", "6269", " - ", "ENTERTAINMENT")</f>
        <v xml:space="preserve">          6269 - ENTERTAINMENT</v>
      </c>
      <c r="C62" s="11"/>
      <c r="D62" s="7"/>
      <c r="E62" s="2"/>
      <c r="F62" s="6">
        <f t="shared" si="36"/>
        <v>0</v>
      </c>
      <c r="G62" s="2"/>
      <c r="H62" s="7">
        <v>250</v>
      </c>
      <c r="I62" s="2"/>
      <c r="J62" s="6">
        <f t="shared" si="37"/>
        <v>1.6498492037827742E-3</v>
      </c>
      <c r="K62" s="2"/>
      <c r="L62" s="7">
        <f t="shared" si="38"/>
        <v>-250</v>
      </c>
      <c r="M62" s="2"/>
      <c r="N62" s="6">
        <f t="shared" si="39"/>
        <v>-1</v>
      </c>
      <c r="O62" s="11"/>
      <c r="P62" s="7"/>
      <c r="Q62" s="2"/>
      <c r="R62" s="6">
        <f t="shared" si="40"/>
        <v>0</v>
      </c>
      <c r="S62" s="2"/>
      <c r="T62" s="7">
        <v>250</v>
      </c>
      <c r="U62" s="2"/>
      <c r="V62" s="6">
        <f t="shared" si="41"/>
        <v>3.8376696441866213E-4</v>
      </c>
      <c r="W62" s="2"/>
      <c r="X62" s="7">
        <f t="shared" si="42"/>
        <v>-250</v>
      </c>
      <c r="Y62" s="2"/>
      <c r="Z62" s="6">
        <f t="shared" si="43"/>
        <v>-1</v>
      </c>
    </row>
    <row r="63" spans="1:26" s="24" customFormat="1" hidden="1" outlineLevel="2" x14ac:dyDescent="0.3">
      <c r="A63" s="27"/>
      <c r="B63" s="11" t="str">
        <f>CONCATENATE("          ", "6279", " - ", "GENERAL EXPENSE")</f>
        <v xml:space="preserve">          6279 - GENERAL EXPENSE</v>
      </c>
      <c r="C63" s="11"/>
      <c r="D63" s="7">
        <v>1226.18</v>
      </c>
      <c r="E63" s="2"/>
      <c r="F63" s="6">
        <f t="shared" si="36"/>
        <v>9.0977823515576359E-2</v>
      </c>
      <c r="G63" s="2"/>
      <c r="H63" s="7"/>
      <c r="I63" s="2"/>
      <c r="J63" s="6">
        <f t="shared" si="37"/>
        <v>0</v>
      </c>
      <c r="K63" s="2"/>
      <c r="L63" s="7">
        <f t="shared" si="38"/>
        <v>1226.18</v>
      </c>
      <c r="M63" s="2"/>
      <c r="N63" s="6">
        <f t="shared" si="39"/>
        <v>0</v>
      </c>
      <c r="O63" s="11"/>
      <c r="P63" s="7">
        <v>16026.44</v>
      </c>
      <c r="Q63" s="2"/>
      <c r="R63" s="6">
        <f t="shared" si="40"/>
        <v>2.6604931727669798E-2</v>
      </c>
      <c r="S63" s="2"/>
      <c r="T63" s="7">
        <v>5190</v>
      </c>
      <c r="U63" s="2"/>
      <c r="V63" s="6">
        <f t="shared" si="41"/>
        <v>7.9670021813314264E-3</v>
      </c>
      <c r="W63" s="2"/>
      <c r="X63" s="7">
        <f t="shared" si="42"/>
        <v>10836.44</v>
      </c>
      <c r="Y63" s="2"/>
      <c r="Z63" s="6">
        <f t="shared" si="43"/>
        <v>2.0879460500963392</v>
      </c>
    </row>
    <row r="64" spans="1:26" s="28" customFormat="1" outlineLevel="1" collapsed="1" x14ac:dyDescent="0.3">
      <c r="A64" s="29"/>
      <c r="B64" s="14" t="str">
        <f>CONCATENATE("     ","Insurance                                         ")</f>
        <v xml:space="preserve">     Insurance                                         </v>
      </c>
      <c r="C64" s="14"/>
      <c r="D64" s="1">
        <f>SUM(OSRRefD22_9x_0)</f>
        <v>5756.21</v>
      </c>
      <c r="E64" s="1"/>
      <c r="F64" s="5">
        <f t="shared" ref="F64:F74" si="44">IF(D$12=0,0,D64/D$12)</f>
        <v>0.42708856570698905</v>
      </c>
      <c r="G64" s="1"/>
      <c r="H64" s="1">
        <f>SUM(OSRRefH22_9x_0)</f>
        <v>5670</v>
      </c>
      <c r="I64" s="1"/>
      <c r="J64" s="5">
        <f t="shared" ref="J64:J74" si="45">IF(H$12=0,0,H64/H$12)</f>
        <v>3.7418579941793317E-2</v>
      </c>
      <c r="K64" s="1"/>
      <c r="L64" s="1">
        <f t="shared" ref="L64:L74" si="46">+D64-H64</f>
        <v>86.210000000000036</v>
      </c>
      <c r="M64" s="1"/>
      <c r="N64" s="5">
        <f t="shared" ref="N64:N74" si="47">IF(H64=0,0,L64/H64)</f>
        <v>1.5204585537918877E-2</v>
      </c>
      <c r="O64" s="14"/>
      <c r="P64" s="1">
        <f>SUM(OSRRefP22_9x_0)</f>
        <v>47176.47</v>
      </c>
      <c r="Q64" s="1"/>
      <c r="R64" s="5">
        <f t="shared" ref="R64:R74" si="48">IF(P$12=0,0,P64/P$12)</f>
        <v>7.8316005519782461E-2</v>
      </c>
      <c r="S64" s="1"/>
      <c r="T64" s="1">
        <f>SUM(OSRRefT22_9x_0)</f>
        <v>39690</v>
      </c>
      <c r="U64" s="1"/>
      <c r="V64" s="5">
        <f t="shared" ref="V64:V74" si="49">IF(T$12=0,0,T64/T$12)</f>
        <v>6.0926843271106798E-2</v>
      </c>
      <c r="W64" s="1"/>
      <c r="X64" s="1">
        <f t="shared" ref="X64:X74" si="50">+P64-T64</f>
        <v>7486.4700000000012</v>
      </c>
      <c r="Y64" s="1"/>
      <c r="Z64" s="5">
        <f t="shared" ref="Z64:Z74" si="51">IF(T64=0,0,X64/T64)</f>
        <v>0.18862358276643995</v>
      </c>
    </row>
    <row r="65" spans="1:26" s="24" customFormat="1" hidden="1" outlineLevel="2" x14ac:dyDescent="0.3">
      <c r="A65" s="27"/>
      <c r="B65" s="11" t="str">
        <f>CONCATENATE("          ", "6314", " - ", "LIABILITY INSURANCE")</f>
        <v xml:space="preserve">          6314 - LIABILITY INSURANCE</v>
      </c>
      <c r="C65" s="11"/>
      <c r="D65" s="7">
        <v>5756.21</v>
      </c>
      <c r="E65" s="2"/>
      <c r="F65" s="6">
        <f t="shared" si="44"/>
        <v>0.42708856570698905</v>
      </c>
      <c r="G65" s="2"/>
      <c r="H65" s="7">
        <v>5670</v>
      </c>
      <c r="I65" s="2"/>
      <c r="J65" s="6">
        <f t="shared" si="45"/>
        <v>3.7418579941793317E-2</v>
      </c>
      <c r="K65" s="2"/>
      <c r="L65" s="7">
        <f t="shared" si="46"/>
        <v>86.210000000000036</v>
      </c>
      <c r="M65" s="2"/>
      <c r="N65" s="6">
        <f t="shared" si="47"/>
        <v>1.5204585537918877E-2</v>
      </c>
      <c r="O65" s="11"/>
      <c r="P65" s="7">
        <v>47176.47</v>
      </c>
      <c r="Q65" s="2"/>
      <c r="R65" s="6">
        <f t="shared" si="48"/>
        <v>7.8316005519782461E-2</v>
      </c>
      <c r="S65" s="2"/>
      <c r="T65" s="7">
        <v>39690</v>
      </c>
      <c r="U65" s="2"/>
      <c r="V65" s="6">
        <f t="shared" si="49"/>
        <v>6.0926843271106798E-2</v>
      </c>
      <c r="W65" s="2"/>
      <c r="X65" s="7">
        <f t="shared" si="50"/>
        <v>7486.4700000000012</v>
      </c>
      <c r="Y65" s="2"/>
      <c r="Z65" s="6">
        <f t="shared" si="51"/>
        <v>0.18862358276643995</v>
      </c>
    </row>
    <row r="66" spans="1:26" s="28" customFormat="1" outlineLevel="1" collapsed="1" x14ac:dyDescent="0.3">
      <c r="A66" s="29"/>
      <c r="B66" s="14" t="str">
        <f>CONCATENATE("     ","Interest                                          ")</f>
        <v xml:space="preserve">     Interest                                          </v>
      </c>
      <c r="C66" s="14"/>
      <c r="D66" s="1">
        <f>SUM(OSRRefD22_10x_0)</f>
        <v>7253</v>
      </c>
      <c r="E66" s="1"/>
      <c r="F66" s="5">
        <f t="shared" si="44"/>
        <v>0.53814460679384379</v>
      </c>
      <c r="G66" s="1"/>
      <c r="H66" s="1">
        <f>SUM(OSRRefH22_10x_0)</f>
        <v>7253</v>
      </c>
      <c r="I66" s="1"/>
      <c r="J66" s="5">
        <f t="shared" si="45"/>
        <v>4.7865425100145846E-2</v>
      </c>
      <c r="K66" s="1"/>
      <c r="L66" s="1">
        <f t="shared" si="46"/>
        <v>0</v>
      </c>
      <c r="M66" s="1"/>
      <c r="N66" s="5">
        <f t="shared" si="47"/>
        <v>0</v>
      </c>
      <c r="O66" s="14"/>
      <c r="P66" s="1">
        <f>SUM(OSRRefP22_10x_0)</f>
        <v>50257</v>
      </c>
      <c r="Q66" s="1"/>
      <c r="R66" s="5">
        <f t="shared" si="48"/>
        <v>8.3429885479089611E-2</v>
      </c>
      <c r="S66" s="1"/>
      <c r="T66" s="1">
        <f>SUM(OSRRefT22_10x_0)</f>
        <v>50771</v>
      </c>
      <c r="U66" s="1"/>
      <c r="V66" s="5">
        <f t="shared" si="49"/>
        <v>7.7936930201999585E-2</v>
      </c>
      <c r="W66" s="1"/>
      <c r="X66" s="1">
        <f t="shared" si="50"/>
        <v>-514</v>
      </c>
      <c r="Y66" s="1"/>
      <c r="Z66" s="5">
        <f t="shared" si="51"/>
        <v>-1.0123889622028323E-2</v>
      </c>
    </row>
    <row r="67" spans="1:26" s="24" customFormat="1" hidden="1" outlineLevel="2" x14ac:dyDescent="0.3">
      <c r="A67" s="27"/>
      <c r="B67" s="11" t="str">
        <f>CONCATENATE("          ", "6401", " - ", "INTEREST EXPENSE")</f>
        <v xml:space="preserve">          6401 - INTEREST EXPENSE</v>
      </c>
      <c r="C67" s="11"/>
      <c r="D67" s="7">
        <v>7253</v>
      </c>
      <c r="E67" s="2"/>
      <c r="F67" s="6">
        <f t="shared" si="44"/>
        <v>0.53814460679384379</v>
      </c>
      <c r="G67" s="2"/>
      <c r="H67" s="7">
        <v>7253</v>
      </c>
      <c r="I67" s="2"/>
      <c r="J67" s="6">
        <f t="shared" si="45"/>
        <v>4.7865425100145846E-2</v>
      </c>
      <c r="K67" s="2"/>
      <c r="L67" s="7">
        <f t="shared" si="46"/>
        <v>0</v>
      </c>
      <c r="M67" s="2"/>
      <c r="N67" s="6">
        <f t="shared" si="47"/>
        <v>0</v>
      </c>
      <c r="O67" s="11"/>
      <c r="P67" s="7">
        <v>50257</v>
      </c>
      <c r="Q67" s="2"/>
      <c r="R67" s="6">
        <f t="shared" si="48"/>
        <v>8.3429885479089611E-2</v>
      </c>
      <c r="S67" s="2"/>
      <c r="T67" s="7">
        <v>50771</v>
      </c>
      <c r="U67" s="2"/>
      <c r="V67" s="6">
        <f t="shared" si="49"/>
        <v>7.7936930201999585E-2</v>
      </c>
      <c r="W67" s="2"/>
      <c r="X67" s="7">
        <f t="shared" si="50"/>
        <v>-514</v>
      </c>
      <c r="Y67" s="2"/>
      <c r="Z67" s="6">
        <f t="shared" si="51"/>
        <v>-1.0123889622028323E-2</v>
      </c>
    </row>
    <row r="68" spans="1:26" s="28" customFormat="1" outlineLevel="1" collapsed="1" x14ac:dyDescent="0.3">
      <c r="A68" s="29"/>
      <c r="B68" s="14" t="str">
        <f>CONCATENATE("     ","Rent                                              ")</f>
        <v xml:space="preserve">     Rent                                              </v>
      </c>
      <c r="C68" s="14"/>
      <c r="D68" s="1">
        <f>SUM(OSRRefD22_11x_0)</f>
        <v>1850</v>
      </c>
      <c r="E68" s="1"/>
      <c r="F68" s="5">
        <f t="shared" si="44"/>
        <v>0.13726285986055575</v>
      </c>
      <c r="G68" s="1"/>
      <c r="H68" s="1">
        <f>SUM(OSRRefH22_11x_0)</f>
        <v>1850</v>
      </c>
      <c r="I68" s="1"/>
      <c r="J68" s="5">
        <f t="shared" si="45"/>
        <v>1.220888410799253E-2</v>
      </c>
      <c r="K68" s="1"/>
      <c r="L68" s="1">
        <f t="shared" si="46"/>
        <v>0</v>
      </c>
      <c r="M68" s="1"/>
      <c r="N68" s="5">
        <f t="shared" si="47"/>
        <v>0</v>
      </c>
      <c r="O68" s="14"/>
      <c r="P68" s="1">
        <f>SUM(OSRRefP22_11x_0)</f>
        <v>12950</v>
      </c>
      <c r="Q68" s="1"/>
      <c r="R68" s="5">
        <f t="shared" si="48"/>
        <v>2.1497841434112871E-2</v>
      </c>
      <c r="S68" s="1"/>
      <c r="T68" s="1">
        <f>SUM(OSRRefT22_11x_0)</f>
        <v>12950</v>
      </c>
      <c r="U68" s="1"/>
      <c r="V68" s="5">
        <f t="shared" si="49"/>
        <v>1.9879128756886699E-2</v>
      </c>
      <c r="W68" s="1"/>
      <c r="X68" s="1">
        <f t="shared" si="50"/>
        <v>0</v>
      </c>
      <c r="Y68" s="1"/>
      <c r="Z68" s="5">
        <f t="shared" si="51"/>
        <v>0</v>
      </c>
    </row>
    <row r="69" spans="1:26" s="24" customFormat="1" hidden="1" outlineLevel="2" x14ac:dyDescent="0.3">
      <c r="A69" s="27"/>
      <c r="B69" s="11" t="str">
        <f>CONCATENATE("          ", "6273", " - ", "RENT")</f>
        <v xml:space="preserve">          6273 - RENT</v>
      </c>
      <c r="C69" s="11"/>
      <c r="D69" s="7">
        <v>1850</v>
      </c>
      <c r="E69" s="2"/>
      <c r="F69" s="6">
        <f t="shared" si="44"/>
        <v>0.13726285986055575</v>
      </c>
      <c r="G69" s="2"/>
      <c r="H69" s="7">
        <v>1850</v>
      </c>
      <c r="I69" s="2"/>
      <c r="J69" s="6">
        <f t="shared" si="45"/>
        <v>1.220888410799253E-2</v>
      </c>
      <c r="K69" s="2"/>
      <c r="L69" s="7">
        <f t="shared" si="46"/>
        <v>0</v>
      </c>
      <c r="M69" s="2"/>
      <c r="N69" s="6">
        <f t="shared" si="47"/>
        <v>0</v>
      </c>
      <c r="O69" s="11"/>
      <c r="P69" s="7">
        <v>12950</v>
      </c>
      <c r="Q69" s="2"/>
      <c r="R69" s="6">
        <f t="shared" si="48"/>
        <v>2.1497841434112871E-2</v>
      </c>
      <c r="S69" s="2"/>
      <c r="T69" s="7">
        <v>12950</v>
      </c>
      <c r="U69" s="2"/>
      <c r="V69" s="6">
        <f t="shared" si="49"/>
        <v>1.9879128756886699E-2</v>
      </c>
      <c r="W69" s="2"/>
      <c r="X69" s="7">
        <f t="shared" si="50"/>
        <v>0</v>
      </c>
      <c r="Y69" s="2"/>
      <c r="Z69" s="6">
        <f t="shared" si="51"/>
        <v>0</v>
      </c>
    </row>
    <row r="70" spans="1:26" s="28" customFormat="1" outlineLevel="1" collapsed="1" x14ac:dyDescent="0.3">
      <c r="A70" s="29"/>
      <c r="B70" s="14" t="str">
        <f>CONCATENATE("     ","Repair and Maintenance                            ")</f>
        <v xml:space="preserve">     Repair and Maintenance                            </v>
      </c>
      <c r="C70" s="14"/>
      <c r="D70" s="1">
        <f>SUM(OSRRefD22_12x_0)</f>
        <v>4310.3500000000004</v>
      </c>
      <c r="E70" s="1"/>
      <c r="F70" s="5">
        <f t="shared" si="44"/>
        <v>0.31981133405402518</v>
      </c>
      <c r="G70" s="1"/>
      <c r="H70" s="1">
        <f>SUM(OSRRefH22_12x_0)</f>
        <v>11166</v>
      </c>
      <c r="I70" s="1"/>
      <c r="J70" s="5">
        <f t="shared" si="45"/>
        <v>7.3688864837753831E-2</v>
      </c>
      <c r="K70" s="1"/>
      <c r="L70" s="1">
        <f t="shared" si="46"/>
        <v>-6855.65</v>
      </c>
      <c r="M70" s="1"/>
      <c r="N70" s="5">
        <f t="shared" si="47"/>
        <v>-0.61397546122156543</v>
      </c>
      <c r="O70" s="14"/>
      <c r="P70" s="1">
        <f>SUM(OSRRefP22_12x_0)</f>
        <v>57198.36</v>
      </c>
      <c r="Q70" s="1"/>
      <c r="R70" s="5">
        <f t="shared" si="48"/>
        <v>9.4952994098170207E-2</v>
      </c>
      <c r="S70" s="1"/>
      <c r="T70" s="1">
        <f>SUM(OSRRefT22_12x_0)</f>
        <v>36330</v>
      </c>
      <c r="U70" s="1"/>
      <c r="V70" s="5">
        <f t="shared" si="49"/>
        <v>5.5769015269319981E-2</v>
      </c>
      <c r="W70" s="1"/>
      <c r="X70" s="1">
        <f t="shared" si="50"/>
        <v>20868.36</v>
      </c>
      <c r="Y70" s="1"/>
      <c r="Z70" s="5">
        <f t="shared" si="51"/>
        <v>0.57441123038810904</v>
      </c>
    </row>
    <row r="71" spans="1:26" s="24" customFormat="1" hidden="1" outlineLevel="2" x14ac:dyDescent="0.3">
      <c r="A71" s="27"/>
      <c r="B71" s="11" t="str">
        <f>CONCATENATE("          ", "6371", " - ", "COMPUTER SOFTWARE MAINTENANCE")</f>
        <v xml:space="preserve">          6371 - COMPUTER SOFTWARE MAINTENANCE</v>
      </c>
      <c r="C71" s="11"/>
      <c r="D71" s="7">
        <v>481.09</v>
      </c>
      <c r="E71" s="2"/>
      <c r="F71" s="6">
        <f t="shared" si="44"/>
        <v>3.5695021216386361E-2</v>
      </c>
      <c r="G71" s="2"/>
      <c r="H71" s="7"/>
      <c r="I71" s="2"/>
      <c r="J71" s="6">
        <f t="shared" si="45"/>
        <v>0</v>
      </c>
      <c r="K71" s="2"/>
      <c r="L71" s="7">
        <f t="shared" si="46"/>
        <v>481.09</v>
      </c>
      <c r="M71" s="2"/>
      <c r="N71" s="6">
        <f t="shared" si="47"/>
        <v>0</v>
      </c>
      <c r="O71" s="11"/>
      <c r="P71" s="7">
        <v>6817.17</v>
      </c>
      <c r="Q71" s="2"/>
      <c r="R71" s="6">
        <f t="shared" si="48"/>
        <v>1.1316945149759941E-2</v>
      </c>
      <c r="S71" s="2"/>
      <c r="T71" s="7"/>
      <c r="U71" s="2"/>
      <c r="V71" s="6">
        <f t="shared" si="49"/>
        <v>0</v>
      </c>
      <c r="W71" s="2"/>
      <c r="X71" s="7">
        <f t="shared" si="50"/>
        <v>6817.17</v>
      </c>
      <c r="Y71" s="2"/>
      <c r="Z71" s="6">
        <f t="shared" si="51"/>
        <v>0</v>
      </c>
    </row>
    <row r="72" spans="1:26" s="24" customFormat="1" hidden="1" outlineLevel="2" x14ac:dyDescent="0.3">
      <c r="A72" s="27"/>
      <c r="B72" s="11" t="str">
        <f>CONCATENATE("          ", "6372", " - ", "COMPUTER HARDWARE MAINTENANCE")</f>
        <v xml:space="preserve">          6372 - COMPUTER HARDWARE MAINTENANCE</v>
      </c>
      <c r="C72" s="11"/>
      <c r="D72" s="7"/>
      <c r="E72" s="2"/>
      <c r="F72" s="6">
        <f t="shared" si="44"/>
        <v>0</v>
      </c>
      <c r="G72" s="2"/>
      <c r="H72" s="7">
        <v>8000</v>
      </c>
      <c r="I72" s="2"/>
      <c r="J72" s="6">
        <f t="shared" si="45"/>
        <v>5.2795174521048774E-2</v>
      </c>
      <c r="K72" s="2"/>
      <c r="L72" s="7">
        <f t="shared" si="46"/>
        <v>-8000</v>
      </c>
      <c r="M72" s="2"/>
      <c r="N72" s="6">
        <f t="shared" si="47"/>
        <v>-1</v>
      </c>
      <c r="O72" s="11"/>
      <c r="P72" s="7"/>
      <c r="Q72" s="2"/>
      <c r="R72" s="6">
        <f t="shared" si="48"/>
        <v>0</v>
      </c>
      <c r="S72" s="2"/>
      <c r="T72" s="7">
        <v>8000</v>
      </c>
      <c r="U72" s="2"/>
      <c r="V72" s="6">
        <f t="shared" si="49"/>
        <v>1.2280542861397188E-2</v>
      </c>
      <c r="W72" s="2"/>
      <c r="X72" s="7">
        <f t="shared" si="50"/>
        <v>-8000</v>
      </c>
      <c r="Y72" s="2"/>
      <c r="Z72" s="6">
        <f t="shared" si="51"/>
        <v>-1</v>
      </c>
    </row>
    <row r="73" spans="1:26" s="24" customFormat="1" hidden="1" outlineLevel="2" x14ac:dyDescent="0.3">
      <c r="A73" s="27"/>
      <c r="B73" s="11" t="str">
        <f>CONCATENATE("          ", "6373", " - ", "MAINTENANCE CONTRACTS")</f>
        <v xml:space="preserve">          6373 - MAINTENANCE CONTRACTS</v>
      </c>
      <c r="C73" s="11"/>
      <c r="D73" s="7">
        <v>2634.51</v>
      </c>
      <c r="E73" s="2"/>
      <c r="F73" s="6">
        <f t="shared" si="44"/>
        <v>0.19547047401688258</v>
      </c>
      <c r="G73" s="2"/>
      <c r="H73" s="7">
        <v>1030</v>
      </c>
      <c r="I73" s="2"/>
      <c r="J73" s="6">
        <f t="shared" si="45"/>
        <v>6.7973787195850302E-3</v>
      </c>
      <c r="K73" s="2"/>
      <c r="L73" s="7">
        <f t="shared" si="46"/>
        <v>1604.5100000000002</v>
      </c>
      <c r="M73" s="2"/>
      <c r="N73" s="6">
        <f t="shared" si="47"/>
        <v>1.5577766990291264</v>
      </c>
      <c r="O73" s="11"/>
      <c r="P73" s="7">
        <v>13741.14</v>
      </c>
      <c r="Q73" s="2"/>
      <c r="R73" s="6">
        <f t="shared" si="48"/>
        <v>2.2811185238914726E-2</v>
      </c>
      <c r="S73" s="2"/>
      <c r="T73" s="7">
        <v>4615</v>
      </c>
      <c r="U73" s="2"/>
      <c r="V73" s="6">
        <f t="shared" si="49"/>
        <v>7.0843381631685029E-3</v>
      </c>
      <c r="W73" s="2"/>
      <c r="X73" s="7">
        <f t="shared" si="50"/>
        <v>9126.14</v>
      </c>
      <c r="Y73" s="2"/>
      <c r="Z73" s="6">
        <f t="shared" si="51"/>
        <v>1.977495124593716</v>
      </c>
    </row>
    <row r="74" spans="1:26" s="24" customFormat="1" hidden="1" outlineLevel="2" x14ac:dyDescent="0.3">
      <c r="A74" s="27"/>
      <c r="B74" s="11" t="str">
        <f>CONCATENATE("          ", "6375", " - ", "OUTSIDE REPAIRS &amp; MAINTENANCE")</f>
        <v xml:space="preserve">          6375 - OUTSIDE REPAIRS &amp; MAINTENANCE</v>
      </c>
      <c r="C74" s="11"/>
      <c r="D74" s="7">
        <v>1194.75</v>
      </c>
      <c r="E74" s="2"/>
      <c r="F74" s="6">
        <f t="shared" si="44"/>
        <v>8.8645838820756218E-2</v>
      </c>
      <c r="G74" s="2"/>
      <c r="H74" s="7">
        <v>2136</v>
      </c>
      <c r="I74" s="2"/>
      <c r="J74" s="6">
        <f t="shared" si="45"/>
        <v>1.4096311597120024E-2</v>
      </c>
      <c r="K74" s="2"/>
      <c r="L74" s="7">
        <f t="shared" si="46"/>
        <v>-941.25</v>
      </c>
      <c r="M74" s="2"/>
      <c r="N74" s="6">
        <f t="shared" si="47"/>
        <v>-0.44066011235955055</v>
      </c>
      <c r="O74" s="11"/>
      <c r="P74" s="7">
        <v>36640.050000000003</v>
      </c>
      <c r="Q74" s="2"/>
      <c r="R74" s="6">
        <f t="shared" si="48"/>
        <v>6.0824863709495545E-2</v>
      </c>
      <c r="S74" s="2"/>
      <c r="T74" s="7">
        <v>23715</v>
      </c>
      <c r="U74" s="2"/>
      <c r="V74" s="6">
        <f t="shared" si="49"/>
        <v>3.6404134244754291E-2</v>
      </c>
      <c r="W74" s="2"/>
      <c r="X74" s="7">
        <f t="shared" si="50"/>
        <v>12925.050000000003</v>
      </c>
      <c r="Y74" s="2"/>
      <c r="Z74" s="6">
        <f t="shared" si="51"/>
        <v>0.54501581277672373</v>
      </c>
    </row>
    <row r="75" spans="1:26" s="28" customFormat="1" outlineLevel="1" collapsed="1" x14ac:dyDescent="0.3">
      <c r="A75" s="29"/>
      <c r="B75" s="14" t="str">
        <f>CONCATENATE("     ","Royalty &amp; Commissions                             ")</f>
        <v xml:space="preserve">     Royalty &amp; Commissions                             </v>
      </c>
      <c r="C75" s="14"/>
      <c r="D75" s="1">
        <f>SUM(OSRRefD22_13x_0)</f>
        <v>0</v>
      </c>
      <c r="E75" s="1"/>
      <c r="F75" s="5">
        <f t="shared" ref="F75:F82" si="52">IF(D$12=0,0,D75/D$12)</f>
        <v>0</v>
      </c>
      <c r="G75" s="1"/>
      <c r="H75" s="1">
        <f>SUM(OSRRefH22_13x_0)</f>
        <v>0</v>
      </c>
      <c r="I75" s="1"/>
      <c r="J75" s="5">
        <f t="shared" ref="J75:J82" si="53">IF(H$12=0,0,H75/H$12)</f>
        <v>0</v>
      </c>
      <c r="K75" s="1"/>
      <c r="L75" s="1">
        <f t="shared" ref="L75:L82" si="54">+D75-H75</f>
        <v>0</v>
      </c>
      <c r="M75" s="1"/>
      <c r="N75" s="5">
        <f t="shared" ref="N75:N82" si="55">IF(H75=0,0,L75/H75)</f>
        <v>0</v>
      </c>
      <c r="O75" s="14"/>
      <c r="P75" s="1">
        <f>SUM(OSRRefP22_13x_0)</f>
        <v>1844.91</v>
      </c>
      <c r="Q75" s="1"/>
      <c r="R75" s="5">
        <f t="shared" ref="R75:R82" si="56">IF(P$12=0,0,P75/P$12)</f>
        <v>3.0626704741474266E-3</v>
      </c>
      <c r="S75" s="1"/>
      <c r="T75" s="1">
        <f>SUM(OSRRefT22_13x_0)</f>
        <v>0</v>
      </c>
      <c r="U75" s="1"/>
      <c r="V75" s="5">
        <f t="shared" ref="V75:V82" si="57">IF(T$12=0,0,T75/T$12)</f>
        <v>0</v>
      </c>
      <c r="W75" s="1"/>
      <c r="X75" s="1">
        <f t="shared" ref="X75:X82" si="58">+P75-T75</f>
        <v>1844.91</v>
      </c>
      <c r="Y75" s="1"/>
      <c r="Z75" s="5">
        <f t="shared" ref="Z75:Z82" si="59">IF(T75=0,0,X75/T75)</f>
        <v>0</v>
      </c>
    </row>
    <row r="76" spans="1:26" s="24" customFormat="1" hidden="1" outlineLevel="2" x14ac:dyDescent="0.3">
      <c r="A76" s="27"/>
      <c r="B76" s="11" t="str">
        <f>CONCATENATE("          ", "6254", " - ", "ROYALTY &amp; COMMISSIONS")</f>
        <v xml:space="preserve">          6254 - ROYALTY &amp; COMMISSIONS</v>
      </c>
      <c r="C76" s="11"/>
      <c r="D76" s="7"/>
      <c r="E76" s="2"/>
      <c r="F76" s="6">
        <f t="shared" si="52"/>
        <v>0</v>
      </c>
      <c r="G76" s="2"/>
      <c r="H76" s="7"/>
      <c r="I76" s="2"/>
      <c r="J76" s="6">
        <f t="shared" si="53"/>
        <v>0</v>
      </c>
      <c r="K76" s="2"/>
      <c r="L76" s="7">
        <f t="shared" si="54"/>
        <v>0</v>
      </c>
      <c r="M76" s="2"/>
      <c r="N76" s="6">
        <f t="shared" si="55"/>
        <v>0</v>
      </c>
      <c r="O76" s="11"/>
      <c r="P76" s="7">
        <v>1844.91</v>
      </c>
      <c r="Q76" s="2"/>
      <c r="R76" s="6">
        <f t="shared" si="56"/>
        <v>3.0626704741474266E-3</v>
      </c>
      <c r="S76" s="2"/>
      <c r="T76" s="7"/>
      <c r="U76" s="2"/>
      <c r="V76" s="6">
        <f t="shared" si="57"/>
        <v>0</v>
      </c>
      <c r="W76" s="2"/>
      <c r="X76" s="7">
        <f t="shared" si="58"/>
        <v>1844.91</v>
      </c>
      <c r="Y76" s="2"/>
      <c r="Z76" s="6">
        <f t="shared" si="59"/>
        <v>0</v>
      </c>
    </row>
    <row r="77" spans="1:26" s="28" customFormat="1" outlineLevel="1" collapsed="1" x14ac:dyDescent="0.3">
      <c r="A77" s="29"/>
      <c r="B77" s="14" t="str">
        <f>CONCATENATE("     ","Services                                          ")</f>
        <v xml:space="preserve">     Services                                          </v>
      </c>
      <c r="C77" s="14"/>
      <c r="D77" s="1">
        <f>SUM(OSRRefD22_14x_0)</f>
        <v>4215.22</v>
      </c>
      <c r="E77" s="1"/>
      <c r="F77" s="5">
        <f t="shared" si="52"/>
        <v>0.31275305521157398</v>
      </c>
      <c r="G77" s="1"/>
      <c r="H77" s="1">
        <f>SUM(OSRRefH22_14x_0)</f>
        <v>11137</v>
      </c>
      <c r="I77" s="1"/>
      <c r="J77" s="5">
        <f t="shared" si="53"/>
        <v>7.3497482330115022E-2</v>
      </c>
      <c r="K77" s="1"/>
      <c r="L77" s="1">
        <f t="shared" si="54"/>
        <v>-6921.78</v>
      </c>
      <c r="M77" s="1"/>
      <c r="N77" s="5">
        <f t="shared" si="55"/>
        <v>-0.62151207686091403</v>
      </c>
      <c r="O77" s="14"/>
      <c r="P77" s="1">
        <f>SUM(OSRRefP22_14x_0)</f>
        <v>46132.28</v>
      </c>
      <c r="Q77" s="1"/>
      <c r="R77" s="5">
        <f t="shared" si="56"/>
        <v>7.6582582272903196E-2</v>
      </c>
      <c r="S77" s="1"/>
      <c r="T77" s="1">
        <f>SUM(OSRRefT22_14x_0)</f>
        <v>73138</v>
      </c>
      <c r="U77" s="1"/>
      <c r="V77" s="5">
        <f t="shared" si="57"/>
        <v>0.11227179297460844</v>
      </c>
      <c r="W77" s="1"/>
      <c r="X77" s="1">
        <f t="shared" si="58"/>
        <v>-27005.72</v>
      </c>
      <c r="Y77" s="1"/>
      <c r="Z77" s="5">
        <f t="shared" si="59"/>
        <v>-0.36924334819109084</v>
      </c>
    </row>
    <row r="78" spans="1:26" s="24" customFormat="1" hidden="1" outlineLevel="2" x14ac:dyDescent="0.3">
      <c r="A78" s="27"/>
      <c r="B78" s="11" t="str">
        <f>CONCATENATE("          ", "6282", " - ", "JANITORIAL/EXTERMINATOR EXPENS")</f>
        <v xml:space="preserve">          6282 - JANITORIAL/EXTERMINATOR EXPENS</v>
      </c>
      <c r="C78" s="11"/>
      <c r="D78" s="7">
        <v>670.1</v>
      </c>
      <c r="E78" s="2"/>
      <c r="F78" s="6">
        <f t="shared" si="52"/>
        <v>4.9718833725707255E-2</v>
      </c>
      <c r="G78" s="2"/>
      <c r="H78" s="7">
        <v>1128</v>
      </c>
      <c r="I78" s="2"/>
      <c r="J78" s="6">
        <f t="shared" si="53"/>
        <v>7.4441196074678771E-3</v>
      </c>
      <c r="K78" s="2"/>
      <c r="L78" s="7">
        <f t="shared" si="54"/>
        <v>-457.9</v>
      </c>
      <c r="M78" s="2"/>
      <c r="N78" s="6">
        <f t="shared" si="55"/>
        <v>-0.40593971631205672</v>
      </c>
      <c r="O78" s="11"/>
      <c r="P78" s="7">
        <v>7251.86</v>
      </c>
      <c r="Q78" s="2"/>
      <c r="R78" s="6">
        <f t="shared" si="56"/>
        <v>1.2038558794006622E-2</v>
      </c>
      <c r="S78" s="2"/>
      <c r="T78" s="7">
        <v>7796</v>
      </c>
      <c r="U78" s="2"/>
      <c r="V78" s="6">
        <f t="shared" si="57"/>
        <v>1.196738901843156E-2</v>
      </c>
      <c r="W78" s="2"/>
      <c r="X78" s="7">
        <f t="shared" si="58"/>
        <v>-544.14000000000033</v>
      </c>
      <c r="Y78" s="2"/>
      <c r="Z78" s="6">
        <f t="shared" si="59"/>
        <v>-6.9797331965110357E-2</v>
      </c>
    </row>
    <row r="79" spans="1:26" s="24" customFormat="1" hidden="1" outlineLevel="2" x14ac:dyDescent="0.3">
      <c r="A79" s="27"/>
      <c r="B79" s="11" t="str">
        <f>CONCATENATE("          ", "6283", " - ", "PLANT SERVICE")</f>
        <v xml:space="preserve">          6283 - PLANT SERVICE</v>
      </c>
      <c r="C79" s="11"/>
      <c r="D79" s="7"/>
      <c r="E79" s="2"/>
      <c r="F79" s="6">
        <f t="shared" si="52"/>
        <v>0</v>
      </c>
      <c r="G79" s="2"/>
      <c r="H79" s="7">
        <v>100</v>
      </c>
      <c r="I79" s="2"/>
      <c r="J79" s="6">
        <f t="shared" si="53"/>
        <v>6.5993968151310974E-4</v>
      </c>
      <c r="K79" s="2"/>
      <c r="L79" s="7">
        <f t="shared" si="54"/>
        <v>-100</v>
      </c>
      <c r="M79" s="2"/>
      <c r="N79" s="6">
        <f t="shared" si="55"/>
        <v>-1</v>
      </c>
      <c r="O79" s="11"/>
      <c r="P79" s="7"/>
      <c r="Q79" s="2"/>
      <c r="R79" s="6">
        <f t="shared" si="56"/>
        <v>0</v>
      </c>
      <c r="S79" s="2"/>
      <c r="T79" s="7">
        <v>700</v>
      </c>
      <c r="U79" s="2"/>
      <c r="V79" s="6">
        <f t="shared" si="57"/>
        <v>1.074547500372254E-3</v>
      </c>
      <c r="W79" s="2"/>
      <c r="X79" s="7">
        <f t="shared" si="58"/>
        <v>-700</v>
      </c>
      <c r="Y79" s="2"/>
      <c r="Z79" s="6">
        <f t="shared" si="59"/>
        <v>-1</v>
      </c>
    </row>
    <row r="80" spans="1:26" s="24" customFormat="1" hidden="1" outlineLevel="2" x14ac:dyDescent="0.3">
      <c r="A80" s="27"/>
      <c r="B80" s="11" t="str">
        <f>CONCATENATE("          ", "6284", " - ", "TRASH REMOVAL EXPENSE")</f>
        <v xml:space="preserve">          6284 - TRASH REMOVAL EXPENSE</v>
      </c>
      <c r="C80" s="11"/>
      <c r="D80" s="7"/>
      <c r="E80" s="2"/>
      <c r="F80" s="6">
        <f t="shared" si="52"/>
        <v>0</v>
      </c>
      <c r="G80" s="2"/>
      <c r="H80" s="7">
        <v>1000</v>
      </c>
      <c r="I80" s="2"/>
      <c r="J80" s="6">
        <f t="shared" si="53"/>
        <v>6.5993968151310967E-3</v>
      </c>
      <c r="K80" s="2"/>
      <c r="L80" s="7">
        <f t="shared" si="54"/>
        <v>-1000</v>
      </c>
      <c r="M80" s="2"/>
      <c r="N80" s="6">
        <f t="shared" si="55"/>
        <v>-1</v>
      </c>
      <c r="O80" s="11"/>
      <c r="P80" s="7"/>
      <c r="Q80" s="2"/>
      <c r="R80" s="6">
        <f t="shared" si="56"/>
        <v>0</v>
      </c>
      <c r="S80" s="2"/>
      <c r="T80" s="7">
        <v>7000</v>
      </c>
      <c r="U80" s="2"/>
      <c r="V80" s="6">
        <f t="shared" si="57"/>
        <v>1.0745475003722539E-2</v>
      </c>
      <c r="W80" s="2"/>
      <c r="X80" s="7">
        <f t="shared" si="58"/>
        <v>-7000</v>
      </c>
      <c r="Y80" s="2"/>
      <c r="Z80" s="6">
        <f t="shared" si="59"/>
        <v>-1</v>
      </c>
    </row>
    <row r="81" spans="1:26" s="24" customFormat="1" hidden="1" outlineLevel="2" x14ac:dyDescent="0.3">
      <c r="A81" s="27"/>
      <c r="B81" s="11" t="str">
        <f>CONCATENATE("          ", "6285", " - ", "JANITORIAL SERVICES")</f>
        <v xml:space="preserve">          6285 - JANITORIAL SERVICES</v>
      </c>
      <c r="C81" s="11"/>
      <c r="D81" s="7">
        <v>3385.52</v>
      </c>
      <c r="E81" s="2"/>
      <c r="F81" s="6">
        <f t="shared" si="52"/>
        <v>0.25119251746762633</v>
      </c>
      <c r="G81" s="2"/>
      <c r="H81" s="7">
        <v>8224</v>
      </c>
      <c r="I81" s="2"/>
      <c r="J81" s="6">
        <f t="shared" si="53"/>
        <v>5.4273439407638145E-2</v>
      </c>
      <c r="K81" s="2"/>
      <c r="L81" s="7">
        <f t="shared" si="54"/>
        <v>-4838.4799999999996</v>
      </c>
      <c r="M81" s="2"/>
      <c r="N81" s="6">
        <f t="shared" si="55"/>
        <v>-0.58833657587548638</v>
      </c>
      <c r="O81" s="11"/>
      <c r="P81" s="7">
        <v>36333.32</v>
      </c>
      <c r="Q81" s="2"/>
      <c r="R81" s="6">
        <f t="shared" si="56"/>
        <v>6.0315671979527551E-2</v>
      </c>
      <c r="S81" s="2"/>
      <c r="T81" s="7">
        <v>53260</v>
      </c>
      <c r="U81" s="2"/>
      <c r="V81" s="6">
        <f t="shared" si="57"/>
        <v>8.1757714099751785E-2</v>
      </c>
      <c r="W81" s="2"/>
      <c r="X81" s="7">
        <f t="shared" si="58"/>
        <v>-16926.68</v>
      </c>
      <c r="Y81" s="2"/>
      <c r="Z81" s="6">
        <f t="shared" si="59"/>
        <v>-0.31781224183251972</v>
      </c>
    </row>
    <row r="82" spans="1:26" s="24" customFormat="1" hidden="1" outlineLevel="2" x14ac:dyDescent="0.3">
      <c r="A82" s="27"/>
      <c r="B82" s="11" t="str">
        <f>CONCATENATE("          ", "6286", " - ", "LAUNDRY EXPENSE")</f>
        <v xml:space="preserve">          6286 - LAUNDRY EXPENSE</v>
      </c>
      <c r="C82" s="11"/>
      <c r="D82" s="7">
        <v>159.6</v>
      </c>
      <c r="E82" s="2"/>
      <c r="F82" s="6">
        <f t="shared" si="52"/>
        <v>1.1841704018240378E-2</v>
      </c>
      <c r="G82" s="2"/>
      <c r="H82" s="7">
        <v>685</v>
      </c>
      <c r="I82" s="2"/>
      <c r="J82" s="6">
        <f t="shared" si="53"/>
        <v>4.5205868183648013E-3</v>
      </c>
      <c r="K82" s="2"/>
      <c r="L82" s="7">
        <f t="shared" si="54"/>
        <v>-525.4</v>
      </c>
      <c r="M82" s="2"/>
      <c r="N82" s="6">
        <f t="shared" si="55"/>
        <v>-0.76700729927007294</v>
      </c>
      <c r="O82" s="11"/>
      <c r="P82" s="7">
        <v>2547.1</v>
      </c>
      <c r="Q82" s="2"/>
      <c r="R82" s="6">
        <f t="shared" si="56"/>
        <v>4.2283514993690261E-3</v>
      </c>
      <c r="S82" s="2"/>
      <c r="T82" s="7">
        <v>4382</v>
      </c>
      <c r="U82" s="2"/>
      <c r="V82" s="6">
        <f t="shared" si="57"/>
        <v>6.7266673523303094E-3</v>
      </c>
      <c r="W82" s="2"/>
      <c r="X82" s="7">
        <f t="shared" si="58"/>
        <v>-1834.9</v>
      </c>
      <c r="Y82" s="2"/>
      <c r="Z82" s="6">
        <f t="shared" si="59"/>
        <v>-0.41873573710634415</v>
      </c>
    </row>
    <row r="83" spans="1:26" s="28" customFormat="1" outlineLevel="1" collapsed="1" x14ac:dyDescent="0.3">
      <c r="A83" s="29"/>
      <c r="B83" s="14" t="str">
        <f>CONCATENATE("     ","Subscriptions &amp; Dues                              ")</f>
        <v xml:space="preserve">     Subscriptions &amp; Dues                              </v>
      </c>
      <c r="C83" s="14"/>
      <c r="D83" s="1">
        <f>SUM(OSRRefD22_15x_0)</f>
        <v>560.5</v>
      </c>
      <c r="E83" s="1"/>
      <c r="F83" s="5">
        <f t="shared" ref="F83:F95" si="60">IF(D$12=0,0,D83/D$12)</f>
        <v>4.1586936730725138E-2</v>
      </c>
      <c r="G83" s="1"/>
      <c r="H83" s="1">
        <f>SUM(OSRRefH22_15x_0)</f>
        <v>610</v>
      </c>
      <c r="I83" s="1"/>
      <c r="J83" s="5">
        <f t="shared" ref="J83:J95" si="61">IF(H$12=0,0,H83/H$12)</f>
        <v>4.0256320572299694E-3</v>
      </c>
      <c r="K83" s="1"/>
      <c r="L83" s="1">
        <f t="shared" ref="L83:L95" si="62">+D83-H83</f>
        <v>-49.5</v>
      </c>
      <c r="M83" s="1"/>
      <c r="N83" s="5">
        <f t="shared" ref="N83:N95" si="63">IF(H83=0,0,L83/H83)</f>
        <v>-8.1147540983606561E-2</v>
      </c>
      <c r="O83" s="14"/>
      <c r="P83" s="1">
        <f>SUM(OSRRefP22_15x_0)</f>
        <v>4533.1099999999997</v>
      </c>
      <c r="Q83" s="1"/>
      <c r="R83" s="5">
        <f t="shared" ref="R83:R95" si="64">IF(P$12=0,0,P83/P$12)</f>
        <v>7.525257141574624E-3</v>
      </c>
      <c r="S83" s="1"/>
      <c r="T83" s="1">
        <f>SUM(OSRRefT22_15x_0)</f>
        <v>4040</v>
      </c>
      <c r="U83" s="1"/>
      <c r="V83" s="5">
        <f t="shared" ref="V83:V95" si="65">IF(T$12=0,0,T83/T$12)</f>
        <v>6.2016741450055804E-3</v>
      </c>
      <c r="W83" s="1"/>
      <c r="X83" s="1">
        <f t="shared" ref="X83:X95" si="66">+P83-T83</f>
        <v>493.10999999999967</v>
      </c>
      <c r="Y83" s="1"/>
      <c r="Z83" s="5">
        <f t="shared" ref="Z83:Z95" si="67">IF(T83=0,0,X83/T83)</f>
        <v>0.12205693069306922</v>
      </c>
    </row>
    <row r="84" spans="1:26" s="24" customFormat="1" hidden="1" outlineLevel="2" x14ac:dyDescent="0.3">
      <c r="A84" s="27"/>
      <c r="B84" s="11" t="str">
        <f>CONCATENATE("          ", "6275", " - ", "SUBSCRIPTIONS")</f>
        <v xml:space="preserve">          6275 - SUBSCRIPTIONS</v>
      </c>
      <c r="C84" s="11"/>
      <c r="D84" s="7">
        <v>560.5</v>
      </c>
      <c r="E84" s="2"/>
      <c r="F84" s="6">
        <f t="shared" si="60"/>
        <v>4.1586936730725138E-2</v>
      </c>
      <c r="G84" s="2"/>
      <c r="H84" s="7">
        <v>610</v>
      </c>
      <c r="I84" s="2"/>
      <c r="J84" s="6">
        <f t="shared" si="61"/>
        <v>4.0256320572299694E-3</v>
      </c>
      <c r="K84" s="2"/>
      <c r="L84" s="7">
        <f t="shared" si="62"/>
        <v>-49.5</v>
      </c>
      <c r="M84" s="2"/>
      <c r="N84" s="6">
        <f t="shared" si="63"/>
        <v>-8.1147540983606561E-2</v>
      </c>
      <c r="O84" s="11"/>
      <c r="P84" s="7">
        <v>4533.1099999999997</v>
      </c>
      <c r="Q84" s="2"/>
      <c r="R84" s="6">
        <f t="shared" si="64"/>
        <v>7.525257141574624E-3</v>
      </c>
      <c r="S84" s="2"/>
      <c r="T84" s="7">
        <v>4040</v>
      </c>
      <c r="U84" s="2"/>
      <c r="V84" s="6">
        <f t="shared" si="65"/>
        <v>6.2016741450055804E-3</v>
      </c>
      <c r="W84" s="2"/>
      <c r="X84" s="7">
        <f t="shared" si="66"/>
        <v>493.10999999999967</v>
      </c>
      <c r="Y84" s="2"/>
      <c r="Z84" s="6">
        <f t="shared" si="67"/>
        <v>0.12205693069306922</v>
      </c>
    </row>
    <row r="85" spans="1:26" s="28" customFormat="1" outlineLevel="1" collapsed="1" x14ac:dyDescent="0.3">
      <c r="A85" s="29"/>
      <c r="B85" s="14" t="str">
        <f>CONCATENATE("     ","Supplies                                          ")</f>
        <v xml:space="preserve">     Supplies                                          </v>
      </c>
      <c r="C85" s="14"/>
      <c r="D85" s="1">
        <f>SUM(OSRRefD22_16x_0)</f>
        <v>1901.02</v>
      </c>
      <c r="E85" s="1"/>
      <c r="F85" s="5">
        <f t="shared" si="60"/>
        <v>0.14104834694708848</v>
      </c>
      <c r="G85" s="1"/>
      <c r="H85" s="1">
        <f>SUM(OSRRefH22_16x_0)</f>
        <v>2575</v>
      </c>
      <c r="I85" s="1"/>
      <c r="J85" s="5">
        <f t="shared" si="61"/>
        <v>1.6993446798962576E-2</v>
      </c>
      <c r="K85" s="1"/>
      <c r="L85" s="1">
        <f t="shared" si="62"/>
        <v>-673.98</v>
      </c>
      <c r="M85" s="1"/>
      <c r="N85" s="5">
        <f t="shared" si="63"/>
        <v>-0.2617398058252427</v>
      </c>
      <c r="O85" s="14"/>
      <c r="P85" s="1">
        <f>SUM(OSRRefP22_16x_0)</f>
        <v>20487.129999999997</v>
      </c>
      <c r="Q85" s="1"/>
      <c r="R85" s="5">
        <f t="shared" si="64"/>
        <v>3.4009966963710947E-2</v>
      </c>
      <c r="S85" s="1"/>
      <c r="T85" s="1">
        <f>SUM(OSRRefT22_16x_0)</f>
        <v>24523</v>
      </c>
      <c r="U85" s="1"/>
      <c r="V85" s="5">
        <f t="shared" si="65"/>
        <v>3.7644469073755404E-2</v>
      </c>
      <c r="W85" s="1"/>
      <c r="X85" s="1">
        <f t="shared" si="66"/>
        <v>-4035.8700000000026</v>
      </c>
      <c r="Y85" s="1"/>
      <c r="Z85" s="5">
        <f t="shared" si="67"/>
        <v>-0.16457488887982721</v>
      </c>
    </row>
    <row r="86" spans="1:26" s="24" customFormat="1" hidden="1" outlineLevel="2" x14ac:dyDescent="0.3">
      <c r="A86" s="27"/>
      <c r="B86" s="11" t="str">
        <f>CONCATENATE("          ", "6234", " - ", "EXPENDABLE SUPPLIES &amp; EQUIPMEN")</f>
        <v xml:space="preserve">          6234 - EXPENDABLE SUPPLIES &amp; EQUIPMEN</v>
      </c>
      <c r="C86" s="11"/>
      <c r="D86" s="7">
        <v>57.77</v>
      </c>
      <c r="E86" s="2"/>
      <c r="F86" s="6">
        <f t="shared" si="60"/>
        <v>4.2863110346725982E-3</v>
      </c>
      <c r="G86" s="2"/>
      <c r="H86" s="7"/>
      <c r="I86" s="2"/>
      <c r="J86" s="6">
        <f t="shared" si="61"/>
        <v>0</v>
      </c>
      <c r="K86" s="2"/>
      <c r="L86" s="7">
        <f t="shared" si="62"/>
        <v>57.77</v>
      </c>
      <c r="M86" s="2"/>
      <c r="N86" s="6">
        <f t="shared" si="63"/>
        <v>0</v>
      </c>
      <c r="O86" s="11"/>
      <c r="P86" s="7">
        <v>57.77</v>
      </c>
      <c r="Q86" s="2"/>
      <c r="R86" s="6">
        <f t="shared" si="64"/>
        <v>9.5901953640826302E-5</v>
      </c>
      <c r="S86" s="2"/>
      <c r="T86" s="7"/>
      <c r="U86" s="2"/>
      <c r="V86" s="6">
        <f t="shared" si="65"/>
        <v>0</v>
      </c>
      <c r="W86" s="2"/>
      <c r="X86" s="7">
        <f t="shared" si="66"/>
        <v>57.77</v>
      </c>
      <c r="Y86" s="2"/>
      <c r="Z86" s="6">
        <f t="shared" si="67"/>
        <v>0</v>
      </c>
    </row>
    <row r="87" spans="1:26" s="24" customFormat="1" hidden="1" outlineLevel="2" x14ac:dyDescent="0.3">
      <c r="A87" s="27"/>
      <c r="B87" s="11" t="str">
        <f>CONCATENATE("          ", "6235", " - ", "COVID-19 EXPENSES")</f>
        <v xml:space="preserve">          6235 - COVID-19 EXPENSES</v>
      </c>
      <c r="C87" s="11"/>
      <c r="D87" s="7">
        <v>318.42</v>
      </c>
      <c r="E87" s="2"/>
      <c r="F87" s="6">
        <f t="shared" si="60"/>
        <v>2.3625535046917927E-2</v>
      </c>
      <c r="G87" s="2"/>
      <c r="H87" s="7">
        <v>250</v>
      </c>
      <c r="I87" s="2"/>
      <c r="J87" s="6">
        <f t="shared" si="61"/>
        <v>1.6498492037827742E-3</v>
      </c>
      <c r="K87" s="2"/>
      <c r="L87" s="7">
        <f t="shared" si="62"/>
        <v>68.420000000000016</v>
      </c>
      <c r="M87" s="2"/>
      <c r="N87" s="6">
        <f t="shared" si="63"/>
        <v>0.27368000000000009</v>
      </c>
      <c r="O87" s="11"/>
      <c r="P87" s="7">
        <v>511.92</v>
      </c>
      <c r="Q87" s="2"/>
      <c r="R87" s="6">
        <f t="shared" si="64"/>
        <v>8.4982046231282327E-4</v>
      </c>
      <c r="S87" s="2"/>
      <c r="T87" s="7">
        <v>2000</v>
      </c>
      <c r="U87" s="2"/>
      <c r="V87" s="6">
        <f t="shared" si="65"/>
        <v>3.070135715349297E-3</v>
      </c>
      <c r="W87" s="2"/>
      <c r="X87" s="7">
        <f t="shared" si="66"/>
        <v>-1488.08</v>
      </c>
      <c r="Y87" s="2"/>
      <c r="Z87" s="6">
        <f t="shared" si="67"/>
        <v>-0.74403999999999992</v>
      </c>
    </row>
    <row r="88" spans="1:26" s="24" customFormat="1" hidden="1" outlineLevel="2" x14ac:dyDescent="0.3">
      <c r="A88" s="27"/>
      <c r="B88" s="11" t="str">
        <f>CONCATENATE("          ", "6237", " - ", "JANITORIAL SUPPLIES")</f>
        <v xml:space="preserve">          6237 - JANITORIAL SUPPLIES</v>
      </c>
      <c r="C88" s="11"/>
      <c r="D88" s="7"/>
      <c r="E88" s="2"/>
      <c r="F88" s="6">
        <f t="shared" si="60"/>
        <v>0</v>
      </c>
      <c r="G88" s="2"/>
      <c r="H88" s="7">
        <v>225</v>
      </c>
      <c r="I88" s="2"/>
      <c r="J88" s="6">
        <f t="shared" si="61"/>
        <v>1.4848642834044967E-3</v>
      </c>
      <c r="K88" s="2"/>
      <c r="L88" s="7">
        <f t="shared" si="62"/>
        <v>-225</v>
      </c>
      <c r="M88" s="2"/>
      <c r="N88" s="6">
        <f t="shared" si="63"/>
        <v>-1</v>
      </c>
      <c r="O88" s="11"/>
      <c r="P88" s="7">
        <v>5847.61</v>
      </c>
      <c r="Q88" s="2"/>
      <c r="R88" s="6">
        <f t="shared" si="64"/>
        <v>9.7074125520102503E-3</v>
      </c>
      <c r="S88" s="2"/>
      <c r="T88" s="7">
        <v>3053</v>
      </c>
      <c r="U88" s="2"/>
      <c r="V88" s="6">
        <f t="shared" si="65"/>
        <v>4.6865621694807021E-3</v>
      </c>
      <c r="W88" s="2"/>
      <c r="X88" s="7">
        <f t="shared" si="66"/>
        <v>2794.6099999999997</v>
      </c>
      <c r="Y88" s="2"/>
      <c r="Z88" s="6">
        <f t="shared" si="67"/>
        <v>0.91536521454307229</v>
      </c>
    </row>
    <row r="89" spans="1:26" s="24" customFormat="1" hidden="1" outlineLevel="2" x14ac:dyDescent="0.3">
      <c r="A89" s="27"/>
      <c r="B89" s="11" t="str">
        <f>CONCATENATE("          ", "6239", " - ", "KITCHEN SUPPLIES")</f>
        <v xml:space="preserve">          6239 - KITCHEN SUPPLIES</v>
      </c>
      <c r="C89" s="11"/>
      <c r="D89" s="7">
        <v>675.86</v>
      </c>
      <c r="E89" s="2"/>
      <c r="F89" s="6">
        <f t="shared" si="60"/>
        <v>5.0146203494786608E-2</v>
      </c>
      <c r="G89" s="2"/>
      <c r="H89" s="7">
        <v>100</v>
      </c>
      <c r="I89" s="2"/>
      <c r="J89" s="6">
        <f t="shared" si="61"/>
        <v>6.5993968151310974E-4</v>
      </c>
      <c r="K89" s="2"/>
      <c r="L89" s="7">
        <f t="shared" si="62"/>
        <v>575.86</v>
      </c>
      <c r="M89" s="2"/>
      <c r="N89" s="6">
        <f t="shared" si="63"/>
        <v>5.7586000000000004</v>
      </c>
      <c r="O89" s="11"/>
      <c r="P89" s="7">
        <v>3531.64</v>
      </c>
      <c r="Q89" s="2"/>
      <c r="R89" s="6">
        <f t="shared" si="64"/>
        <v>5.8627518704533104E-3</v>
      </c>
      <c r="S89" s="2"/>
      <c r="T89" s="7">
        <v>5349</v>
      </c>
      <c r="U89" s="2"/>
      <c r="V89" s="6">
        <f t="shared" si="65"/>
        <v>8.211077970701695E-3</v>
      </c>
      <c r="W89" s="2"/>
      <c r="X89" s="7">
        <f t="shared" si="66"/>
        <v>-1817.3600000000001</v>
      </c>
      <c r="Y89" s="2"/>
      <c r="Z89" s="6">
        <f t="shared" si="67"/>
        <v>-0.33975696391848947</v>
      </c>
    </row>
    <row r="90" spans="1:26" s="24" customFormat="1" hidden="1" outlineLevel="2" x14ac:dyDescent="0.3">
      <c r="A90" s="27"/>
      <c r="B90" s="11" t="str">
        <f>CONCATENATE("          ", "6241", " - ", "OFFICE EXPENSE")</f>
        <v xml:space="preserve">          6241 - OFFICE EXPENSE</v>
      </c>
      <c r="C90" s="11"/>
      <c r="D90" s="7">
        <v>304.67</v>
      </c>
      <c r="E90" s="2"/>
      <c r="F90" s="6">
        <f t="shared" si="60"/>
        <v>2.2605338115521907E-2</v>
      </c>
      <c r="G90" s="2"/>
      <c r="H90" s="7">
        <v>200</v>
      </c>
      <c r="I90" s="2"/>
      <c r="J90" s="6">
        <f t="shared" si="61"/>
        <v>1.3198793630262195E-3</v>
      </c>
      <c r="K90" s="2"/>
      <c r="L90" s="7">
        <f t="shared" si="62"/>
        <v>104.67000000000002</v>
      </c>
      <c r="M90" s="2"/>
      <c r="N90" s="6">
        <f t="shared" si="63"/>
        <v>0.52335000000000009</v>
      </c>
      <c r="O90" s="11"/>
      <c r="P90" s="7">
        <v>6917.07</v>
      </c>
      <c r="Q90" s="2"/>
      <c r="R90" s="6">
        <f t="shared" si="64"/>
        <v>1.1482785640823097E-2</v>
      </c>
      <c r="S90" s="2"/>
      <c r="T90" s="7">
        <v>3127</v>
      </c>
      <c r="U90" s="2"/>
      <c r="V90" s="6">
        <f t="shared" si="65"/>
        <v>4.800157190948626E-3</v>
      </c>
      <c r="W90" s="2"/>
      <c r="X90" s="7">
        <f t="shared" si="66"/>
        <v>3790.0699999999997</v>
      </c>
      <c r="Y90" s="2"/>
      <c r="Z90" s="6">
        <f t="shared" si="67"/>
        <v>1.2120466901183242</v>
      </c>
    </row>
    <row r="91" spans="1:26" s="24" customFormat="1" hidden="1" outlineLevel="2" x14ac:dyDescent="0.3">
      <c r="A91" s="27"/>
      <c r="B91" s="11" t="str">
        <f>CONCATENATE("          ", "6243", " - ", "PAPER SUPPLIES")</f>
        <v xml:space="preserve">          6243 - PAPER SUPPLIES</v>
      </c>
      <c r="C91" s="11"/>
      <c r="D91" s="7"/>
      <c r="E91" s="2"/>
      <c r="F91" s="6">
        <f t="shared" si="60"/>
        <v>0</v>
      </c>
      <c r="G91" s="2"/>
      <c r="H91" s="7">
        <v>900</v>
      </c>
      <c r="I91" s="2"/>
      <c r="J91" s="6">
        <f t="shared" si="61"/>
        <v>5.9394571336179869E-3</v>
      </c>
      <c r="K91" s="2"/>
      <c r="L91" s="7">
        <f t="shared" si="62"/>
        <v>-900</v>
      </c>
      <c r="M91" s="2"/>
      <c r="N91" s="6">
        <f t="shared" si="63"/>
        <v>-1</v>
      </c>
      <c r="O91" s="11"/>
      <c r="P91" s="7">
        <v>1252.26</v>
      </c>
      <c r="Q91" s="2"/>
      <c r="R91" s="6">
        <f t="shared" si="64"/>
        <v>2.0788329663538364E-3</v>
      </c>
      <c r="S91" s="2"/>
      <c r="T91" s="7">
        <v>5633</v>
      </c>
      <c r="U91" s="2"/>
      <c r="V91" s="6">
        <f t="shared" si="65"/>
        <v>8.6470372422812955E-3</v>
      </c>
      <c r="W91" s="2"/>
      <c r="X91" s="7">
        <f t="shared" si="66"/>
        <v>-4380.74</v>
      </c>
      <c r="Y91" s="2"/>
      <c r="Z91" s="6">
        <f t="shared" si="67"/>
        <v>-0.7776921711343866</v>
      </c>
    </row>
    <row r="92" spans="1:26" s="24" customFormat="1" hidden="1" outlineLevel="2" x14ac:dyDescent="0.3">
      <c r="A92" s="27"/>
      <c r="B92" s="11" t="str">
        <f>CONCATENATE("          ", "6244", " - ", "SAFETY SUPPLY EXPENSE")</f>
        <v xml:space="preserve">          6244 - SAFETY SUPPLY EXPENSE</v>
      </c>
      <c r="C92" s="11"/>
      <c r="D92" s="7"/>
      <c r="E92" s="2"/>
      <c r="F92" s="6">
        <f t="shared" si="60"/>
        <v>0</v>
      </c>
      <c r="G92" s="2"/>
      <c r="H92" s="7"/>
      <c r="I92" s="2"/>
      <c r="J92" s="6">
        <f t="shared" si="61"/>
        <v>0</v>
      </c>
      <c r="K92" s="2"/>
      <c r="L92" s="7">
        <f t="shared" si="62"/>
        <v>0</v>
      </c>
      <c r="M92" s="2"/>
      <c r="N92" s="6">
        <f t="shared" si="63"/>
        <v>0</v>
      </c>
      <c r="O92" s="11"/>
      <c r="P92" s="7"/>
      <c r="Q92" s="2"/>
      <c r="R92" s="6">
        <f t="shared" si="64"/>
        <v>0</v>
      </c>
      <c r="S92" s="2"/>
      <c r="T92" s="7">
        <v>100</v>
      </c>
      <c r="U92" s="2"/>
      <c r="V92" s="6">
        <f t="shared" si="65"/>
        <v>1.5350678576746485E-4</v>
      </c>
      <c r="W92" s="2"/>
      <c r="X92" s="7">
        <f t="shared" si="66"/>
        <v>-100</v>
      </c>
      <c r="Y92" s="2"/>
      <c r="Z92" s="6">
        <f t="shared" si="67"/>
        <v>-1</v>
      </c>
    </row>
    <row r="93" spans="1:26" s="24" customFormat="1" hidden="1" outlineLevel="2" x14ac:dyDescent="0.3">
      <c r="A93" s="27"/>
      <c r="B93" s="11" t="str">
        <f>CONCATENATE("          ", "6245", " - ", "PRINTING")</f>
        <v xml:space="preserve">          6245 - PRINTING</v>
      </c>
      <c r="C93" s="11"/>
      <c r="D93" s="7"/>
      <c r="E93" s="2"/>
      <c r="F93" s="6">
        <f t="shared" si="60"/>
        <v>0</v>
      </c>
      <c r="G93" s="2"/>
      <c r="H93" s="7">
        <v>400</v>
      </c>
      <c r="I93" s="2"/>
      <c r="J93" s="6">
        <f t="shared" si="61"/>
        <v>2.639758726052439E-3</v>
      </c>
      <c r="K93" s="2"/>
      <c r="L93" s="7">
        <f t="shared" si="62"/>
        <v>-400</v>
      </c>
      <c r="M93" s="2"/>
      <c r="N93" s="6">
        <f t="shared" si="63"/>
        <v>-1</v>
      </c>
      <c r="O93" s="11"/>
      <c r="P93" s="7">
        <v>1071</v>
      </c>
      <c r="Q93" s="2"/>
      <c r="R93" s="6">
        <f t="shared" si="64"/>
        <v>1.7779295888752805E-3</v>
      </c>
      <c r="S93" s="2"/>
      <c r="T93" s="7">
        <v>1500</v>
      </c>
      <c r="U93" s="2"/>
      <c r="V93" s="6">
        <f t="shared" si="65"/>
        <v>2.3026017865119728E-3</v>
      </c>
      <c r="W93" s="2"/>
      <c r="X93" s="7">
        <f t="shared" si="66"/>
        <v>-429</v>
      </c>
      <c r="Y93" s="2"/>
      <c r="Z93" s="6">
        <f t="shared" si="67"/>
        <v>-0.28599999999999998</v>
      </c>
    </row>
    <row r="94" spans="1:26" s="24" customFormat="1" hidden="1" outlineLevel="2" x14ac:dyDescent="0.3">
      <c r="A94" s="27"/>
      <c r="B94" s="11" t="str">
        <f>CONCATENATE("          ", "6247", " - ", "STORE SUPPLIES")</f>
        <v xml:space="preserve">          6247 - STORE SUPPLIES</v>
      </c>
      <c r="C94" s="11"/>
      <c r="D94" s="7">
        <v>195</v>
      </c>
      <c r="E94" s="2"/>
      <c r="F94" s="6">
        <f t="shared" si="60"/>
        <v>1.4468247390707229E-2</v>
      </c>
      <c r="G94" s="2"/>
      <c r="H94" s="7"/>
      <c r="I94" s="2"/>
      <c r="J94" s="6">
        <f t="shared" si="61"/>
        <v>0</v>
      </c>
      <c r="K94" s="2"/>
      <c r="L94" s="7">
        <f t="shared" si="62"/>
        <v>195</v>
      </c>
      <c r="M94" s="2"/>
      <c r="N94" s="6">
        <f t="shared" si="63"/>
        <v>0</v>
      </c>
      <c r="O94" s="11"/>
      <c r="P94" s="7">
        <v>695.61</v>
      </c>
      <c r="Q94" s="2"/>
      <c r="R94" s="6">
        <f t="shared" si="64"/>
        <v>1.1547577976821046E-3</v>
      </c>
      <c r="S94" s="2"/>
      <c r="T94" s="7">
        <v>411</v>
      </c>
      <c r="U94" s="2"/>
      <c r="V94" s="6">
        <f t="shared" si="65"/>
        <v>6.3091288950428053E-4</v>
      </c>
      <c r="W94" s="2"/>
      <c r="X94" s="7">
        <f t="shared" si="66"/>
        <v>284.61</v>
      </c>
      <c r="Y94" s="2"/>
      <c r="Z94" s="6">
        <f t="shared" si="67"/>
        <v>0.69248175182481753</v>
      </c>
    </row>
    <row r="95" spans="1:26" s="24" customFormat="1" hidden="1" outlineLevel="2" x14ac:dyDescent="0.3">
      <c r="A95" s="27"/>
      <c r="B95" s="11" t="str">
        <f>CONCATENATE("          ", "6248", " - ", "UNIFORMS")</f>
        <v xml:space="preserve">          6248 - UNIFORMS</v>
      </c>
      <c r="C95" s="11"/>
      <c r="D95" s="7">
        <v>349.3</v>
      </c>
      <c r="E95" s="2"/>
      <c r="F95" s="6">
        <f t="shared" si="60"/>
        <v>2.5916711864482231E-2</v>
      </c>
      <c r="G95" s="2"/>
      <c r="H95" s="7">
        <v>500</v>
      </c>
      <c r="I95" s="2"/>
      <c r="J95" s="6">
        <f t="shared" si="61"/>
        <v>3.2996984075655484E-3</v>
      </c>
      <c r="K95" s="2"/>
      <c r="L95" s="7">
        <f t="shared" si="62"/>
        <v>-150.69999999999999</v>
      </c>
      <c r="M95" s="2"/>
      <c r="N95" s="6">
        <f t="shared" si="63"/>
        <v>-0.3014</v>
      </c>
      <c r="O95" s="11"/>
      <c r="P95" s="7">
        <v>602.25</v>
      </c>
      <c r="Q95" s="2"/>
      <c r="R95" s="6">
        <f t="shared" si="64"/>
        <v>9.9977413155941889E-4</v>
      </c>
      <c r="S95" s="2"/>
      <c r="T95" s="7">
        <v>3350</v>
      </c>
      <c r="U95" s="2"/>
      <c r="V95" s="6">
        <f t="shared" si="65"/>
        <v>5.1424773232100728E-3</v>
      </c>
      <c r="W95" s="2"/>
      <c r="X95" s="7">
        <f t="shared" si="66"/>
        <v>-2747.75</v>
      </c>
      <c r="Y95" s="2"/>
      <c r="Z95" s="6">
        <f t="shared" si="67"/>
        <v>-0.8202238805970149</v>
      </c>
    </row>
    <row r="96" spans="1:26" s="28" customFormat="1" outlineLevel="1" collapsed="1" x14ac:dyDescent="0.3">
      <c r="A96" s="29"/>
      <c r="B96" s="14" t="str">
        <f>CONCATENATE("     ","Telephone/Data Lines                              ")</f>
        <v xml:space="preserve">     Telephone/Data Lines                              </v>
      </c>
      <c r="C96" s="14"/>
      <c r="D96" s="1">
        <f>SUM(OSRRefD22_17x_0)</f>
        <v>920.65</v>
      </c>
      <c r="E96" s="1"/>
      <c r="F96" s="5">
        <f t="shared" ref="F96:F98" si="68">IF(D$12=0,0,D96/D$12)</f>
        <v>6.8308676719254419E-2</v>
      </c>
      <c r="G96" s="1"/>
      <c r="H96" s="1">
        <f>SUM(OSRRefH22_17x_0)</f>
        <v>510</v>
      </c>
      <c r="I96" s="1"/>
      <c r="J96" s="5">
        <f t="shared" ref="J96:J98" si="69">IF(H$12=0,0,H96/H$12)</f>
        <v>3.3656923757168595E-3</v>
      </c>
      <c r="K96" s="1"/>
      <c r="L96" s="1">
        <f t="shared" ref="L96:L98" si="70">+D96-H96</f>
        <v>410.65</v>
      </c>
      <c r="M96" s="1"/>
      <c r="N96" s="5">
        <f t="shared" ref="N96:N98" si="71">IF(H96=0,0,L96/H96)</f>
        <v>0.80519607843137253</v>
      </c>
      <c r="O96" s="14"/>
      <c r="P96" s="1">
        <f>SUM(OSRRefP22_17x_0)</f>
        <v>4565.59</v>
      </c>
      <c r="Q96" s="1"/>
      <c r="R96" s="5">
        <f t="shared" ref="R96:R98" si="72">IF(P$12=0,0,P96/P$12)</f>
        <v>7.5791760519823463E-3</v>
      </c>
      <c r="S96" s="1"/>
      <c r="T96" s="1">
        <f>SUM(OSRRefT22_17x_0)</f>
        <v>2970</v>
      </c>
      <c r="U96" s="1"/>
      <c r="V96" s="5">
        <f t="shared" ref="V96:V98" si="73">IF(T$12=0,0,T96/T$12)</f>
        <v>4.5591515372937061E-3</v>
      </c>
      <c r="W96" s="1"/>
      <c r="X96" s="1">
        <f t="shared" ref="X96:X98" si="74">+P96-T96</f>
        <v>1595.5900000000001</v>
      </c>
      <c r="Y96" s="1"/>
      <c r="Z96" s="5">
        <f t="shared" ref="Z96:Z98" si="75">IF(T96=0,0,X96/T96)</f>
        <v>0.53723569023569029</v>
      </c>
    </row>
    <row r="97" spans="1:26" s="24" customFormat="1" hidden="1" outlineLevel="2" x14ac:dyDescent="0.3">
      <c r="A97" s="27"/>
      <c r="B97" s="11" t="str">
        <f>CONCATENATE("          ", "6303", " - ", "DATA PHONE LINES")</f>
        <v xml:space="preserve">          6303 - DATA PHONE LINES</v>
      </c>
      <c r="C97" s="11"/>
      <c r="D97" s="7"/>
      <c r="E97" s="2"/>
      <c r="F97" s="6">
        <f t="shared" si="68"/>
        <v>0</v>
      </c>
      <c r="G97" s="2"/>
      <c r="H97" s="7">
        <v>135</v>
      </c>
      <c r="I97" s="2"/>
      <c r="J97" s="6">
        <f t="shared" si="69"/>
        <v>8.9091857004269814E-4</v>
      </c>
      <c r="K97" s="2"/>
      <c r="L97" s="7">
        <f t="shared" si="70"/>
        <v>-135</v>
      </c>
      <c r="M97" s="2"/>
      <c r="N97" s="6">
        <f t="shared" si="71"/>
        <v>-1</v>
      </c>
      <c r="O97" s="11"/>
      <c r="P97" s="7"/>
      <c r="Q97" s="2"/>
      <c r="R97" s="6">
        <f t="shared" si="72"/>
        <v>0</v>
      </c>
      <c r="S97" s="2"/>
      <c r="T97" s="7">
        <v>945</v>
      </c>
      <c r="U97" s="2"/>
      <c r="V97" s="6">
        <f t="shared" si="73"/>
        <v>1.4506391255025429E-3</v>
      </c>
      <c r="W97" s="2"/>
      <c r="X97" s="7">
        <f t="shared" si="74"/>
        <v>-945</v>
      </c>
      <c r="Y97" s="2"/>
      <c r="Z97" s="6">
        <f t="shared" si="75"/>
        <v>-1</v>
      </c>
    </row>
    <row r="98" spans="1:26" s="24" customFormat="1" hidden="1" outlineLevel="2" x14ac:dyDescent="0.3">
      <c r="A98" s="27"/>
      <c r="B98" s="11" t="str">
        <f>CONCATENATE("          ", "6309", " - ", "TELEPHONE")</f>
        <v xml:space="preserve">          6309 - TELEPHONE</v>
      </c>
      <c r="C98" s="11"/>
      <c r="D98" s="7">
        <v>920.65</v>
      </c>
      <c r="E98" s="2"/>
      <c r="F98" s="6">
        <f t="shared" si="68"/>
        <v>6.8308676719254419E-2</v>
      </c>
      <c r="G98" s="2"/>
      <c r="H98" s="7">
        <v>375</v>
      </c>
      <c r="I98" s="2"/>
      <c r="J98" s="6">
        <f t="shared" si="69"/>
        <v>2.4747738056741615E-3</v>
      </c>
      <c r="K98" s="2"/>
      <c r="L98" s="7">
        <f t="shared" si="70"/>
        <v>545.65</v>
      </c>
      <c r="M98" s="2"/>
      <c r="N98" s="6">
        <f t="shared" si="71"/>
        <v>1.4550666666666665</v>
      </c>
      <c r="O98" s="11"/>
      <c r="P98" s="7">
        <v>4565.59</v>
      </c>
      <c r="Q98" s="2"/>
      <c r="R98" s="6">
        <f t="shared" si="72"/>
        <v>7.5791760519823463E-3</v>
      </c>
      <c r="S98" s="2"/>
      <c r="T98" s="7">
        <v>2025</v>
      </c>
      <c r="U98" s="2"/>
      <c r="V98" s="6">
        <f t="shared" si="73"/>
        <v>3.1085124117911631E-3</v>
      </c>
      <c r="W98" s="2"/>
      <c r="X98" s="7">
        <f t="shared" si="74"/>
        <v>2540.59</v>
      </c>
      <c r="Y98" s="2"/>
      <c r="Z98" s="6">
        <f t="shared" si="75"/>
        <v>1.2546123456790124</v>
      </c>
    </row>
    <row r="99" spans="1:26" s="28" customFormat="1" outlineLevel="1" collapsed="1" x14ac:dyDescent="0.3">
      <c r="A99" s="29"/>
      <c r="B99" s="14" t="str">
        <f>CONCATENATE("     ","Training                                          ")</f>
        <v xml:space="preserve">     Training                                          </v>
      </c>
      <c r="C99" s="14"/>
      <c r="D99" s="1">
        <f>SUM(OSRRefD22_18x_0)</f>
        <v>0</v>
      </c>
      <c r="E99" s="1"/>
      <c r="F99" s="5">
        <f t="shared" ref="F99:F104" si="76">IF(D$12=0,0,D99/D$12)</f>
        <v>0</v>
      </c>
      <c r="G99" s="1"/>
      <c r="H99" s="1">
        <f>SUM(OSRRefH22_18x_0)</f>
        <v>1060</v>
      </c>
      <c r="I99" s="1"/>
      <c r="J99" s="5">
        <f t="shared" ref="J99:J104" si="77">IF(H$12=0,0,H99/H$12)</f>
        <v>6.9953606240389628E-3</v>
      </c>
      <c r="K99" s="1"/>
      <c r="L99" s="1">
        <f t="shared" ref="L99:L104" si="78">+D99-H99</f>
        <v>-1060</v>
      </c>
      <c r="M99" s="1"/>
      <c r="N99" s="5">
        <f t="shared" ref="N99:N104" si="79">IF(H99=0,0,L99/H99)</f>
        <v>-1</v>
      </c>
      <c r="O99" s="14"/>
      <c r="P99" s="1">
        <f>SUM(OSRRefP22_18x_0)</f>
        <v>0</v>
      </c>
      <c r="Q99" s="1"/>
      <c r="R99" s="5">
        <f t="shared" ref="R99:R104" si="80">IF(P$12=0,0,P99/P$12)</f>
        <v>0</v>
      </c>
      <c r="S99" s="1"/>
      <c r="T99" s="1">
        <f>SUM(OSRRefT22_18x_0)</f>
        <v>1860</v>
      </c>
      <c r="U99" s="1"/>
      <c r="V99" s="5">
        <f t="shared" ref="V99:V104" si="81">IF(T$12=0,0,T99/T$12)</f>
        <v>2.8552262152748463E-3</v>
      </c>
      <c r="W99" s="1"/>
      <c r="X99" s="1">
        <f t="shared" ref="X99:X104" si="82">+P99-T99</f>
        <v>-1860</v>
      </c>
      <c r="Y99" s="1"/>
      <c r="Z99" s="5">
        <f t="shared" ref="Z99:Z104" si="83">IF(T99=0,0,X99/T99)</f>
        <v>-1</v>
      </c>
    </row>
    <row r="100" spans="1:26" s="24" customFormat="1" hidden="1" outlineLevel="2" x14ac:dyDescent="0.3">
      <c r="A100" s="27"/>
      <c r="B100" s="11" t="str">
        <f>CONCATENATE("          ", "6376", " - ", "TRAINING")</f>
        <v xml:space="preserve">          6376 - TRAINING</v>
      </c>
      <c r="C100" s="11"/>
      <c r="D100" s="7"/>
      <c r="E100" s="2"/>
      <c r="F100" s="6">
        <f t="shared" si="76"/>
        <v>0</v>
      </c>
      <c r="G100" s="2"/>
      <c r="H100" s="7">
        <v>1060</v>
      </c>
      <c r="I100" s="2"/>
      <c r="J100" s="6">
        <f t="shared" si="77"/>
        <v>6.9953606240389628E-3</v>
      </c>
      <c r="K100" s="2"/>
      <c r="L100" s="7">
        <f t="shared" si="78"/>
        <v>-1060</v>
      </c>
      <c r="M100" s="2"/>
      <c r="N100" s="6">
        <f t="shared" si="79"/>
        <v>-1</v>
      </c>
      <c r="O100" s="11"/>
      <c r="P100" s="7"/>
      <c r="Q100" s="2"/>
      <c r="R100" s="6">
        <f t="shared" si="80"/>
        <v>0</v>
      </c>
      <c r="S100" s="2"/>
      <c r="T100" s="7">
        <v>1860</v>
      </c>
      <c r="U100" s="2"/>
      <c r="V100" s="6">
        <f t="shared" si="81"/>
        <v>2.8552262152748463E-3</v>
      </c>
      <c r="W100" s="2"/>
      <c r="X100" s="7">
        <f t="shared" si="82"/>
        <v>-1860</v>
      </c>
      <c r="Y100" s="2"/>
      <c r="Z100" s="6">
        <f t="shared" si="83"/>
        <v>-1</v>
      </c>
    </row>
    <row r="101" spans="1:26" s="28" customFormat="1" outlineLevel="1" collapsed="1" x14ac:dyDescent="0.3">
      <c r="A101" s="29"/>
      <c r="B101" s="14" t="str">
        <f>CONCATENATE("     ","Travel                                            ")</f>
        <v xml:space="preserve">     Travel                                            </v>
      </c>
      <c r="C101" s="14"/>
      <c r="D101" s="1">
        <f>SUM(OSRRefD22_19x_0)</f>
        <v>0</v>
      </c>
      <c r="E101" s="1"/>
      <c r="F101" s="5">
        <f t="shared" si="76"/>
        <v>0</v>
      </c>
      <c r="G101" s="1"/>
      <c r="H101" s="1">
        <f>SUM(OSRRefH22_19x_0)</f>
        <v>0</v>
      </c>
      <c r="I101" s="1"/>
      <c r="J101" s="5">
        <f t="shared" si="77"/>
        <v>0</v>
      </c>
      <c r="K101" s="1"/>
      <c r="L101" s="1">
        <f t="shared" si="78"/>
        <v>0</v>
      </c>
      <c r="M101" s="1"/>
      <c r="N101" s="5">
        <f t="shared" si="79"/>
        <v>0</v>
      </c>
      <c r="O101" s="14"/>
      <c r="P101" s="1">
        <f>SUM(OSRRefP22_19x_0)</f>
        <v>18.59</v>
      </c>
      <c r="Q101" s="1"/>
      <c r="R101" s="5">
        <f t="shared" si="80"/>
        <v>3.0860607896537313E-5</v>
      </c>
      <c r="S101" s="1"/>
      <c r="T101" s="1">
        <f>SUM(OSRRefT22_19x_0)</f>
        <v>0</v>
      </c>
      <c r="U101" s="1"/>
      <c r="V101" s="5">
        <f t="shared" si="81"/>
        <v>0</v>
      </c>
      <c r="W101" s="1"/>
      <c r="X101" s="1">
        <f t="shared" si="82"/>
        <v>18.59</v>
      </c>
      <c r="Y101" s="1"/>
      <c r="Z101" s="5">
        <f t="shared" si="83"/>
        <v>0</v>
      </c>
    </row>
    <row r="102" spans="1:26" s="24" customFormat="1" hidden="1" outlineLevel="2" x14ac:dyDescent="0.3">
      <c r="A102" s="27"/>
      <c r="B102" s="11" t="str">
        <f>CONCATENATE("          ", "6292", " - ", "TRAVEL/CONFERENCE")</f>
        <v xml:space="preserve">          6292 - TRAVEL/CONFERENCE</v>
      </c>
      <c r="C102" s="11"/>
      <c r="D102" s="7"/>
      <c r="E102" s="2"/>
      <c r="F102" s="6">
        <f t="shared" si="76"/>
        <v>0</v>
      </c>
      <c r="G102" s="2"/>
      <c r="H102" s="7"/>
      <c r="I102" s="2"/>
      <c r="J102" s="6">
        <f t="shared" si="77"/>
        <v>0</v>
      </c>
      <c r="K102" s="2"/>
      <c r="L102" s="7">
        <f t="shared" si="78"/>
        <v>0</v>
      </c>
      <c r="M102" s="2"/>
      <c r="N102" s="6">
        <f t="shared" si="79"/>
        <v>0</v>
      </c>
      <c r="O102" s="11"/>
      <c r="P102" s="7">
        <v>18.59</v>
      </c>
      <c r="Q102" s="2"/>
      <c r="R102" s="6">
        <f t="shared" si="80"/>
        <v>3.0860607896537313E-5</v>
      </c>
      <c r="S102" s="2"/>
      <c r="T102" s="7"/>
      <c r="U102" s="2"/>
      <c r="V102" s="6">
        <f t="shared" si="81"/>
        <v>0</v>
      </c>
      <c r="W102" s="2"/>
      <c r="X102" s="7">
        <f t="shared" si="82"/>
        <v>18.59</v>
      </c>
      <c r="Y102" s="2"/>
      <c r="Z102" s="6">
        <f t="shared" si="83"/>
        <v>0</v>
      </c>
    </row>
    <row r="103" spans="1:26" s="28" customFormat="1" outlineLevel="1" collapsed="1" x14ac:dyDescent="0.3">
      <c r="A103" s="29"/>
      <c r="B103" s="14" t="str">
        <f>CONCATENATE("     ","Utilities                                         ")</f>
        <v xml:space="preserve">     Utilities                                         </v>
      </c>
      <c r="C103" s="14"/>
      <c r="D103" s="1">
        <f>SUM(OSRRefD22_20x_0)</f>
        <v>8150</v>
      </c>
      <c r="E103" s="1"/>
      <c r="F103" s="5">
        <f t="shared" si="76"/>
        <v>0.60469854479109697</v>
      </c>
      <c r="G103" s="1"/>
      <c r="H103" s="1">
        <f>SUM(OSRRefH22_20x_0)</f>
        <v>8667</v>
      </c>
      <c r="I103" s="1"/>
      <c r="J103" s="5">
        <f t="shared" si="77"/>
        <v>5.7196972196741219E-2</v>
      </c>
      <c r="K103" s="1"/>
      <c r="L103" s="1">
        <f t="shared" si="78"/>
        <v>-517</v>
      </c>
      <c r="M103" s="1"/>
      <c r="N103" s="5">
        <f t="shared" si="79"/>
        <v>-5.9651551863389871E-2</v>
      </c>
      <c r="O103" s="14"/>
      <c r="P103" s="1">
        <f>SUM(OSRRefP22_20x_0)</f>
        <v>54650</v>
      </c>
      <c r="Q103" s="1"/>
      <c r="R103" s="5">
        <f t="shared" si="80"/>
        <v>9.0722550916931918E-2</v>
      </c>
      <c r="S103" s="1"/>
      <c r="T103" s="1">
        <f>SUM(OSRRefT22_20x_0)</f>
        <v>60669</v>
      </c>
      <c r="U103" s="1"/>
      <c r="V103" s="5">
        <f t="shared" si="81"/>
        <v>9.313103185726325E-2</v>
      </c>
      <c r="W103" s="1"/>
      <c r="X103" s="1">
        <f t="shared" si="82"/>
        <v>-6019</v>
      </c>
      <c r="Y103" s="1"/>
      <c r="Z103" s="5">
        <f t="shared" si="83"/>
        <v>-9.9210469926980835E-2</v>
      </c>
    </row>
    <row r="104" spans="1:26" s="24" customFormat="1" hidden="1" outlineLevel="2" x14ac:dyDescent="0.3">
      <c r="A104" s="27"/>
      <c r="B104" s="11" t="str">
        <f>CONCATENATE("          ", "6274", " - ", "UTILITIES")</f>
        <v xml:space="preserve">          6274 - UTILITIES</v>
      </c>
      <c r="C104" s="11"/>
      <c r="D104" s="7">
        <v>8150</v>
      </c>
      <c r="E104" s="2"/>
      <c r="F104" s="6">
        <f t="shared" si="76"/>
        <v>0.60469854479109697</v>
      </c>
      <c r="G104" s="2"/>
      <c r="H104" s="7">
        <v>8667</v>
      </c>
      <c r="I104" s="2"/>
      <c r="J104" s="6">
        <f t="shared" si="77"/>
        <v>5.7196972196741219E-2</v>
      </c>
      <c r="K104" s="2"/>
      <c r="L104" s="7">
        <f t="shared" si="78"/>
        <v>-517</v>
      </c>
      <c r="M104" s="2"/>
      <c r="N104" s="6">
        <f t="shared" si="79"/>
        <v>-5.9651551863389871E-2</v>
      </c>
      <c r="O104" s="11"/>
      <c r="P104" s="7">
        <v>54650</v>
      </c>
      <c r="Q104" s="2"/>
      <c r="R104" s="6">
        <f t="shared" si="80"/>
        <v>9.0722550916931918E-2</v>
      </c>
      <c r="S104" s="2"/>
      <c r="T104" s="7">
        <v>60669</v>
      </c>
      <c r="U104" s="2"/>
      <c r="V104" s="6">
        <f t="shared" si="81"/>
        <v>9.313103185726325E-2</v>
      </c>
      <c r="W104" s="2"/>
      <c r="X104" s="7">
        <f t="shared" si="82"/>
        <v>-6019</v>
      </c>
      <c r="Y104" s="2"/>
      <c r="Z104" s="6">
        <f t="shared" si="83"/>
        <v>-9.9210469926980835E-2</v>
      </c>
    </row>
    <row r="105" spans="1:26" s="55" customFormat="1" x14ac:dyDescent="0.3">
      <c r="A105" s="36"/>
      <c r="B105" s="36"/>
      <c r="C105" s="36"/>
      <c r="D105" s="1"/>
      <c r="E105" s="1"/>
      <c r="F105" s="5"/>
      <c r="G105" s="1"/>
      <c r="H105" s="1"/>
      <c r="I105" s="1"/>
      <c r="J105" s="5"/>
      <c r="K105" s="1"/>
      <c r="L105" s="1"/>
      <c r="M105" s="1"/>
      <c r="N105" s="5"/>
      <c r="O105" s="36"/>
      <c r="P105" s="1"/>
      <c r="Q105" s="1"/>
      <c r="R105" s="5"/>
      <c r="S105" s="1"/>
      <c r="T105" s="1"/>
      <c r="U105" s="1"/>
      <c r="V105" s="5"/>
      <c r="W105" s="1"/>
      <c r="X105" s="1"/>
      <c r="Y105" s="1"/>
      <c r="Z105" s="5"/>
    </row>
    <row r="106" spans="1:26" s="23" customFormat="1" collapsed="1" x14ac:dyDescent="0.3">
      <c r="A106" s="10"/>
      <c r="B106" s="25" t="s">
        <v>293</v>
      </c>
      <c r="C106" s="10"/>
      <c r="D106" s="4">
        <f>SUM(OSRRefD25x_0)</f>
        <v>6523.34</v>
      </c>
      <c r="E106" s="4"/>
      <c r="F106" s="12">
        <f t="shared" ref="F106:F110" si="84">IF(D$12=0,0,D106/D$12)</f>
        <v>0.48400665094203127</v>
      </c>
      <c r="G106" s="4"/>
      <c r="H106" s="4">
        <f>SUM(OSRRefH25x_0)</f>
        <v>46218.59</v>
      </c>
      <c r="I106" s="4"/>
      <c r="J106" s="12">
        <f t="shared" ref="J106:J110" si="85">IF(H$12=0,0,H106/H$12)</f>
        <v>0.30501481564584992</v>
      </c>
      <c r="K106" s="4"/>
      <c r="L106" s="4">
        <f t="shared" ref="L106:L110" si="86">+D106-H106</f>
        <v>-39695.25</v>
      </c>
      <c r="M106" s="4"/>
      <c r="N106" s="12">
        <f t="shared" ref="N106:N110" si="87">IF(H106=0,0,L106/H106)</f>
        <v>-0.85885895696947923</v>
      </c>
      <c r="O106" s="10"/>
      <c r="P106" s="4">
        <f>SUM(OSRRefP25x_0)</f>
        <v>141141.85</v>
      </c>
      <c r="Q106" s="4"/>
      <c r="R106" s="12">
        <f t="shared" ref="R106:R110" si="88">IF(P$12=0,0,P106/P$12)</f>
        <v>0.23430464177740107</v>
      </c>
      <c r="S106" s="4"/>
      <c r="T106" s="4">
        <f>SUM(OSRRefT25x_0)</f>
        <v>47218.59</v>
      </c>
      <c r="U106" s="4"/>
      <c r="V106" s="12">
        <f t="shared" ref="V106:V110" si="89">IF(T$12=0,0,T106/T$12)</f>
        <v>7.2483739793717569E-2</v>
      </c>
      <c r="W106" s="4"/>
      <c r="X106" s="4">
        <f t="shared" ref="X106:X110" si="90">+P106-T106</f>
        <v>93923.260000000009</v>
      </c>
      <c r="Y106" s="4"/>
      <c r="Z106" s="12">
        <f t="shared" ref="Z106:Z110" si="91">IF(T106=0,0,X106/T106)</f>
        <v>1.9891161510752442</v>
      </c>
    </row>
    <row r="107" spans="1:26" s="24" customFormat="1" hidden="1" outlineLevel="1" x14ac:dyDescent="0.3">
      <c r="A107" s="44"/>
      <c r="B107" s="11" t="str">
        <f>CONCATENATE("          ", "9150", " - ", "MISC. INCOME")</f>
        <v xml:space="preserve">          9150 - MISC. INCOME</v>
      </c>
      <c r="C107" s="11"/>
      <c r="D107" s="2">
        <f>--6523.34</f>
        <v>6523.34</v>
      </c>
      <c r="E107" s="2"/>
      <c r="F107" s="19">
        <f t="shared" si="84"/>
        <v>0.48400665094203127</v>
      </c>
      <c r="G107" s="2"/>
      <c r="H107" s="2"/>
      <c r="I107" s="2"/>
      <c r="J107" s="19">
        <f t="shared" si="85"/>
        <v>0</v>
      </c>
      <c r="K107" s="2"/>
      <c r="L107" s="2">
        <f t="shared" si="86"/>
        <v>6523.34</v>
      </c>
      <c r="M107" s="2"/>
      <c r="N107" s="19">
        <f t="shared" si="87"/>
        <v>0</v>
      </c>
      <c r="O107" s="11"/>
      <c r="P107" s="2">
        <f>--141141.85</f>
        <v>141141.85</v>
      </c>
      <c r="Q107" s="2"/>
      <c r="R107" s="19">
        <f t="shared" si="88"/>
        <v>0.23430464177740107</v>
      </c>
      <c r="S107" s="2"/>
      <c r="T107" s="2">
        <v>1000</v>
      </c>
      <c r="U107" s="2"/>
      <c r="V107" s="19">
        <f t="shared" si="89"/>
        <v>1.5350678576746485E-3</v>
      </c>
      <c r="W107" s="2"/>
      <c r="X107" s="2">
        <f t="shared" si="90"/>
        <v>140141.85</v>
      </c>
      <c r="Y107" s="2"/>
      <c r="Z107" s="19">
        <f t="shared" si="91"/>
        <v>140.14185000000001</v>
      </c>
    </row>
    <row r="108" spans="1:26" s="24" customFormat="1" hidden="1" outlineLevel="1" x14ac:dyDescent="0.3">
      <c r="A108" s="44"/>
      <c r="B108" s="11" t="str">
        <f>CONCATENATE("          ", "9151", " - ", "MISC. INCOME")</f>
        <v xml:space="preserve">          9151 - MISC. INCOME</v>
      </c>
      <c r="C108" s="11"/>
      <c r="D108" s="2">
        <f t="shared" ref="D108:D110" si="92">0</f>
        <v>0</v>
      </c>
      <c r="E108" s="2"/>
      <c r="F108" s="19">
        <f t="shared" si="84"/>
        <v>0</v>
      </c>
      <c r="G108" s="2"/>
      <c r="H108" s="2">
        <v>16252</v>
      </c>
      <c r="I108" s="2"/>
      <c r="J108" s="19">
        <f t="shared" si="85"/>
        <v>0.10725339703951059</v>
      </c>
      <c r="K108" s="2"/>
      <c r="L108" s="2">
        <f t="shared" si="86"/>
        <v>-16252</v>
      </c>
      <c r="M108" s="2"/>
      <c r="N108" s="19">
        <f t="shared" si="87"/>
        <v>-1</v>
      </c>
      <c r="O108" s="11"/>
      <c r="P108" s="2">
        <f t="shared" ref="P108:P110" si="93">0</f>
        <v>0</v>
      </c>
      <c r="Q108" s="2"/>
      <c r="R108" s="19">
        <f t="shared" si="88"/>
        <v>0</v>
      </c>
      <c r="S108" s="2"/>
      <c r="T108" s="2">
        <v>16252</v>
      </c>
      <c r="U108" s="2"/>
      <c r="V108" s="19">
        <f t="shared" si="89"/>
        <v>2.4947922822928386E-2</v>
      </c>
      <c r="W108" s="2"/>
      <c r="X108" s="2">
        <f t="shared" si="90"/>
        <v>-16252</v>
      </c>
      <c r="Y108" s="2"/>
      <c r="Z108" s="19">
        <f t="shared" si="91"/>
        <v>-1</v>
      </c>
    </row>
    <row r="109" spans="1:26" s="24" customFormat="1" hidden="1" outlineLevel="1" x14ac:dyDescent="0.3">
      <c r="A109" s="44"/>
      <c r="B109" s="11" t="str">
        <f>CONCATENATE("          ", "9160", " - ", "MISC. INCOME")</f>
        <v xml:space="preserve">          9160 - MISC. INCOME</v>
      </c>
      <c r="C109" s="11"/>
      <c r="D109" s="2">
        <f t="shared" si="92"/>
        <v>0</v>
      </c>
      <c r="E109" s="2"/>
      <c r="F109" s="19">
        <f t="shared" si="84"/>
        <v>0</v>
      </c>
      <c r="G109" s="2"/>
      <c r="H109" s="2">
        <v>29966.59</v>
      </c>
      <c r="I109" s="2"/>
      <c r="J109" s="19">
        <f t="shared" si="85"/>
        <v>0.19776141860633939</v>
      </c>
      <c r="K109" s="2"/>
      <c r="L109" s="2">
        <f t="shared" si="86"/>
        <v>-29966.59</v>
      </c>
      <c r="M109" s="2"/>
      <c r="N109" s="19">
        <f t="shared" si="87"/>
        <v>-1</v>
      </c>
      <c r="O109" s="11"/>
      <c r="P109" s="2">
        <f t="shared" si="93"/>
        <v>0</v>
      </c>
      <c r="Q109" s="2"/>
      <c r="R109" s="19">
        <f t="shared" si="88"/>
        <v>0</v>
      </c>
      <c r="S109" s="2"/>
      <c r="T109" s="2">
        <v>29966.59</v>
      </c>
      <c r="U109" s="2"/>
      <c r="V109" s="19">
        <f t="shared" si="89"/>
        <v>4.6000749113114546E-2</v>
      </c>
      <c r="W109" s="2"/>
      <c r="X109" s="2">
        <f t="shared" si="90"/>
        <v>-29966.59</v>
      </c>
      <c r="Y109" s="2"/>
      <c r="Z109" s="19">
        <f t="shared" si="91"/>
        <v>-1</v>
      </c>
    </row>
    <row r="110" spans="1:26" s="24" customFormat="1" hidden="1" outlineLevel="1" x14ac:dyDescent="0.3">
      <c r="A110" s="44"/>
      <c r="B110" s="11" t="str">
        <f>CONCATENATE("          ", "9165", " - ", "OTHER INCOME")</f>
        <v xml:space="preserve">          9165 - OTHER INCOME</v>
      </c>
      <c r="C110" s="11"/>
      <c r="D110" s="2">
        <f t="shared" si="92"/>
        <v>0</v>
      </c>
      <c r="E110" s="2"/>
      <c r="F110" s="19">
        <f t="shared" si="84"/>
        <v>0</v>
      </c>
      <c r="G110" s="2"/>
      <c r="H110" s="2"/>
      <c r="I110" s="2"/>
      <c r="J110" s="19">
        <f t="shared" si="85"/>
        <v>0</v>
      </c>
      <c r="K110" s="2"/>
      <c r="L110" s="2">
        <f t="shared" si="86"/>
        <v>0</v>
      </c>
      <c r="M110" s="2"/>
      <c r="N110" s="19">
        <f t="shared" si="87"/>
        <v>0</v>
      </c>
      <c r="O110" s="11"/>
      <c r="P110" s="2">
        <f t="shared" si="93"/>
        <v>0</v>
      </c>
      <c r="Q110" s="2"/>
      <c r="R110" s="19">
        <f t="shared" si="88"/>
        <v>0</v>
      </c>
      <c r="S110" s="2"/>
      <c r="T110" s="2"/>
      <c r="U110" s="2"/>
      <c r="V110" s="19">
        <f t="shared" si="89"/>
        <v>0</v>
      </c>
      <c r="W110" s="2"/>
      <c r="X110" s="2">
        <f t="shared" si="90"/>
        <v>0</v>
      </c>
      <c r="Y110" s="2"/>
      <c r="Z110" s="19">
        <f t="shared" si="91"/>
        <v>0</v>
      </c>
    </row>
    <row r="111" spans="1:26" x14ac:dyDescent="0.3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3">
      <c r="A112" s="10"/>
      <c r="B112" s="26" t="s">
        <v>277</v>
      </c>
      <c r="C112" s="26"/>
      <c r="D112" s="21">
        <f>+D24-D26+D106</f>
        <v>-155631.37999999998</v>
      </c>
      <c r="E112" s="13"/>
      <c r="F112" s="22">
        <f>IF(D$12=0,0,D112/D$12)</f>
        <v>-11.547247731267513</v>
      </c>
      <c r="G112" s="13"/>
      <c r="H112" s="21">
        <f>+H24-H26+H106</f>
        <v>-59234.743444165651</v>
      </c>
      <c r="I112" s="13"/>
      <c r="J112" s="22">
        <f>IF(H$12=0,0,H112/H$12)</f>
        <v>-0.39091357723053444</v>
      </c>
      <c r="K112" s="15"/>
      <c r="L112" s="21">
        <f>+D112-H112</f>
        <v>-96396.636555834324</v>
      </c>
      <c r="M112" s="15"/>
      <c r="N112" s="22">
        <f>IF(H112=0,0,L112/H112)</f>
        <v>1.6273664905242187</v>
      </c>
      <c r="O112" s="25"/>
      <c r="P112" s="21">
        <f>+P24-P26+P106</f>
        <v>-739866.91000000061</v>
      </c>
      <c r="Q112" s="13"/>
      <c r="R112" s="22">
        <f>IF(P$12=0,0,P112/P$12)</f>
        <v>-1.2282271439017043</v>
      </c>
      <c r="S112" s="13"/>
      <c r="T112" s="21">
        <f>+T24-T26+T106</f>
        <v>-753455.75208575476</v>
      </c>
      <c r="U112" s="13"/>
      <c r="V112" s="22">
        <f>IF(T$12=0,0,T112/T$12)</f>
        <v>-1.1566057072069207</v>
      </c>
      <c r="W112" s="15"/>
      <c r="X112" s="21">
        <f>+P112-T112</f>
        <v>13588.84208575415</v>
      </c>
      <c r="Y112" s="15"/>
      <c r="Z112" s="22">
        <f>IF(T112=0,0,X112/T112)</f>
        <v>-1.8035355159392998E-2</v>
      </c>
    </row>
    <row r="113" spans="1:26" x14ac:dyDescent="0.3">
      <c r="A113" s="9"/>
      <c r="B113" s="10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3">
      <c r="A114" s="52"/>
      <c r="B114" s="10" t="s">
        <v>128</v>
      </c>
      <c r="C114" s="10"/>
      <c r="D114" s="4">
        <v>8848.9</v>
      </c>
      <c r="E114" s="4"/>
      <c r="F114" s="12">
        <f>IF(D$12=0,0,D114/D$12)</f>
        <v>0.65655422736220104</v>
      </c>
      <c r="G114" s="4"/>
      <c r="H114" s="4">
        <v>16900</v>
      </c>
      <c r="I114" s="4"/>
      <c r="J114" s="12">
        <f>IF(H$12=0,0,H114/H$12)</f>
        <v>0.11152980617571553</v>
      </c>
      <c r="K114" s="4"/>
      <c r="L114" s="4">
        <f>+D114-H114</f>
        <v>-8051.1</v>
      </c>
      <c r="M114" s="4"/>
      <c r="N114" s="12">
        <f>IF(H114=0,0,L114/H114)</f>
        <v>-0.47639644970414202</v>
      </c>
      <c r="O114" s="10"/>
      <c r="P114" s="4">
        <v>79736.27</v>
      </c>
      <c r="Q114" s="4"/>
      <c r="R114" s="12">
        <f>IF(P$12=0,0,P114/P$12)</f>
        <v>0.13236738911255685</v>
      </c>
      <c r="S114" s="4"/>
      <c r="T114" s="4">
        <v>81623</v>
      </c>
      <c r="U114" s="4"/>
      <c r="V114" s="12">
        <f>IF(T$12=0,0,T114/T$12)</f>
        <v>0.12529684374697783</v>
      </c>
      <c r="W114" s="4"/>
      <c r="X114" s="4">
        <f>+P114-T114</f>
        <v>-1886.7299999999959</v>
      </c>
      <c r="Y114" s="4"/>
      <c r="Z114" s="12">
        <f>IF(T114=0,0,X114/T114)</f>
        <v>-2.3115175869546523E-2</v>
      </c>
    </row>
    <row r="115" spans="1:26" x14ac:dyDescent="0.3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" thickBot="1" x14ac:dyDescent="0.35">
      <c r="A116" s="10"/>
      <c r="B116" s="26" t="s">
        <v>126</v>
      </c>
      <c r="C116" s="26"/>
      <c r="D116" s="32">
        <f>+D112-D114</f>
        <v>-164480.27999999997</v>
      </c>
      <c r="E116" s="13"/>
      <c r="F116" s="31">
        <f>IF(D$12=0,0,D116/D$12)</f>
        <v>-12.203801958629713</v>
      </c>
      <c r="G116" s="13"/>
      <c r="H116" s="32">
        <f>+H112-H114</f>
        <v>-76134.743444165651</v>
      </c>
      <c r="I116" s="13"/>
      <c r="J116" s="31">
        <f>IF(H$12=0,0,H116/H$12)</f>
        <v>-0.50244338340624994</v>
      </c>
      <c r="K116" s="15"/>
      <c r="L116" s="32">
        <f>D116-H116</f>
        <v>-88345.536555834318</v>
      </c>
      <c r="M116" s="15"/>
      <c r="N116" s="31">
        <f>IF(H116=0,0,L116/H116)</f>
        <v>1.160383979235756</v>
      </c>
      <c r="O116" s="25"/>
      <c r="P116" s="32">
        <f>+P112-P114</f>
        <v>-819603.18000000063</v>
      </c>
      <c r="Q116" s="13"/>
      <c r="R116" s="31">
        <f>IF(P$12=0,0,P116/P$12)</f>
        <v>-1.3605945330142613</v>
      </c>
      <c r="S116" s="13"/>
      <c r="T116" s="32">
        <f>+T112-T114</f>
        <v>-835078.75208575476</v>
      </c>
      <c r="U116" s="13"/>
      <c r="V116" s="31">
        <f>IF(T$12=0,0,T116/T$12)</f>
        <v>-1.2819025509538984</v>
      </c>
      <c r="W116" s="15"/>
      <c r="X116" s="32">
        <f>P116-T116</f>
        <v>15475.572085754131</v>
      </c>
      <c r="Y116" s="15"/>
      <c r="Z116" s="31">
        <f>IF(T116=0,0,X116/T116)</f>
        <v>-1.8531871451765707E-2</v>
      </c>
    </row>
    <row r="117" spans="1:26" ht="15" thickTop="1" x14ac:dyDescent="0.3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x14ac:dyDescent="0.3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" thickBot="1" x14ac:dyDescent="0.35">
      <c r="A119" s="10"/>
      <c r="B119" s="26" t="s">
        <v>294</v>
      </c>
      <c r="C119" s="26"/>
      <c r="D119" s="34">
        <f>SUM(D116:D118)</f>
        <v>-164480.27999999997</v>
      </c>
      <c r="E119" s="13"/>
      <c r="F119" s="35">
        <f>IF(D$12=0,0,D119/D$12)</f>
        <v>-12.203801958629713</v>
      </c>
      <c r="G119" s="13"/>
      <c r="H119" s="34">
        <f>SUM(H116:H118)</f>
        <v>-76134.743444165651</v>
      </c>
      <c r="I119" s="13"/>
      <c r="J119" s="35">
        <f>IF(H$12=0,0,H119/H$12)</f>
        <v>-0.50244338340624994</v>
      </c>
      <c r="K119" s="15"/>
      <c r="L119" s="34">
        <f>+D119-H119</f>
        <v>-88345.536555834318</v>
      </c>
      <c r="M119" s="15"/>
      <c r="N119" s="35">
        <f>IF(H119=0,0,L119/H119)</f>
        <v>1.160383979235756</v>
      </c>
      <c r="O119" s="25"/>
      <c r="P119" s="34">
        <f>SUM(P116:P118)</f>
        <v>-819603.18000000063</v>
      </c>
      <c r="Q119" s="13"/>
      <c r="R119" s="35">
        <f>IF(P$12=0,0,P119/P$12)</f>
        <v>-1.3605945330142613</v>
      </c>
      <c r="S119" s="13"/>
      <c r="T119" s="34">
        <f>SUM(T116:T118)</f>
        <v>-835078.75208575476</v>
      </c>
      <c r="U119" s="13"/>
      <c r="V119" s="35">
        <f>IF(T$12=0,0,T119/T$12)</f>
        <v>-1.2819025509538984</v>
      </c>
      <c r="W119" s="15"/>
      <c r="X119" s="34">
        <f>+P119-T119</f>
        <v>15475.572085754131</v>
      </c>
      <c r="Y119" s="15"/>
      <c r="Z119" s="35">
        <f>IF(T119=0,0,X119/T119)</f>
        <v>-1.8531871451765707E-2</v>
      </c>
    </row>
    <row r="120" spans="1:26" ht="15" thickTop="1" x14ac:dyDescent="0.3">
      <c r="A120" s="9"/>
      <c r="C120" s="9"/>
      <c r="D120" s="17"/>
      <c r="E120" s="17"/>
      <c r="G120" s="17"/>
      <c r="H120" s="17"/>
      <c r="I120" s="17"/>
      <c r="J120" s="43"/>
      <c r="K120" s="17"/>
      <c r="L120" s="17"/>
      <c r="M120" s="17"/>
      <c r="P120" s="17"/>
      <c r="Q120" s="17"/>
      <c r="R120" s="43"/>
      <c r="S120" s="17"/>
      <c r="T120" s="17"/>
      <c r="U120" s="17"/>
      <c r="V120" s="43"/>
      <c r="W120" s="17"/>
      <c r="X120" s="17"/>
    </row>
    <row r="121" spans="1:26" x14ac:dyDescent="0.3">
      <c r="A121" s="9"/>
      <c r="B121" s="53">
        <v>44604.019981944446</v>
      </c>
      <c r="D121" s="17"/>
      <c r="E121" s="17"/>
      <c r="G121" s="17"/>
      <c r="H121" s="17"/>
      <c r="I121" s="17"/>
      <c r="J121" s="43"/>
      <c r="K121" s="17"/>
      <c r="L121" s="17"/>
      <c r="M121" s="17"/>
      <c r="P121" s="17"/>
      <c r="Q121" s="17"/>
      <c r="R121" s="43"/>
      <c r="S121" s="17"/>
      <c r="T121" s="17"/>
      <c r="U121" s="17"/>
      <c r="V121" s="43"/>
      <c r="W121" s="17"/>
      <c r="X121" s="17"/>
    </row>
    <row r="122" spans="1:26" x14ac:dyDescent="0.3">
      <c r="A122" s="9"/>
      <c r="B122" s="63" t="s">
        <v>56</v>
      </c>
      <c r="D122" s="17"/>
      <c r="E122" s="17"/>
      <c r="G122" s="17"/>
      <c r="H122" s="17"/>
      <c r="I122" s="17"/>
      <c r="J122" s="43"/>
      <c r="K122" s="17"/>
      <c r="L122" s="17"/>
      <c r="M122" s="17"/>
      <c r="P122" s="17"/>
      <c r="Q122" s="17"/>
      <c r="R122" s="43"/>
      <c r="S122" s="17"/>
      <c r="T122" s="17"/>
      <c r="U122" s="17"/>
      <c r="V122" s="43"/>
      <c r="W122" s="17"/>
      <c r="X122" s="17"/>
    </row>
    <row r="123" spans="1:26" x14ac:dyDescent="0.3">
      <c r="A123" s="9"/>
      <c r="B123" s="58"/>
      <c r="D123" s="17"/>
      <c r="E123" s="17"/>
      <c r="G123" s="17"/>
      <c r="H123" s="17"/>
      <c r="I123" s="17"/>
      <c r="J123" s="43"/>
      <c r="K123" s="17"/>
      <c r="L123" s="17"/>
      <c r="M123" s="17"/>
      <c r="P123" s="17"/>
      <c r="Q123" s="17"/>
      <c r="R123" s="43"/>
      <c r="S123" s="17"/>
      <c r="T123" s="17"/>
      <c r="U123" s="17"/>
      <c r="V123" s="43"/>
      <c r="W123" s="17"/>
      <c r="X123" s="17"/>
    </row>
    <row r="124" spans="1:26" x14ac:dyDescent="0.3">
      <c r="D124" s="17"/>
      <c r="E124" s="17"/>
      <c r="G124" s="17"/>
      <c r="H124" s="17"/>
      <c r="I124" s="17"/>
      <c r="J124" s="43"/>
      <c r="K124" s="17"/>
      <c r="L124" s="17"/>
      <c r="M124" s="17"/>
      <c r="P124" s="17"/>
      <c r="Q124" s="17"/>
      <c r="R124" s="43"/>
      <c r="S124" s="17"/>
      <c r="T124" s="17"/>
      <c r="U124" s="17"/>
      <c r="V124" s="43"/>
      <c r="W124" s="17"/>
      <c r="X124" s="17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92D050"/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","405", " - ", "Caffeine Lab")</f>
        <v>Department 405 - Caffeine Lab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7237.84</v>
      </c>
      <c r="E12" s="4"/>
      <c r="F12" s="12"/>
      <c r="G12" s="4"/>
      <c r="H12" s="4">
        <f>SUM(OSRRefH13x_0)</f>
        <v>30508</v>
      </c>
      <c r="I12" s="4"/>
      <c r="J12" s="12"/>
      <c r="K12" s="4"/>
      <c r="L12" s="4">
        <f t="shared" ref="L12:L16" si="0">+D12-H12</f>
        <v>-23270.16</v>
      </c>
      <c r="M12" s="4"/>
      <c r="N12" s="12">
        <f t="shared" ref="N12:N16" si="1">IF(H12=0,0,L12/H12)</f>
        <v>-0.76275599842664221</v>
      </c>
      <c r="O12" s="10"/>
      <c r="P12" s="4">
        <f>SUM(OSRRefP13x_0)</f>
        <v>274097.87</v>
      </c>
      <c r="Q12" s="4"/>
      <c r="R12" s="12"/>
      <c r="S12" s="4"/>
      <c r="T12" s="4">
        <f>SUM(OSRRefT13x_0)</f>
        <v>167730</v>
      </c>
      <c r="U12" s="4"/>
      <c r="V12" s="12"/>
      <c r="W12" s="4"/>
      <c r="X12" s="4">
        <f t="shared" ref="X12:X16" si="2">+P12-T12</f>
        <v>106367.87</v>
      </c>
      <c r="Y12" s="4"/>
      <c r="Z12" s="12">
        <f t="shared" ref="Z12:Z16" si="3">IF(T12=0,0,X12/T12)</f>
        <v>0.63416127109044296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6389</v>
      </c>
      <c r="I13" s="2"/>
      <c r="J13" s="19"/>
      <c r="K13" s="2"/>
      <c r="L13" s="2">
        <f t="shared" si="0"/>
        <v>-6389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35124</v>
      </c>
      <c r="U13" s="2"/>
      <c r="V13" s="19"/>
      <c r="W13" s="2"/>
      <c r="X13" s="2">
        <f t="shared" si="2"/>
        <v>-35124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--277.17</f>
        <v>277.17</v>
      </c>
      <c r="E14" s="2"/>
      <c r="F14" s="19"/>
      <c r="G14" s="2"/>
      <c r="H14" s="2"/>
      <c r="I14" s="2"/>
      <c r="J14" s="19"/>
      <c r="K14" s="2"/>
      <c r="L14" s="2">
        <f t="shared" si="0"/>
        <v>277.17</v>
      </c>
      <c r="M14" s="2"/>
      <c r="N14" s="19">
        <f t="shared" si="1"/>
        <v>0</v>
      </c>
      <c r="O14" s="11"/>
      <c r="P14" s="2">
        <f>--23703.16</f>
        <v>23703.16</v>
      </c>
      <c r="Q14" s="2"/>
      <c r="R14" s="19"/>
      <c r="S14" s="2"/>
      <c r="T14" s="2"/>
      <c r="U14" s="2"/>
      <c r="V14" s="19"/>
      <c r="W14" s="2"/>
      <c r="X14" s="2">
        <f t="shared" si="2"/>
        <v>23703.16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24119</v>
      </c>
      <c r="I15" s="2"/>
      <c r="J15" s="19"/>
      <c r="K15" s="2"/>
      <c r="L15" s="2">
        <f t="shared" si="0"/>
        <v>-24119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132606</v>
      </c>
      <c r="U15" s="2"/>
      <c r="V15" s="19"/>
      <c r="W15" s="2"/>
      <c r="X15" s="2">
        <f t="shared" si="2"/>
        <v>-132606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--6960.67</f>
        <v>6960.67</v>
      </c>
      <c r="E16" s="2"/>
      <c r="F16" s="19"/>
      <c r="G16" s="2"/>
      <c r="H16" s="2"/>
      <c r="I16" s="2"/>
      <c r="J16" s="19"/>
      <c r="K16" s="2"/>
      <c r="L16" s="2">
        <f t="shared" si="0"/>
        <v>6960.67</v>
      </c>
      <c r="M16" s="2"/>
      <c r="N16" s="19">
        <f t="shared" si="1"/>
        <v>0</v>
      </c>
      <c r="O16" s="11"/>
      <c r="P16" s="2">
        <f>--250394.71</f>
        <v>250394.71</v>
      </c>
      <c r="Q16" s="2"/>
      <c r="R16" s="19"/>
      <c r="S16" s="2"/>
      <c r="T16" s="2"/>
      <c r="U16" s="2"/>
      <c r="V16" s="19"/>
      <c r="W16" s="2"/>
      <c r="X16" s="2">
        <f t="shared" si="2"/>
        <v>250394.71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6930.9800000000005</v>
      </c>
      <c r="E18" s="4"/>
      <c r="F18" s="12">
        <f t="shared" ref="F18:F21" si="4">IF(D$12=0,0,D18/D$12)</f>
        <v>0.9576033733821141</v>
      </c>
      <c r="G18" s="4"/>
      <c r="H18" s="4">
        <f>SUM(OSRRefH16x_0)</f>
        <v>11593</v>
      </c>
      <c r="I18" s="4"/>
      <c r="J18" s="12">
        <f t="shared" ref="J18:J21" si="5">IF(H$12=0,0,H18/H$12)</f>
        <v>0.37999868886849353</v>
      </c>
      <c r="K18" s="4"/>
      <c r="L18" s="4">
        <f t="shared" ref="L18:L21" si="6">+D18-H18</f>
        <v>-4662.0199999999995</v>
      </c>
      <c r="M18" s="4"/>
      <c r="N18" s="12">
        <f t="shared" ref="N18:N21" si="7">IF(H18=0,0,L18/H18)</f>
        <v>-0.40214094712326398</v>
      </c>
      <c r="O18" s="10"/>
      <c r="P18" s="4">
        <f>SUM(OSRRefP16x_0)</f>
        <v>119145.73</v>
      </c>
      <c r="Q18" s="4"/>
      <c r="R18" s="12">
        <f t="shared" ref="R18:R21" si="8">IF(P$12=0,0,P18/P$12)</f>
        <v>0.43468316627195969</v>
      </c>
      <c r="S18" s="4"/>
      <c r="T18" s="4">
        <f>SUM(OSRRefT16x_0)</f>
        <v>63737</v>
      </c>
      <c r="U18" s="4"/>
      <c r="V18" s="12">
        <f t="shared" ref="V18:V21" si="9">IF(T$12=0,0,T18/T$12)</f>
        <v>0.37999761521492875</v>
      </c>
      <c r="W18" s="4"/>
      <c r="X18" s="4">
        <f t="shared" ref="X18:X21" si="10">+P18-T18</f>
        <v>55408.729999999996</v>
      </c>
      <c r="Y18" s="4"/>
      <c r="Z18" s="12">
        <f t="shared" ref="Z18:Z21" si="11">IF(T18=0,0,X18/T18)</f>
        <v>0.86933382493684985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11593</v>
      </c>
      <c r="I19" s="2"/>
      <c r="J19" s="19">
        <f t="shared" si="5"/>
        <v>0.37999868886849353</v>
      </c>
      <c r="K19" s="2"/>
      <c r="L19" s="2">
        <f t="shared" si="6"/>
        <v>-11593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63737</v>
      </c>
      <c r="U19" s="2"/>
      <c r="V19" s="19">
        <f t="shared" si="9"/>
        <v>0.37999761521492875</v>
      </c>
      <c r="W19" s="2"/>
      <c r="X19" s="2">
        <f t="shared" si="10"/>
        <v>-63737</v>
      </c>
      <c r="Y19" s="2"/>
      <c r="Z19" s="19">
        <f t="shared" si="11"/>
        <v>-1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7696.02</v>
      </c>
      <c r="E20" s="2"/>
      <c r="F20" s="19">
        <f t="shared" si="4"/>
        <v>1.0633034164888973</v>
      </c>
      <c r="G20" s="2"/>
      <c r="H20" s="2"/>
      <c r="I20" s="2"/>
      <c r="J20" s="19">
        <f t="shared" si="5"/>
        <v>0</v>
      </c>
      <c r="K20" s="2"/>
      <c r="L20" s="2">
        <f t="shared" si="6"/>
        <v>7696.02</v>
      </c>
      <c r="M20" s="2"/>
      <c r="N20" s="19">
        <f t="shared" si="7"/>
        <v>0</v>
      </c>
      <c r="O20" s="11"/>
      <c r="P20" s="2">
        <v>101791.53</v>
      </c>
      <c r="Q20" s="2"/>
      <c r="R20" s="19">
        <f t="shared" si="8"/>
        <v>0.37136928499298444</v>
      </c>
      <c r="S20" s="2"/>
      <c r="T20" s="2"/>
      <c r="U20" s="2"/>
      <c r="V20" s="19">
        <f t="shared" si="9"/>
        <v>0</v>
      </c>
      <c r="W20" s="2"/>
      <c r="X20" s="2">
        <f t="shared" si="10"/>
        <v>101791.53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-765.04</v>
      </c>
      <c r="E21" s="2"/>
      <c r="F21" s="19">
        <f t="shared" si="4"/>
        <v>-0.10570004310678323</v>
      </c>
      <c r="G21" s="2"/>
      <c r="H21" s="2"/>
      <c r="I21" s="2"/>
      <c r="J21" s="19">
        <f t="shared" si="5"/>
        <v>0</v>
      </c>
      <c r="K21" s="2"/>
      <c r="L21" s="2">
        <f t="shared" si="6"/>
        <v>-765.04</v>
      </c>
      <c r="M21" s="2"/>
      <c r="N21" s="19">
        <f t="shared" si="7"/>
        <v>0</v>
      </c>
      <c r="O21" s="11"/>
      <c r="P21" s="2">
        <v>17354.2</v>
      </c>
      <c r="Q21" s="2"/>
      <c r="R21" s="19">
        <f t="shared" si="8"/>
        <v>6.331388127897529E-2</v>
      </c>
      <c r="S21" s="2"/>
      <c r="T21" s="2"/>
      <c r="U21" s="2"/>
      <c r="V21" s="19">
        <f t="shared" si="9"/>
        <v>0</v>
      </c>
      <c r="W21" s="2"/>
      <c r="X21" s="2">
        <f t="shared" si="10"/>
        <v>17354.2</v>
      </c>
      <c r="Y21" s="2"/>
      <c r="Z21" s="19">
        <f t="shared" si="11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1">
        <f>D12-D18</f>
        <v>306.85999999999967</v>
      </c>
      <c r="E23" s="13"/>
      <c r="F23" s="22">
        <f>IF(D$12=0,0,D23/D$12)</f>
        <v>4.239662661788595E-2</v>
      </c>
      <c r="G23" s="13"/>
      <c r="H23" s="21">
        <f>H12-H18</f>
        <v>18915</v>
      </c>
      <c r="I23" s="13"/>
      <c r="J23" s="22">
        <f>IF(H$12=0,0,H23/H$12)</f>
        <v>0.62000131113150647</v>
      </c>
      <c r="K23" s="15"/>
      <c r="L23" s="21">
        <f>+D23-H23</f>
        <v>-18608.14</v>
      </c>
      <c r="M23" s="15"/>
      <c r="N23" s="22">
        <f>IF(H23=0,0,L23/H23)</f>
        <v>-0.98377689664287604</v>
      </c>
      <c r="O23" s="25"/>
      <c r="P23" s="21">
        <f>P12-P18</f>
        <v>154952.14000000001</v>
      </c>
      <c r="Q23" s="13"/>
      <c r="R23" s="22">
        <f>IF(P$12=0,0,P23/P$12)</f>
        <v>0.56531683372804031</v>
      </c>
      <c r="S23" s="13"/>
      <c r="T23" s="21">
        <f>T12-T18</f>
        <v>103993</v>
      </c>
      <c r="U23" s="13"/>
      <c r="V23" s="22">
        <f>IF(T$12=0,0,T23/T$12)</f>
        <v>0.62000238478507119</v>
      </c>
      <c r="W23" s="15"/>
      <c r="X23" s="21">
        <f>+P23-T23</f>
        <v>50959.140000000014</v>
      </c>
      <c r="Y23" s="15"/>
      <c r="Z23" s="22">
        <f>IF(T23=0,0,X23/T23)</f>
        <v>0.49002471320185026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0">
        <f>SUM(OSRRefD22x_0)</f>
        <v>25540.080000000002</v>
      </c>
      <c r="E25" s="20"/>
      <c r="F25" s="33">
        <f t="shared" ref="F25:F35" si="12">IF(D$12=0,0,D25/D$12)</f>
        <v>3.5286881168967539</v>
      </c>
      <c r="G25" s="20"/>
      <c r="H25" s="20">
        <f>SUM(OSRRefH22x_0)</f>
        <v>36595.223972307693</v>
      </c>
      <c r="I25" s="20"/>
      <c r="J25" s="33">
        <f t="shared" ref="J25:J35" si="13">IF(H$12=0,0,H25/H$12)</f>
        <v>1.1995287784288611</v>
      </c>
      <c r="K25" s="4"/>
      <c r="L25" s="20">
        <f t="shared" ref="L25:L35" si="14">+D25-H25</f>
        <v>-11055.143972307691</v>
      </c>
      <c r="M25" s="4"/>
      <c r="N25" s="33">
        <f t="shared" ref="N25:N35" si="15">IF(H25=0,0,L25/H25)</f>
        <v>-0.30209253482567372</v>
      </c>
      <c r="O25" s="10"/>
      <c r="P25" s="20">
        <f>SUM(OSRRefP22x_0)</f>
        <v>220832.38</v>
      </c>
      <c r="Q25" s="20"/>
      <c r="R25" s="33">
        <f t="shared" ref="R25:R35" si="16">IF(P$12=0,0,P25/P$12)</f>
        <v>0.80566981421636008</v>
      </c>
      <c r="S25" s="20"/>
      <c r="T25" s="20">
        <f>SUM(OSRRefT22x_0)</f>
        <v>220796.01184230772</v>
      </c>
      <c r="U25" s="20"/>
      <c r="V25" s="33">
        <f t="shared" ref="V25:V35" si="17">IF(T$12=0,0,T25/T$12)</f>
        <v>1.3163775820801749</v>
      </c>
      <c r="W25" s="4"/>
      <c r="X25" s="20">
        <f t="shared" ref="X25:X35" si="18">+P25-T25</f>
        <v>36.368157692282693</v>
      </c>
      <c r="Y25" s="4"/>
      <c r="Z25" s="33">
        <f t="shared" ref="Z25:Z35" si="19">IF(T25=0,0,X25/T25)</f>
        <v>1.6471383422566886E-4</v>
      </c>
    </row>
    <row r="26" spans="1:26" s="28" customFormat="1" outlineLevel="1" collapsed="1" x14ac:dyDescent="0.3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4733.47</v>
      </c>
      <c r="E26" s="1"/>
      <c r="F26" s="5">
        <f t="shared" si="12"/>
        <v>0.65398931172836094</v>
      </c>
      <c r="G26" s="1"/>
      <c r="H26" s="1">
        <f>SUM(OSRRefH22_0x_0)</f>
        <v>4474.4476453846146</v>
      </c>
      <c r="I26" s="1"/>
      <c r="J26" s="5">
        <f t="shared" si="13"/>
        <v>0.14666473205010536</v>
      </c>
      <c r="K26" s="1"/>
      <c r="L26" s="1">
        <f t="shared" si="14"/>
        <v>259.02235461538567</v>
      </c>
      <c r="M26" s="1"/>
      <c r="N26" s="5">
        <f t="shared" si="15"/>
        <v>5.7889235754622542E-2</v>
      </c>
      <c r="O26" s="14"/>
      <c r="P26" s="1">
        <f>SUM(OSRRefP22_0x_0)</f>
        <v>29740.800000000003</v>
      </c>
      <c r="Q26" s="1"/>
      <c r="R26" s="5">
        <f t="shared" si="16"/>
        <v>0.10850430906303651</v>
      </c>
      <c r="S26" s="1"/>
      <c r="T26" s="1">
        <f>SUM(OSRRefT22_0x_0)</f>
        <v>28745.265515384635</v>
      </c>
      <c r="U26" s="1"/>
      <c r="V26" s="5">
        <f t="shared" si="17"/>
        <v>0.17137820017519009</v>
      </c>
      <c r="W26" s="1"/>
      <c r="X26" s="1">
        <f t="shared" si="18"/>
        <v>995.53448461536755</v>
      </c>
      <c r="Y26" s="1"/>
      <c r="Z26" s="5">
        <f t="shared" si="19"/>
        <v>3.463298970338443E-2</v>
      </c>
    </row>
    <row r="27" spans="1:26" s="24" customFormat="1" hidden="1" outlineLevel="2" x14ac:dyDescent="0.3">
      <c r="A27" s="27"/>
      <c r="B27" s="11" t="str">
        <f>CONCATENATE("          ", "6111", " - ", "F.I.C.A.")</f>
        <v xml:space="preserve">          6111 - F.I.C.A.</v>
      </c>
      <c r="C27" s="11"/>
      <c r="D27" s="7">
        <v>730.58</v>
      </c>
      <c r="E27" s="2"/>
      <c r="F27" s="6">
        <f t="shared" si="12"/>
        <v>0.10093895416312049</v>
      </c>
      <c r="G27" s="2"/>
      <c r="H27" s="7">
        <v>459.10935692307697</v>
      </c>
      <c r="I27" s="2"/>
      <c r="J27" s="6">
        <f t="shared" si="13"/>
        <v>1.5048818569656385E-2</v>
      </c>
      <c r="K27" s="2"/>
      <c r="L27" s="7">
        <f t="shared" si="14"/>
        <v>271.47064307692307</v>
      </c>
      <c r="M27" s="2"/>
      <c r="N27" s="6">
        <f t="shared" si="15"/>
        <v>0.59129843246128289</v>
      </c>
      <c r="O27" s="11"/>
      <c r="P27" s="7">
        <v>5408.79</v>
      </c>
      <c r="Q27" s="2"/>
      <c r="R27" s="6">
        <f t="shared" si="16"/>
        <v>1.9733061041298863E-2</v>
      </c>
      <c r="S27" s="2"/>
      <c r="T27" s="7">
        <v>3021.25722692308</v>
      </c>
      <c r="U27" s="2"/>
      <c r="V27" s="6">
        <f t="shared" si="17"/>
        <v>1.80126228278965E-2</v>
      </c>
      <c r="W27" s="2"/>
      <c r="X27" s="7">
        <f t="shared" si="18"/>
        <v>2387.53277307692</v>
      </c>
      <c r="Y27" s="2"/>
      <c r="Z27" s="6">
        <f t="shared" si="19"/>
        <v>0.79024478677323351</v>
      </c>
    </row>
    <row r="28" spans="1:26" s="24" customFormat="1" hidden="1" outlineLevel="2" x14ac:dyDescent="0.3">
      <c r="A28" s="27"/>
      <c r="B28" s="11" t="str">
        <f>CONCATENATE("          ", "6112", " - ", "COMPENSATION INSURANCE")</f>
        <v xml:space="preserve">          6112 - COMPENSATION INSURANCE</v>
      </c>
      <c r="C28" s="11"/>
      <c r="D28" s="7">
        <v>385.71</v>
      </c>
      <c r="E28" s="2"/>
      <c r="F28" s="6">
        <f t="shared" si="12"/>
        <v>5.3290760779459059E-2</v>
      </c>
      <c r="G28" s="2"/>
      <c r="H28" s="7">
        <v>759.318992884615</v>
      </c>
      <c r="I28" s="2"/>
      <c r="J28" s="6">
        <f t="shared" si="13"/>
        <v>2.4889176376183788E-2</v>
      </c>
      <c r="K28" s="2"/>
      <c r="L28" s="7">
        <f t="shared" si="14"/>
        <v>-373.60899288461502</v>
      </c>
      <c r="M28" s="2"/>
      <c r="N28" s="6">
        <f t="shared" si="15"/>
        <v>-0.49203167099151973</v>
      </c>
      <c r="O28" s="11"/>
      <c r="P28" s="7">
        <v>4210.1899999999996</v>
      </c>
      <c r="Q28" s="2"/>
      <c r="R28" s="6">
        <f t="shared" si="16"/>
        <v>1.536017043839122E-2</v>
      </c>
      <c r="S28" s="2"/>
      <c r="T28" s="7">
        <v>4420.4968928846201</v>
      </c>
      <c r="U28" s="2"/>
      <c r="V28" s="6">
        <f t="shared" si="17"/>
        <v>2.6354837494095392E-2</v>
      </c>
      <c r="W28" s="2"/>
      <c r="X28" s="7">
        <f t="shared" si="18"/>
        <v>-210.30689288462054</v>
      </c>
      <c r="Y28" s="2"/>
      <c r="Z28" s="6">
        <f t="shared" si="19"/>
        <v>-4.7575396608272154E-2</v>
      </c>
    </row>
    <row r="29" spans="1:26" s="24" customFormat="1" hidden="1" outlineLevel="2" x14ac:dyDescent="0.3">
      <c r="A29" s="27"/>
      <c r="B29" s="11" t="str">
        <f>CONCATENATE("          ", "6113", " - ", "GROUP INSURANCE")</f>
        <v xml:space="preserve">          6113 - GROUP INSURANCE</v>
      </c>
      <c r="C29" s="11"/>
      <c r="D29" s="7">
        <v>2033.2</v>
      </c>
      <c r="E29" s="2"/>
      <c r="F29" s="6">
        <f t="shared" si="12"/>
        <v>0.28091253744210981</v>
      </c>
      <c r="G29" s="2"/>
      <c r="H29" s="7">
        <v>1977</v>
      </c>
      <c r="I29" s="2"/>
      <c r="J29" s="6">
        <f t="shared" si="13"/>
        <v>6.4802674708273236E-2</v>
      </c>
      <c r="K29" s="2"/>
      <c r="L29" s="7">
        <f t="shared" si="14"/>
        <v>56.200000000000045</v>
      </c>
      <c r="M29" s="2"/>
      <c r="N29" s="6">
        <f t="shared" si="15"/>
        <v>2.8426909458775945E-2</v>
      </c>
      <c r="O29" s="11"/>
      <c r="P29" s="7">
        <v>9633.0300000000007</v>
      </c>
      <c r="Q29" s="2"/>
      <c r="R29" s="6">
        <f t="shared" si="16"/>
        <v>3.5144490542739354E-2</v>
      </c>
      <c r="S29" s="2"/>
      <c r="T29" s="7">
        <v>13839</v>
      </c>
      <c r="U29" s="2"/>
      <c r="V29" s="6">
        <f t="shared" si="17"/>
        <v>8.2507601502414596E-2</v>
      </c>
      <c r="W29" s="2"/>
      <c r="X29" s="7">
        <f t="shared" si="18"/>
        <v>-4205.9699999999993</v>
      </c>
      <c r="Y29" s="2"/>
      <c r="Z29" s="6">
        <f t="shared" si="19"/>
        <v>-0.30392152612182954</v>
      </c>
    </row>
    <row r="30" spans="1:26" s="24" customFormat="1" hidden="1" outlineLevel="2" x14ac:dyDescent="0.3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7">
        <v>27.86</v>
      </c>
      <c r="E30" s="2"/>
      <c r="F30" s="6">
        <f t="shared" si="12"/>
        <v>3.8492146828335524E-3</v>
      </c>
      <c r="G30" s="2"/>
      <c r="H30" s="7">
        <v>42.073084038461502</v>
      </c>
      <c r="I30" s="2"/>
      <c r="J30" s="6">
        <f t="shared" si="13"/>
        <v>1.3790836514508162E-3</v>
      </c>
      <c r="K30" s="2"/>
      <c r="L30" s="7">
        <f t="shared" si="14"/>
        <v>-14.213084038461503</v>
      </c>
      <c r="M30" s="2"/>
      <c r="N30" s="6">
        <f t="shared" si="15"/>
        <v>-0.33781892540771385</v>
      </c>
      <c r="O30" s="11"/>
      <c r="P30" s="7">
        <v>304.07</v>
      </c>
      <c r="Q30" s="2"/>
      <c r="R30" s="6">
        <f t="shared" si="16"/>
        <v>1.109348277679064E-3</v>
      </c>
      <c r="S30" s="2"/>
      <c r="T30" s="7">
        <v>244.93518403846201</v>
      </c>
      <c r="U30" s="2"/>
      <c r="V30" s="6">
        <f t="shared" si="17"/>
        <v>1.460294425794205E-3</v>
      </c>
      <c r="W30" s="2"/>
      <c r="X30" s="7">
        <f t="shared" si="18"/>
        <v>59.134815961537981</v>
      </c>
      <c r="Y30" s="2"/>
      <c r="Z30" s="6">
        <f t="shared" si="19"/>
        <v>0.24143046738541279</v>
      </c>
    </row>
    <row r="31" spans="1:26" s="24" customFormat="1" hidden="1" outlineLevel="2" x14ac:dyDescent="0.3">
      <c r="A31" s="27"/>
      <c r="B31" s="11" t="str">
        <f>CONCATENATE("          ", "6115", " - ", "P.E.R.S.")</f>
        <v xml:space="preserve">          6115 - P.E.R.S.</v>
      </c>
      <c r="C31" s="11"/>
      <c r="D31" s="7">
        <v>408.69</v>
      </c>
      <c r="E31" s="2"/>
      <c r="F31" s="6">
        <f t="shared" si="12"/>
        <v>5.6465741160346181E-2</v>
      </c>
      <c r="G31" s="2"/>
      <c r="H31" s="7">
        <v>515.92061538461496</v>
      </c>
      <c r="I31" s="2"/>
      <c r="J31" s="6">
        <f t="shared" si="13"/>
        <v>1.6910994341963255E-2</v>
      </c>
      <c r="K31" s="2"/>
      <c r="L31" s="7">
        <f t="shared" si="14"/>
        <v>-107.23061538461496</v>
      </c>
      <c r="M31" s="2"/>
      <c r="N31" s="6">
        <f t="shared" si="15"/>
        <v>-0.20784324600922438</v>
      </c>
      <c r="O31" s="11"/>
      <c r="P31" s="7">
        <v>2901.7</v>
      </c>
      <c r="Q31" s="2"/>
      <c r="R31" s="6">
        <f t="shared" si="16"/>
        <v>1.0586364644132405E-2</v>
      </c>
      <c r="S31" s="2"/>
      <c r="T31" s="7">
        <v>3018.5206153846202</v>
      </c>
      <c r="U31" s="2"/>
      <c r="V31" s="6">
        <f t="shared" si="17"/>
        <v>1.7996307252039708E-2</v>
      </c>
      <c r="W31" s="2"/>
      <c r="X31" s="7">
        <f t="shared" si="18"/>
        <v>-116.8206153846204</v>
      </c>
      <c r="Y31" s="2"/>
      <c r="Z31" s="6">
        <f t="shared" si="19"/>
        <v>-3.8701281279715595E-2</v>
      </c>
    </row>
    <row r="32" spans="1:26" s="24" customFormat="1" hidden="1" outlineLevel="2" x14ac:dyDescent="0.3">
      <c r="A32" s="27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3">
      <c r="A33" s="27"/>
      <c r="B33" s="11" t="str">
        <f>CONCATENATE("          ", "6118", " - ", "VACATION")</f>
        <v xml:space="preserve">          6118 - VACATION</v>
      </c>
      <c r="C33" s="11"/>
      <c r="D33" s="7">
        <v>342.58</v>
      </c>
      <c r="E33" s="2"/>
      <c r="F33" s="6">
        <f t="shared" si="12"/>
        <v>4.7331800647707048E-2</v>
      </c>
      <c r="G33" s="2"/>
      <c r="H33" s="7">
        <v>179.97230769230799</v>
      </c>
      <c r="I33" s="2"/>
      <c r="J33" s="6">
        <f t="shared" si="13"/>
        <v>5.899184072777894E-3</v>
      </c>
      <c r="K33" s="2"/>
      <c r="L33" s="7">
        <f t="shared" si="14"/>
        <v>162.60769230769199</v>
      </c>
      <c r="M33" s="2"/>
      <c r="N33" s="6">
        <f t="shared" si="15"/>
        <v>0.90351507069463355</v>
      </c>
      <c r="O33" s="11"/>
      <c r="P33" s="7">
        <v>2304.17</v>
      </c>
      <c r="Q33" s="2"/>
      <c r="R33" s="6">
        <f t="shared" si="16"/>
        <v>8.4063768901232253E-3</v>
      </c>
      <c r="S33" s="2"/>
      <c r="T33" s="7">
        <v>1052.9723076923101</v>
      </c>
      <c r="U33" s="2"/>
      <c r="V33" s="6">
        <f t="shared" si="17"/>
        <v>6.2777815995487393E-3</v>
      </c>
      <c r="W33" s="2"/>
      <c r="X33" s="7">
        <f t="shared" si="18"/>
        <v>1251.19769230769</v>
      </c>
      <c r="Y33" s="2"/>
      <c r="Z33" s="6">
        <f t="shared" si="19"/>
        <v>1.1882531792785793</v>
      </c>
    </row>
    <row r="34" spans="1:26" s="24" customFormat="1" hidden="1" outlineLevel="2" x14ac:dyDescent="0.3">
      <c r="A34" s="27"/>
      <c r="B34" s="11" t="str">
        <f>CONCATENATE("          ", "6119", " - ", "SICK LEAVE")</f>
        <v xml:space="preserve">          6119 - SICK LEAVE</v>
      </c>
      <c r="C34" s="11"/>
      <c r="D34" s="7">
        <v>396.8</v>
      </c>
      <c r="E34" s="2"/>
      <c r="F34" s="6">
        <f t="shared" si="12"/>
        <v>5.4822985863185701E-2</v>
      </c>
      <c r="G34" s="2"/>
      <c r="H34" s="7">
        <v>541.05328846153895</v>
      </c>
      <c r="I34" s="2"/>
      <c r="J34" s="6">
        <f t="shared" si="13"/>
        <v>1.7734800329800019E-2</v>
      </c>
      <c r="K34" s="2"/>
      <c r="L34" s="7">
        <f t="shared" si="14"/>
        <v>-144.25328846153894</v>
      </c>
      <c r="M34" s="2"/>
      <c r="N34" s="6">
        <f t="shared" si="15"/>
        <v>-0.26661567638137229</v>
      </c>
      <c r="O34" s="11"/>
      <c r="P34" s="7">
        <v>2670.17</v>
      </c>
      <c r="Q34" s="2"/>
      <c r="R34" s="6">
        <f t="shared" si="16"/>
        <v>9.7416663617269274E-3</v>
      </c>
      <c r="S34" s="2"/>
      <c r="T34" s="7">
        <v>3148.0832884615402</v>
      </c>
      <c r="U34" s="2"/>
      <c r="V34" s="6">
        <f t="shared" si="17"/>
        <v>1.8768755073400943E-2</v>
      </c>
      <c r="W34" s="2"/>
      <c r="X34" s="7">
        <f t="shared" si="18"/>
        <v>-477.91328846154011</v>
      </c>
      <c r="Y34" s="2"/>
      <c r="Z34" s="6">
        <f t="shared" si="19"/>
        <v>-0.15181087813438857</v>
      </c>
    </row>
    <row r="35" spans="1:26" s="24" customFormat="1" hidden="1" outlineLevel="2" x14ac:dyDescent="0.3">
      <c r="A35" s="27"/>
      <c r="B35" s="11" t="str">
        <f>CONCATENATE("          ", "6156", " - ", "EMPLOYEE MEALS")</f>
        <v xml:space="preserve">          6156 - EMPLOYEE MEALS</v>
      </c>
      <c r="C35" s="11"/>
      <c r="D35" s="7">
        <v>408.05</v>
      </c>
      <c r="E35" s="2"/>
      <c r="F35" s="6">
        <f t="shared" si="12"/>
        <v>5.6377316989599108E-2</v>
      </c>
      <c r="G35" s="2"/>
      <c r="H35" s="7"/>
      <c r="I35" s="2"/>
      <c r="J35" s="6">
        <f t="shared" si="13"/>
        <v>0</v>
      </c>
      <c r="K35" s="2"/>
      <c r="L35" s="7">
        <f t="shared" si="14"/>
        <v>408.05</v>
      </c>
      <c r="M35" s="2"/>
      <c r="N35" s="6">
        <f t="shared" si="15"/>
        <v>0</v>
      </c>
      <c r="O35" s="11"/>
      <c r="P35" s="7">
        <v>2308.6799999999998</v>
      </c>
      <c r="Q35" s="2"/>
      <c r="R35" s="6">
        <f t="shared" si="16"/>
        <v>8.4228308669454452E-3</v>
      </c>
      <c r="S35" s="2"/>
      <c r="T35" s="7"/>
      <c r="U35" s="2"/>
      <c r="V35" s="6">
        <f t="shared" si="17"/>
        <v>0</v>
      </c>
      <c r="W35" s="2"/>
      <c r="X35" s="7">
        <f t="shared" si="18"/>
        <v>2308.6799999999998</v>
      </c>
      <c r="Y35" s="2"/>
      <c r="Z35" s="6">
        <f t="shared" si="19"/>
        <v>0</v>
      </c>
    </row>
    <row r="36" spans="1:26" s="28" customFormat="1" outlineLevel="1" collapsed="1" x14ac:dyDescent="0.3">
      <c r="A36" s="29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12596.349999999999</v>
      </c>
      <c r="E36" s="1"/>
      <c r="F36" s="5">
        <f t="shared" ref="F36:F46" si="20">IF(D$12=0,0,D36/D$12)</f>
        <v>1.7403465674842216</v>
      </c>
      <c r="G36" s="1"/>
      <c r="H36" s="1">
        <f>SUM(OSRRefH22_1x_0)</f>
        <v>19313.776326923078</v>
      </c>
      <c r="I36" s="1"/>
      <c r="J36" s="5">
        <f t="shared" ref="J36:J46" si="21">IF(H$12=0,0,H36/H$12)</f>
        <v>0.63307251628828765</v>
      </c>
      <c r="K36" s="1"/>
      <c r="L36" s="1">
        <f t="shared" ref="L36:L46" si="22">+D36-H36</f>
        <v>-6717.4263269230796</v>
      </c>
      <c r="M36" s="1"/>
      <c r="N36" s="5">
        <f t="shared" ref="N36:N46" si="23">IF(H36=0,0,L36/H36)</f>
        <v>-0.34780491464836427</v>
      </c>
      <c r="O36" s="14"/>
      <c r="P36" s="1">
        <f>SUM(OSRRefP22_1x_0)</f>
        <v>116103.76999999999</v>
      </c>
      <c r="Q36" s="1"/>
      <c r="R36" s="5">
        <f t="shared" ref="R36:R46" si="24">IF(P$12=0,0,P36/P$12)</f>
        <v>0.42358508659698813</v>
      </c>
      <c r="S36" s="1"/>
      <c r="T36" s="1">
        <f>SUM(OSRRefT22_1x_0)</f>
        <v>112434.74632692311</v>
      </c>
      <c r="U36" s="1"/>
      <c r="V36" s="5">
        <f t="shared" ref="V36:V46" si="25">IF(T$12=0,0,T36/T$12)</f>
        <v>0.67033176132428973</v>
      </c>
      <c r="W36" s="1"/>
      <c r="X36" s="1">
        <f t="shared" ref="X36:X46" si="26">+P36-T36</f>
        <v>3669.0236730768811</v>
      </c>
      <c r="Y36" s="1"/>
      <c r="Z36" s="5">
        <f t="shared" ref="Z36:Z46" si="27">IF(T36=0,0,X36/T36)</f>
        <v>3.2632471659682249E-2</v>
      </c>
    </row>
    <row r="37" spans="1:26" s="24" customFormat="1" hidden="1" outlineLevel="2" x14ac:dyDescent="0.3">
      <c r="A37" s="27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3">
      <c r="A38" s="27"/>
      <c r="B38" s="11" t="str">
        <f>CONCATENATE("          ", "6002", " - ", "STAFF SALARIES")</f>
        <v xml:space="preserve">          6002 - STAFF SALARIES</v>
      </c>
      <c r="C38" s="11"/>
      <c r="D38" s="7">
        <v>5653.7</v>
      </c>
      <c r="E38" s="2"/>
      <c r="F38" s="6">
        <f t="shared" si="20"/>
        <v>0.78113083461364163</v>
      </c>
      <c r="G38" s="2"/>
      <c r="H38" s="7">
        <v>5699.1230769230797</v>
      </c>
      <c r="I38" s="2"/>
      <c r="J38" s="6">
        <f t="shared" si="21"/>
        <v>0.18680749563796642</v>
      </c>
      <c r="K38" s="2"/>
      <c r="L38" s="7">
        <f t="shared" si="22"/>
        <v>-45.423076923079861</v>
      </c>
      <c r="M38" s="2"/>
      <c r="N38" s="6">
        <f t="shared" si="23"/>
        <v>-7.9701870463207286E-3</v>
      </c>
      <c r="O38" s="11"/>
      <c r="P38" s="7">
        <v>37692.18</v>
      </c>
      <c r="Q38" s="2"/>
      <c r="R38" s="6">
        <f t="shared" si="24"/>
        <v>0.1375135822835836</v>
      </c>
      <c r="S38" s="2"/>
      <c r="T38" s="7">
        <v>33344.123076923097</v>
      </c>
      <c r="U38" s="2"/>
      <c r="V38" s="6">
        <f t="shared" si="25"/>
        <v>0.1987964173190431</v>
      </c>
      <c r="W38" s="2"/>
      <c r="X38" s="7">
        <f t="shared" si="26"/>
        <v>4348.0569230769033</v>
      </c>
      <c r="Y38" s="2"/>
      <c r="Z38" s="6">
        <f t="shared" si="27"/>
        <v>0.13039949837775522</v>
      </c>
    </row>
    <row r="39" spans="1:26" s="24" customFormat="1" hidden="1" outlineLevel="2" x14ac:dyDescent="0.3">
      <c r="A39" s="27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3">
      <c r="A40" s="27"/>
      <c r="B40" s="11" t="str">
        <f>CONCATENATE("          ", "6004", " - ", "STAFF HOURLY")</f>
        <v xml:space="preserve">          6004 - STAFF HOURLY</v>
      </c>
      <c r="C40" s="11"/>
      <c r="D40" s="7">
        <v>1535.2</v>
      </c>
      <c r="E40" s="2"/>
      <c r="F40" s="6">
        <f t="shared" si="20"/>
        <v>0.21210747957954307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1535.2</v>
      </c>
      <c r="M40" s="2"/>
      <c r="N40" s="6">
        <f t="shared" si="23"/>
        <v>0</v>
      </c>
      <c r="O40" s="11"/>
      <c r="P40" s="7">
        <v>12613.93</v>
      </c>
      <c r="Q40" s="2"/>
      <c r="R40" s="6">
        <f t="shared" si="24"/>
        <v>4.6019803072530265E-2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12613.93</v>
      </c>
      <c r="Y40" s="2"/>
      <c r="Z40" s="6">
        <f t="shared" si="27"/>
        <v>0</v>
      </c>
    </row>
    <row r="41" spans="1:26" s="24" customFormat="1" hidden="1" outlineLevel="2" x14ac:dyDescent="0.3">
      <c r="A41" s="27"/>
      <c r="B41" s="11" t="str">
        <f>CONCATENATE("          ", "6005", " - ", "TEMPORARY WAGES-HOURLY")</f>
        <v xml:space="preserve">          6005 - TEMPORARY WAGES-HOURLY</v>
      </c>
      <c r="C41" s="11"/>
      <c r="D41" s="7">
        <v>2356.4499999999998</v>
      </c>
      <c r="E41" s="2"/>
      <c r="F41" s="6">
        <f t="shared" si="20"/>
        <v>0.32557365180772163</v>
      </c>
      <c r="G41" s="2"/>
      <c r="H41" s="7">
        <v>5292.2520999999997</v>
      </c>
      <c r="I41" s="2"/>
      <c r="J41" s="6">
        <f t="shared" si="21"/>
        <v>0.17347096171495999</v>
      </c>
      <c r="K41" s="2"/>
      <c r="L41" s="7">
        <f t="shared" si="22"/>
        <v>-2935.8020999999999</v>
      </c>
      <c r="M41" s="2"/>
      <c r="N41" s="6">
        <f t="shared" si="23"/>
        <v>-0.55473587511071143</v>
      </c>
      <c r="O41" s="11"/>
      <c r="P41" s="7">
        <v>14322.6</v>
      </c>
      <c r="Q41" s="2"/>
      <c r="R41" s="6">
        <f t="shared" si="24"/>
        <v>5.2253598322380253E-2</v>
      </c>
      <c r="S41" s="2"/>
      <c r="T41" s="7">
        <v>39262.622100000001</v>
      </c>
      <c r="U41" s="2"/>
      <c r="V41" s="6">
        <f t="shared" si="25"/>
        <v>0.2340822876050796</v>
      </c>
      <c r="W41" s="2"/>
      <c r="X41" s="7">
        <f t="shared" si="26"/>
        <v>-24940.022100000002</v>
      </c>
      <c r="Y41" s="2"/>
      <c r="Z41" s="6">
        <f t="shared" si="27"/>
        <v>-0.63521030349116703</v>
      </c>
    </row>
    <row r="42" spans="1:26" s="24" customFormat="1" hidden="1" outlineLevel="2" x14ac:dyDescent="0.3">
      <c r="A42" s="27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3">
      <c r="A43" s="27"/>
      <c r="B43" s="11" t="str">
        <f>CONCATENATE("          ", "6007", " - ", "STUDENT HOURLY")</f>
        <v xml:space="preserve">          6007 - STUDENT HOURLY</v>
      </c>
      <c r="C43" s="11"/>
      <c r="D43" s="7">
        <v>3051</v>
      </c>
      <c r="E43" s="2"/>
      <c r="F43" s="6">
        <f t="shared" si="20"/>
        <v>0.42153460148331545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3051</v>
      </c>
      <c r="M43" s="2"/>
      <c r="N43" s="6">
        <f t="shared" si="23"/>
        <v>0</v>
      </c>
      <c r="O43" s="11"/>
      <c r="P43" s="7">
        <v>51475.06</v>
      </c>
      <c r="Q43" s="2"/>
      <c r="R43" s="6">
        <f t="shared" si="24"/>
        <v>0.18779810291849403</v>
      </c>
      <c r="S43" s="2"/>
      <c r="T43" s="7">
        <v>4247.63</v>
      </c>
      <c r="U43" s="2"/>
      <c r="V43" s="6">
        <f t="shared" si="25"/>
        <v>2.532421153043582E-2</v>
      </c>
      <c r="W43" s="2"/>
      <c r="X43" s="7">
        <f t="shared" si="26"/>
        <v>47227.43</v>
      </c>
      <c r="Y43" s="2"/>
      <c r="Z43" s="6">
        <f t="shared" si="27"/>
        <v>11.118536689871764</v>
      </c>
    </row>
    <row r="44" spans="1:26" s="24" customFormat="1" hidden="1" outlineLevel="2" x14ac:dyDescent="0.3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0"/>
        <v>0</v>
      </c>
      <c r="G44" s="2"/>
      <c r="H44" s="7">
        <v>8322.4011499999997</v>
      </c>
      <c r="I44" s="2"/>
      <c r="J44" s="6">
        <f t="shared" si="21"/>
        <v>0.27279405893536118</v>
      </c>
      <c r="K44" s="2"/>
      <c r="L44" s="7">
        <f t="shared" si="22"/>
        <v>-8322.4011499999997</v>
      </c>
      <c r="M44" s="2"/>
      <c r="N44" s="6">
        <f t="shared" si="23"/>
        <v>-1</v>
      </c>
      <c r="O44" s="11"/>
      <c r="P44" s="7"/>
      <c r="Q44" s="2"/>
      <c r="R44" s="6">
        <f t="shared" si="24"/>
        <v>0</v>
      </c>
      <c r="S44" s="2"/>
      <c r="T44" s="7">
        <v>35580.371149999999</v>
      </c>
      <c r="U44" s="2"/>
      <c r="V44" s="6">
        <f t="shared" si="25"/>
        <v>0.2121288448697311</v>
      </c>
      <c r="W44" s="2"/>
      <c r="X44" s="7">
        <f t="shared" si="26"/>
        <v>-35580.371149999999</v>
      </c>
      <c r="Y44" s="2"/>
      <c r="Z44" s="6">
        <f t="shared" si="27"/>
        <v>-1</v>
      </c>
    </row>
    <row r="45" spans="1:26" s="24" customFormat="1" hidden="1" outlineLevel="2" x14ac:dyDescent="0.3">
      <c r="A45" s="27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3">
      <c r="A46" s="27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8" customFormat="1" outlineLevel="1" collapsed="1" x14ac:dyDescent="0.3">
      <c r="A47" s="29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22.71</v>
      </c>
      <c r="E47" s="1"/>
      <c r="F47" s="5">
        <f t="shared" ref="F47:F55" si="28">IF(D$12=0,0,D47/D$12)</f>
        <v>3.1376764338531937E-3</v>
      </c>
      <c r="G47" s="1"/>
      <c r="H47" s="1">
        <f>SUM(OSRRefH22_2x_0)</f>
        <v>0</v>
      </c>
      <c r="I47" s="1"/>
      <c r="J47" s="5">
        <f t="shared" ref="J47:J55" si="29">IF(H$12=0,0,H47/H$12)</f>
        <v>0</v>
      </c>
      <c r="K47" s="1"/>
      <c r="L47" s="1">
        <f t="shared" ref="L47:L55" si="30">+D47-H47</f>
        <v>22.71</v>
      </c>
      <c r="M47" s="1"/>
      <c r="N47" s="5">
        <f t="shared" ref="N47:N55" si="31">IF(H47=0,0,L47/H47)</f>
        <v>0</v>
      </c>
      <c r="O47" s="14"/>
      <c r="P47" s="1">
        <f>SUM(OSRRefP22_2x_0)</f>
        <v>240.97</v>
      </c>
      <c r="Q47" s="1"/>
      <c r="R47" s="5">
        <f t="shared" ref="R47:R55" si="32">IF(P$12=0,0,P47/P$12)</f>
        <v>8.7913853544356255E-4</v>
      </c>
      <c r="S47" s="1"/>
      <c r="T47" s="1">
        <f>SUM(OSRRefT22_2x_0)</f>
        <v>0</v>
      </c>
      <c r="U47" s="1"/>
      <c r="V47" s="5">
        <f t="shared" ref="V47:V55" si="33">IF(T$12=0,0,T47/T$12)</f>
        <v>0</v>
      </c>
      <c r="W47" s="1"/>
      <c r="X47" s="1">
        <f t="shared" ref="X47:X55" si="34">+P47-T47</f>
        <v>240.97</v>
      </c>
      <c r="Y47" s="1"/>
      <c r="Z47" s="5">
        <f t="shared" ref="Z47:Z55" si="35">IF(T47=0,0,X47/T47)</f>
        <v>0</v>
      </c>
    </row>
    <row r="48" spans="1:26" s="24" customFormat="1" hidden="1" outlineLevel="2" x14ac:dyDescent="0.3">
      <c r="A48" s="27"/>
      <c r="B48" s="11" t="str">
        <f>CONCATENATE("          ", "6362", " - ", "ADVERTISING EXPENSE")</f>
        <v xml:space="preserve">          6362 - ADVERTISING EXPENSE</v>
      </c>
      <c r="C48" s="11"/>
      <c r="D48" s="7">
        <v>22.71</v>
      </c>
      <c r="E48" s="2"/>
      <c r="F48" s="6">
        <f t="shared" si="28"/>
        <v>3.1376764338531937E-3</v>
      </c>
      <c r="G48" s="2"/>
      <c r="H48" s="7"/>
      <c r="I48" s="2"/>
      <c r="J48" s="6">
        <f t="shared" si="29"/>
        <v>0</v>
      </c>
      <c r="K48" s="2"/>
      <c r="L48" s="7">
        <f t="shared" si="30"/>
        <v>22.71</v>
      </c>
      <c r="M48" s="2"/>
      <c r="N48" s="6">
        <f t="shared" si="31"/>
        <v>0</v>
      </c>
      <c r="O48" s="11"/>
      <c r="P48" s="7">
        <v>240.97</v>
      </c>
      <c r="Q48" s="2"/>
      <c r="R48" s="6">
        <f t="shared" si="32"/>
        <v>8.7913853544356255E-4</v>
      </c>
      <c r="S48" s="2"/>
      <c r="T48" s="7"/>
      <c r="U48" s="2"/>
      <c r="V48" s="6">
        <f t="shared" si="33"/>
        <v>0</v>
      </c>
      <c r="W48" s="2"/>
      <c r="X48" s="7">
        <f t="shared" si="34"/>
        <v>240.97</v>
      </c>
      <c r="Y48" s="2"/>
      <c r="Z48" s="6">
        <f t="shared" si="35"/>
        <v>0</v>
      </c>
    </row>
    <row r="49" spans="1:26" s="28" customFormat="1" outlineLevel="1" collapsed="1" x14ac:dyDescent="0.3">
      <c r="A49" s="29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-0.55000000000000004</v>
      </c>
      <c r="E49" s="1"/>
      <c r="F49" s="5">
        <f t="shared" si="28"/>
        <v>-7.5989521735766481E-5</v>
      </c>
      <c r="G49" s="1"/>
      <c r="H49" s="1">
        <f>SUM(OSRRefH22_3x_0)</f>
        <v>0</v>
      </c>
      <c r="I49" s="1"/>
      <c r="J49" s="5">
        <f t="shared" si="29"/>
        <v>0</v>
      </c>
      <c r="K49" s="1"/>
      <c r="L49" s="1">
        <f t="shared" si="30"/>
        <v>-0.55000000000000004</v>
      </c>
      <c r="M49" s="1"/>
      <c r="N49" s="5">
        <f t="shared" si="31"/>
        <v>0</v>
      </c>
      <c r="O49" s="14"/>
      <c r="P49" s="1">
        <f>SUM(OSRRefP22_3x_0)</f>
        <v>-83.21</v>
      </c>
      <c r="Q49" s="1"/>
      <c r="R49" s="5">
        <f t="shared" si="32"/>
        <v>-3.0357769653591252E-4</v>
      </c>
      <c r="S49" s="1"/>
      <c r="T49" s="1">
        <f>SUM(OSRRefT22_3x_0)</f>
        <v>0</v>
      </c>
      <c r="U49" s="1"/>
      <c r="V49" s="5">
        <f t="shared" si="33"/>
        <v>0</v>
      </c>
      <c r="W49" s="1"/>
      <c r="X49" s="1">
        <f t="shared" si="34"/>
        <v>-83.21</v>
      </c>
      <c r="Y49" s="1"/>
      <c r="Z49" s="5">
        <f t="shared" si="35"/>
        <v>0</v>
      </c>
    </row>
    <row r="50" spans="1:26" s="24" customFormat="1" hidden="1" outlineLevel="2" x14ac:dyDescent="0.3">
      <c r="A50" s="27"/>
      <c r="B50" s="11" t="str">
        <f>CONCATENATE("          ", "6272", " - ", "CASH (OVER/SHORT)")</f>
        <v xml:space="preserve">          6272 - CASH (OVER/SHORT)</v>
      </c>
      <c r="C50" s="11"/>
      <c r="D50" s="7">
        <v>-0.55000000000000004</v>
      </c>
      <c r="E50" s="2"/>
      <c r="F50" s="6">
        <f t="shared" si="28"/>
        <v>-7.5989521735766481E-5</v>
      </c>
      <c r="G50" s="2"/>
      <c r="H50" s="7"/>
      <c r="I50" s="2"/>
      <c r="J50" s="6">
        <f t="shared" si="29"/>
        <v>0</v>
      </c>
      <c r="K50" s="2"/>
      <c r="L50" s="7">
        <f t="shared" si="30"/>
        <v>-0.55000000000000004</v>
      </c>
      <c r="M50" s="2"/>
      <c r="N50" s="6">
        <f t="shared" si="31"/>
        <v>0</v>
      </c>
      <c r="O50" s="11"/>
      <c r="P50" s="7">
        <v>-83.21</v>
      </c>
      <c r="Q50" s="2"/>
      <c r="R50" s="6">
        <f t="shared" si="32"/>
        <v>-3.0357769653591252E-4</v>
      </c>
      <c r="S50" s="2"/>
      <c r="T50" s="7"/>
      <c r="U50" s="2"/>
      <c r="V50" s="6">
        <f t="shared" si="33"/>
        <v>0</v>
      </c>
      <c r="W50" s="2"/>
      <c r="X50" s="7">
        <f t="shared" si="34"/>
        <v>-83.21</v>
      </c>
      <c r="Y50" s="2"/>
      <c r="Z50" s="6">
        <f t="shared" si="35"/>
        <v>0</v>
      </c>
    </row>
    <row r="51" spans="1:26" s="28" customFormat="1" outlineLevel="1" collapsed="1" x14ac:dyDescent="0.3">
      <c r="A51" s="29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181.66</v>
      </c>
      <c r="E51" s="1"/>
      <c r="F51" s="5">
        <f t="shared" si="28"/>
        <v>2.5098648215489704E-2</v>
      </c>
      <c r="G51" s="1"/>
      <c r="H51" s="1">
        <f>SUM(OSRRefH22_4x_0)</f>
        <v>1166</v>
      </c>
      <c r="I51" s="1"/>
      <c r="J51" s="5">
        <f t="shared" si="29"/>
        <v>3.8219483414186441E-2</v>
      </c>
      <c r="K51" s="1"/>
      <c r="L51" s="1">
        <f t="shared" si="30"/>
        <v>-984.34</v>
      </c>
      <c r="M51" s="1"/>
      <c r="N51" s="5">
        <f t="shared" si="31"/>
        <v>-0.8442024013722127</v>
      </c>
      <c r="O51" s="14"/>
      <c r="P51" s="1">
        <f>SUM(OSRRefP22_4x_0)</f>
        <v>9896.35</v>
      </c>
      <c r="Q51" s="1"/>
      <c r="R51" s="5">
        <f t="shared" si="32"/>
        <v>3.610516929591609E-2</v>
      </c>
      <c r="S51" s="1"/>
      <c r="T51" s="1">
        <f>SUM(OSRRefT22_4x_0)</f>
        <v>6407</v>
      </c>
      <c r="U51" s="1"/>
      <c r="V51" s="5">
        <f t="shared" si="33"/>
        <v>3.8198294878674058E-2</v>
      </c>
      <c r="W51" s="1"/>
      <c r="X51" s="1">
        <f t="shared" si="34"/>
        <v>3489.3500000000004</v>
      </c>
      <c r="Y51" s="1"/>
      <c r="Z51" s="5">
        <f t="shared" si="35"/>
        <v>0.54461526455439369</v>
      </c>
    </row>
    <row r="52" spans="1:26" s="24" customFormat="1" hidden="1" outlineLevel="2" x14ac:dyDescent="0.3">
      <c r="A52" s="27"/>
      <c r="B52" s="11" t="str">
        <f>CONCATENATE("          ", "6381", " - ", "BANK/CREDIT CARD FEES")</f>
        <v xml:space="preserve">          6381 - BANK/CREDIT CARD FEES</v>
      </c>
      <c r="C52" s="11"/>
      <c r="D52" s="7">
        <v>181.66</v>
      </c>
      <c r="E52" s="2"/>
      <c r="F52" s="6">
        <f t="shared" si="28"/>
        <v>2.5098648215489704E-2</v>
      </c>
      <c r="G52" s="2"/>
      <c r="H52" s="7">
        <v>1166</v>
      </c>
      <c r="I52" s="2"/>
      <c r="J52" s="6">
        <f t="shared" si="29"/>
        <v>3.8219483414186441E-2</v>
      </c>
      <c r="K52" s="2"/>
      <c r="L52" s="7">
        <f t="shared" si="30"/>
        <v>-984.34</v>
      </c>
      <c r="M52" s="2"/>
      <c r="N52" s="6">
        <f t="shared" si="31"/>
        <v>-0.8442024013722127</v>
      </c>
      <c r="O52" s="11"/>
      <c r="P52" s="7">
        <v>9896.35</v>
      </c>
      <c r="Q52" s="2"/>
      <c r="R52" s="6">
        <f t="shared" si="32"/>
        <v>3.610516929591609E-2</v>
      </c>
      <c r="S52" s="2"/>
      <c r="T52" s="7">
        <v>6407</v>
      </c>
      <c r="U52" s="2"/>
      <c r="V52" s="6">
        <f t="shared" si="33"/>
        <v>3.8198294878674058E-2</v>
      </c>
      <c r="W52" s="2"/>
      <c r="X52" s="7">
        <f t="shared" si="34"/>
        <v>3489.3500000000004</v>
      </c>
      <c r="Y52" s="2"/>
      <c r="Z52" s="6">
        <f t="shared" si="35"/>
        <v>0.54461526455439369</v>
      </c>
    </row>
    <row r="53" spans="1:26" s="28" customFormat="1" outlineLevel="1" collapsed="1" x14ac:dyDescent="0.3">
      <c r="A53" s="29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4626.5</v>
      </c>
      <c r="E53" s="1"/>
      <c r="F53" s="5">
        <f t="shared" si="28"/>
        <v>0.6392100405645883</v>
      </c>
      <c r="G53" s="1"/>
      <c r="H53" s="1">
        <f>SUM(OSRRefH22_5x_0)</f>
        <v>4733</v>
      </c>
      <c r="I53" s="1"/>
      <c r="J53" s="5">
        <f t="shared" si="29"/>
        <v>0.15513963550544119</v>
      </c>
      <c r="K53" s="1"/>
      <c r="L53" s="1">
        <f t="shared" si="30"/>
        <v>-106.5</v>
      </c>
      <c r="M53" s="1"/>
      <c r="N53" s="5">
        <f t="shared" si="31"/>
        <v>-2.2501584618635113E-2</v>
      </c>
      <c r="O53" s="14"/>
      <c r="P53" s="1">
        <f>SUM(OSRRefP22_5x_0)</f>
        <v>32385.5</v>
      </c>
      <c r="Q53" s="1"/>
      <c r="R53" s="5">
        <f t="shared" si="32"/>
        <v>0.11815305241153461</v>
      </c>
      <c r="S53" s="1"/>
      <c r="T53" s="1">
        <f>SUM(OSRRefT22_5x_0)</f>
        <v>33131</v>
      </c>
      <c r="U53" s="1"/>
      <c r="V53" s="5">
        <f t="shared" si="33"/>
        <v>0.19752578548858285</v>
      </c>
      <c r="W53" s="1"/>
      <c r="X53" s="1">
        <f t="shared" si="34"/>
        <v>-745.5</v>
      </c>
      <c r="Y53" s="1"/>
      <c r="Z53" s="5">
        <f t="shared" si="35"/>
        <v>-2.2501584618635113E-2</v>
      </c>
    </row>
    <row r="54" spans="1:26" s="24" customFormat="1" hidden="1" outlineLevel="2" x14ac:dyDescent="0.3">
      <c r="A54" s="27"/>
      <c r="B54" s="11" t="str">
        <f>CONCATENATE("          ", "6321", " - ", "BUILDING DEPRECIATION")</f>
        <v xml:space="preserve">          6321 - BUILDING DEPRECIATION</v>
      </c>
      <c r="C54" s="11"/>
      <c r="D54" s="7">
        <v>4626.5</v>
      </c>
      <c r="E54" s="2"/>
      <c r="F54" s="6">
        <f t="shared" si="28"/>
        <v>0.6392100405645883</v>
      </c>
      <c r="G54" s="2"/>
      <c r="H54" s="7"/>
      <c r="I54" s="2"/>
      <c r="J54" s="6">
        <f t="shared" si="29"/>
        <v>0</v>
      </c>
      <c r="K54" s="2"/>
      <c r="L54" s="7">
        <f t="shared" si="30"/>
        <v>4626.5</v>
      </c>
      <c r="M54" s="2"/>
      <c r="N54" s="6">
        <f t="shared" si="31"/>
        <v>0</v>
      </c>
      <c r="O54" s="11"/>
      <c r="P54" s="7">
        <v>32385.5</v>
      </c>
      <c r="Q54" s="2"/>
      <c r="R54" s="6">
        <f t="shared" si="32"/>
        <v>0.11815305241153461</v>
      </c>
      <c r="S54" s="2"/>
      <c r="T54" s="7"/>
      <c r="U54" s="2"/>
      <c r="V54" s="6">
        <f t="shared" si="33"/>
        <v>0</v>
      </c>
      <c r="W54" s="2"/>
      <c r="X54" s="7">
        <f t="shared" si="34"/>
        <v>32385.5</v>
      </c>
      <c r="Y54" s="2"/>
      <c r="Z54" s="6">
        <f t="shared" si="35"/>
        <v>0</v>
      </c>
    </row>
    <row r="55" spans="1:26" s="24" customFormat="1" hidden="1" outlineLevel="2" x14ac:dyDescent="0.3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7"/>
      <c r="E55" s="2"/>
      <c r="F55" s="6">
        <f t="shared" si="28"/>
        <v>0</v>
      </c>
      <c r="G55" s="2"/>
      <c r="H55" s="7">
        <v>4733</v>
      </c>
      <c r="I55" s="2"/>
      <c r="J55" s="6">
        <f t="shared" si="29"/>
        <v>0.15513963550544119</v>
      </c>
      <c r="K55" s="2"/>
      <c r="L55" s="7">
        <f t="shared" si="30"/>
        <v>-4733</v>
      </c>
      <c r="M55" s="2"/>
      <c r="N55" s="6">
        <f t="shared" si="31"/>
        <v>-1</v>
      </c>
      <c r="O55" s="11"/>
      <c r="P55" s="7"/>
      <c r="Q55" s="2"/>
      <c r="R55" s="6">
        <f t="shared" si="32"/>
        <v>0</v>
      </c>
      <c r="S55" s="2"/>
      <c r="T55" s="7">
        <v>33131</v>
      </c>
      <c r="U55" s="2"/>
      <c r="V55" s="6">
        <f t="shared" si="33"/>
        <v>0.19752578548858285</v>
      </c>
      <c r="W55" s="2"/>
      <c r="X55" s="7">
        <f t="shared" si="34"/>
        <v>-33131</v>
      </c>
      <c r="Y55" s="2"/>
      <c r="Z55" s="6">
        <f t="shared" si="35"/>
        <v>-1</v>
      </c>
    </row>
    <row r="56" spans="1:26" s="28" customFormat="1" outlineLevel="1" collapsed="1" x14ac:dyDescent="0.3">
      <c r="A56" s="29"/>
      <c r="B56" s="14" t="str">
        <f>CONCATENATE("     ","Employees' Appreciation                           ")</f>
        <v xml:space="preserve">     Employees' Appreciation                           </v>
      </c>
      <c r="C56" s="14"/>
      <c r="D56" s="1">
        <f>SUM(OSRRefD22_6x_0)</f>
        <v>0</v>
      </c>
      <c r="E56" s="1"/>
      <c r="F56" s="5">
        <f t="shared" ref="F56:F64" si="36">IF(D$12=0,0,D56/D$12)</f>
        <v>0</v>
      </c>
      <c r="G56" s="1"/>
      <c r="H56" s="1">
        <f>SUM(OSRRefH22_6x_0)</f>
        <v>20</v>
      </c>
      <c r="I56" s="1"/>
      <c r="J56" s="5">
        <f t="shared" ref="J56:J64" si="37">IF(H$12=0,0,H56/H$12)</f>
        <v>6.5556575324505052E-4</v>
      </c>
      <c r="K56" s="1"/>
      <c r="L56" s="1">
        <f t="shared" ref="L56:L64" si="38">+D56-H56</f>
        <v>-20</v>
      </c>
      <c r="M56" s="1"/>
      <c r="N56" s="5">
        <f t="shared" ref="N56:N64" si="39">IF(H56=0,0,L56/H56)</f>
        <v>-1</v>
      </c>
      <c r="O56" s="14"/>
      <c r="P56" s="1">
        <f>SUM(OSRRefP22_6x_0)</f>
        <v>246.92</v>
      </c>
      <c r="Q56" s="1"/>
      <c r="R56" s="5">
        <f t="shared" ref="R56:R64" si="40">IF(P$12=0,0,P56/P$12)</f>
        <v>9.0084611018684669E-4</v>
      </c>
      <c r="S56" s="1"/>
      <c r="T56" s="1">
        <f>SUM(OSRRefT22_6x_0)</f>
        <v>100</v>
      </c>
      <c r="U56" s="1"/>
      <c r="V56" s="5">
        <f t="shared" ref="V56:V64" si="41">IF(T$12=0,0,T56/T$12)</f>
        <v>5.9619626781136348E-4</v>
      </c>
      <c r="W56" s="1"/>
      <c r="X56" s="1">
        <f t="shared" ref="X56:X64" si="42">+P56-T56</f>
        <v>146.91999999999999</v>
      </c>
      <c r="Y56" s="1"/>
      <c r="Z56" s="5">
        <f t="shared" ref="Z56:Z64" si="43">IF(T56=0,0,X56/T56)</f>
        <v>1.4691999999999998</v>
      </c>
    </row>
    <row r="57" spans="1:26" s="24" customFormat="1" hidden="1" outlineLevel="2" x14ac:dyDescent="0.3">
      <c r="A57" s="27"/>
      <c r="B57" s="11" t="str">
        <f>CONCATENATE("          ", "6277", " - ", "EMPLOYEE APPRECIATION")</f>
        <v xml:space="preserve">          6277 - EMPLOYEE APPRECIATION</v>
      </c>
      <c r="C57" s="11"/>
      <c r="D57" s="7"/>
      <c r="E57" s="2"/>
      <c r="F57" s="6">
        <f t="shared" si="36"/>
        <v>0</v>
      </c>
      <c r="G57" s="2"/>
      <c r="H57" s="7">
        <v>20</v>
      </c>
      <c r="I57" s="2"/>
      <c r="J57" s="6">
        <f t="shared" si="37"/>
        <v>6.5556575324505052E-4</v>
      </c>
      <c r="K57" s="2"/>
      <c r="L57" s="7">
        <f t="shared" si="38"/>
        <v>-20</v>
      </c>
      <c r="M57" s="2"/>
      <c r="N57" s="6">
        <f t="shared" si="39"/>
        <v>-1</v>
      </c>
      <c r="O57" s="11"/>
      <c r="P57" s="7">
        <v>246.92</v>
      </c>
      <c r="Q57" s="2"/>
      <c r="R57" s="6">
        <f t="shared" si="40"/>
        <v>9.0084611018684669E-4</v>
      </c>
      <c r="S57" s="2"/>
      <c r="T57" s="7">
        <v>100</v>
      </c>
      <c r="U57" s="2"/>
      <c r="V57" s="6">
        <f t="shared" si="41"/>
        <v>5.9619626781136348E-4</v>
      </c>
      <c r="W57" s="2"/>
      <c r="X57" s="7">
        <f t="shared" si="42"/>
        <v>146.91999999999999</v>
      </c>
      <c r="Y57" s="2"/>
      <c r="Z57" s="6">
        <f t="shared" si="43"/>
        <v>1.4691999999999998</v>
      </c>
    </row>
    <row r="58" spans="1:26" s="28" customFormat="1" outlineLevel="1" collapsed="1" x14ac:dyDescent="0.3">
      <c r="A58" s="29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SUM(OSRRefD22_7x_0)</f>
        <v>0</v>
      </c>
      <c r="E58" s="1"/>
      <c r="F58" s="5">
        <f t="shared" si="36"/>
        <v>0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0</v>
      </c>
      <c r="M58" s="1"/>
      <c r="N58" s="5">
        <f t="shared" si="39"/>
        <v>0</v>
      </c>
      <c r="O58" s="14"/>
      <c r="P58" s="1">
        <f>SUM(OSRRefP22_7x_0)</f>
        <v>1893.3</v>
      </c>
      <c r="Q58" s="1"/>
      <c r="R58" s="5">
        <f t="shared" si="40"/>
        <v>6.907386766631933E-3</v>
      </c>
      <c r="S58" s="1"/>
      <c r="T58" s="1">
        <f>SUM(OSRRefT22_7x_0)</f>
        <v>500</v>
      </c>
      <c r="U58" s="1"/>
      <c r="V58" s="5">
        <f t="shared" si="41"/>
        <v>2.9809813390568175E-3</v>
      </c>
      <c r="W58" s="1"/>
      <c r="X58" s="1">
        <f t="shared" si="42"/>
        <v>1393.3</v>
      </c>
      <c r="Y58" s="1"/>
      <c r="Z58" s="5">
        <f t="shared" si="43"/>
        <v>2.7866</v>
      </c>
    </row>
    <row r="59" spans="1:26" s="24" customFormat="1" hidden="1" outlineLevel="2" x14ac:dyDescent="0.3">
      <c r="A59" s="27"/>
      <c r="B59" s="11" t="str">
        <f>CONCATENATE("          ", "6279", " - ", "GENERAL EXPENSE")</f>
        <v xml:space="preserve">          6279 - GENERAL EXPENSE</v>
      </c>
      <c r="C59" s="11"/>
      <c r="D59" s="7"/>
      <c r="E59" s="2"/>
      <c r="F59" s="6">
        <f t="shared" si="36"/>
        <v>0</v>
      </c>
      <c r="G59" s="2"/>
      <c r="H59" s="7"/>
      <c r="I59" s="2"/>
      <c r="J59" s="6">
        <f t="shared" si="37"/>
        <v>0</v>
      </c>
      <c r="K59" s="2"/>
      <c r="L59" s="7">
        <f t="shared" si="38"/>
        <v>0</v>
      </c>
      <c r="M59" s="2"/>
      <c r="N59" s="6">
        <f t="shared" si="39"/>
        <v>0</v>
      </c>
      <c r="O59" s="11"/>
      <c r="P59" s="7">
        <v>1893.3</v>
      </c>
      <c r="Q59" s="2"/>
      <c r="R59" s="6">
        <f t="shared" si="40"/>
        <v>6.907386766631933E-3</v>
      </c>
      <c r="S59" s="2"/>
      <c r="T59" s="7">
        <v>500</v>
      </c>
      <c r="U59" s="2"/>
      <c r="V59" s="6">
        <f t="shared" si="41"/>
        <v>2.9809813390568175E-3</v>
      </c>
      <c r="W59" s="2"/>
      <c r="X59" s="7">
        <f t="shared" si="42"/>
        <v>1393.3</v>
      </c>
      <c r="Y59" s="2"/>
      <c r="Z59" s="6">
        <f t="shared" si="43"/>
        <v>2.7866</v>
      </c>
    </row>
    <row r="60" spans="1:26" s="28" customFormat="1" outlineLevel="1" collapsed="1" x14ac:dyDescent="0.3">
      <c r="A60" s="29"/>
      <c r="B60" s="14" t="str">
        <f>CONCATENATE("     ","Rent                                              ")</f>
        <v xml:space="preserve">     Rent                                              </v>
      </c>
      <c r="C60" s="14"/>
      <c r="D60" s="1">
        <f>SUM(OSRRefD22_8x_0)</f>
        <v>1850</v>
      </c>
      <c r="E60" s="1"/>
      <c r="F60" s="5">
        <f t="shared" si="36"/>
        <v>0.25560111856575995</v>
      </c>
      <c r="G60" s="1"/>
      <c r="H60" s="1">
        <f>SUM(OSRRefH22_8x_0)</f>
        <v>1850</v>
      </c>
      <c r="I60" s="1"/>
      <c r="J60" s="5">
        <f t="shared" si="37"/>
        <v>6.063983217516717E-2</v>
      </c>
      <c r="K60" s="1"/>
      <c r="L60" s="1">
        <f t="shared" si="38"/>
        <v>0</v>
      </c>
      <c r="M60" s="1"/>
      <c r="N60" s="5">
        <f t="shared" si="39"/>
        <v>0</v>
      </c>
      <c r="O60" s="14"/>
      <c r="P60" s="1">
        <f>SUM(OSRRefP22_8x_0)</f>
        <v>12950</v>
      </c>
      <c r="Q60" s="1"/>
      <c r="R60" s="5">
        <f t="shared" si="40"/>
        <v>4.7245897970677408E-2</v>
      </c>
      <c r="S60" s="1"/>
      <c r="T60" s="1">
        <f>SUM(OSRRefT22_8x_0)</f>
        <v>12950</v>
      </c>
      <c r="U60" s="1"/>
      <c r="V60" s="5">
        <f t="shared" si="41"/>
        <v>7.7207416681571578E-2</v>
      </c>
      <c r="W60" s="1"/>
      <c r="X60" s="1">
        <f t="shared" si="42"/>
        <v>0</v>
      </c>
      <c r="Y60" s="1"/>
      <c r="Z60" s="5">
        <f t="shared" si="43"/>
        <v>0</v>
      </c>
    </row>
    <row r="61" spans="1:26" s="24" customFormat="1" hidden="1" outlineLevel="2" x14ac:dyDescent="0.3">
      <c r="A61" s="27"/>
      <c r="B61" s="11" t="str">
        <f>CONCATENATE("          ", "6273", " - ", "RENT")</f>
        <v xml:space="preserve">          6273 - RENT</v>
      </c>
      <c r="C61" s="11"/>
      <c r="D61" s="7">
        <v>1850</v>
      </c>
      <c r="E61" s="2"/>
      <c r="F61" s="6">
        <f t="shared" si="36"/>
        <v>0.25560111856575995</v>
      </c>
      <c r="G61" s="2"/>
      <c r="H61" s="7">
        <v>1850</v>
      </c>
      <c r="I61" s="2"/>
      <c r="J61" s="6">
        <f t="shared" si="37"/>
        <v>6.063983217516717E-2</v>
      </c>
      <c r="K61" s="2"/>
      <c r="L61" s="7">
        <f t="shared" si="38"/>
        <v>0</v>
      </c>
      <c r="M61" s="2"/>
      <c r="N61" s="6">
        <f t="shared" si="39"/>
        <v>0</v>
      </c>
      <c r="O61" s="11"/>
      <c r="P61" s="7">
        <v>12950</v>
      </c>
      <c r="Q61" s="2"/>
      <c r="R61" s="6">
        <f t="shared" si="40"/>
        <v>4.7245897970677408E-2</v>
      </c>
      <c r="S61" s="2"/>
      <c r="T61" s="7">
        <v>12950</v>
      </c>
      <c r="U61" s="2"/>
      <c r="V61" s="6">
        <f t="shared" si="41"/>
        <v>7.7207416681571578E-2</v>
      </c>
      <c r="W61" s="2"/>
      <c r="X61" s="7">
        <f t="shared" si="42"/>
        <v>0</v>
      </c>
      <c r="Y61" s="2"/>
      <c r="Z61" s="6">
        <f t="shared" si="43"/>
        <v>0</v>
      </c>
    </row>
    <row r="62" spans="1:26" s="28" customFormat="1" outlineLevel="1" collapsed="1" x14ac:dyDescent="0.3">
      <c r="A62" s="29"/>
      <c r="B62" s="14" t="str">
        <f>CONCATENATE("     ","Repair and Maintenance                            ")</f>
        <v xml:space="preserve">     Repair and Maintenance                            </v>
      </c>
      <c r="C62" s="14"/>
      <c r="D62" s="1">
        <f>SUM(OSRRefD22_9x_0)</f>
        <v>53.25</v>
      </c>
      <c r="E62" s="1"/>
      <c r="F62" s="5">
        <f t="shared" si="36"/>
        <v>7.3571673316901176E-3</v>
      </c>
      <c r="G62" s="1"/>
      <c r="H62" s="1">
        <f>SUM(OSRRefH22_9x_0)</f>
        <v>650</v>
      </c>
      <c r="I62" s="1"/>
      <c r="J62" s="5">
        <f t="shared" si="37"/>
        <v>2.130588698046414E-2</v>
      </c>
      <c r="K62" s="1"/>
      <c r="L62" s="1">
        <f t="shared" si="38"/>
        <v>-596.75</v>
      </c>
      <c r="M62" s="1"/>
      <c r="N62" s="5">
        <f t="shared" si="39"/>
        <v>-0.91807692307692312</v>
      </c>
      <c r="O62" s="14"/>
      <c r="P62" s="1">
        <f>SUM(OSRRefP22_9x_0)</f>
        <v>3729.23</v>
      </c>
      <c r="Q62" s="1"/>
      <c r="R62" s="5">
        <f t="shared" si="40"/>
        <v>1.3605468732755931E-2</v>
      </c>
      <c r="S62" s="1"/>
      <c r="T62" s="1">
        <f>SUM(OSRRefT22_9x_0)</f>
        <v>3950</v>
      </c>
      <c r="U62" s="1"/>
      <c r="V62" s="5">
        <f t="shared" si="41"/>
        <v>2.3549752578548858E-2</v>
      </c>
      <c r="W62" s="1"/>
      <c r="X62" s="1">
        <f t="shared" si="42"/>
        <v>-220.76999999999998</v>
      </c>
      <c r="Y62" s="1"/>
      <c r="Z62" s="5">
        <f t="shared" si="43"/>
        <v>-5.5891139240506323E-2</v>
      </c>
    </row>
    <row r="63" spans="1:26" s="24" customFormat="1" hidden="1" outlineLevel="2" x14ac:dyDescent="0.3">
      <c r="A63" s="27"/>
      <c r="B63" s="11" t="str">
        <f>CONCATENATE("          ", "6373", " - ", "MAINTENANCE CONTRACTS")</f>
        <v xml:space="preserve">          6373 - MAINTENANCE CONTRACTS</v>
      </c>
      <c r="C63" s="11"/>
      <c r="D63" s="7"/>
      <c r="E63" s="2"/>
      <c r="F63" s="6">
        <f t="shared" si="36"/>
        <v>0</v>
      </c>
      <c r="G63" s="2"/>
      <c r="H63" s="7">
        <v>150</v>
      </c>
      <c r="I63" s="2"/>
      <c r="J63" s="6">
        <f t="shared" si="37"/>
        <v>4.9167431493378783E-3</v>
      </c>
      <c r="K63" s="2"/>
      <c r="L63" s="7">
        <f t="shared" si="38"/>
        <v>-150</v>
      </c>
      <c r="M63" s="2"/>
      <c r="N63" s="6">
        <f t="shared" si="39"/>
        <v>-1</v>
      </c>
      <c r="O63" s="11"/>
      <c r="P63" s="7">
        <v>146.75</v>
      </c>
      <c r="Q63" s="2"/>
      <c r="R63" s="6">
        <f t="shared" si="40"/>
        <v>5.3539270480285018E-4</v>
      </c>
      <c r="S63" s="2"/>
      <c r="T63" s="7">
        <v>450</v>
      </c>
      <c r="U63" s="2"/>
      <c r="V63" s="6">
        <f t="shared" si="41"/>
        <v>2.6828832051511357E-3</v>
      </c>
      <c r="W63" s="2"/>
      <c r="X63" s="7">
        <f t="shared" si="42"/>
        <v>-303.25</v>
      </c>
      <c r="Y63" s="2"/>
      <c r="Z63" s="6">
        <f t="shared" si="43"/>
        <v>-0.67388888888888887</v>
      </c>
    </row>
    <row r="64" spans="1:26" s="24" customFormat="1" hidden="1" outlineLevel="2" x14ac:dyDescent="0.3">
      <c r="A64" s="27"/>
      <c r="B64" s="11" t="str">
        <f>CONCATENATE("          ", "6375", " - ", "OUTSIDE REPAIRS &amp; MAINTENANCE")</f>
        <v xml:space="preserve">          6375 - OUTSIDE REPAIRS &amp; MAINTENANCE</v>
      </c>
      <c r="C64" s="11"/>
      <c r="D64" s="7">
        <v>53.25</v>
      </c>
      <c r="E64" s="2"/>
      <c r="F64" s="6">
        <f t="shared" si="36"/>
        <v>7.3571673316901176E-3</v>
      </c>
      <c r="G64" s="2"/>
      <c r="H64" s="7">
        <v>500</v>
      </c>
      <c r="I64" s="2"/>
      <c r="J64" s="6">
        <f t="shared" si="37"/>
        <v>1.6389143831126263E-2</v>
      </c>
      <c r="K64" s="2"/>
      <c r="L64" s="7">
        <f t="shared" si="38"/>
        <v>-446.75</v>
      </c>
      <c r="M64" s="2"/>
      <c r="N64" s="6">
        <f t="shared" si="39"/>
        <v>-0.89349999999999996</v>
      </c>
      <c r="O64" s="11"/>
      <c r="P64" s="7">
        <v>3582.48</v>
      </c>
      <c r="Q64" s="2"/>
      <c r="R64" s="6">
        <f t="shared" si="40"/>
        <v>1.3070076027953081E-2</v>
      </c>
      <c r="S64" s="2"/>
      <c r="T64" s="7">
        <v>3500</v>
      </c>
      <c r="U64" s="2"/>
      <c r="V64" s="6">
        <f t="shared" si="41"/>
        <v>2.0866869373397722E-2</v>
      </c>
      <c r="W64" s="2"/>
      <c r="X64" s="7">
        <f t="shared" si="42"/>
        <v>82.480000000000018</v>
      </c>
      <c r="Y64" s="2"/>
      <c r="Z64" s="6">
        <f t="shared" si="43"/>
        <v>2.3565714285714291E-2</v>
      </c>
    </row>
    <row r="65" spans="1:26" s="28" customFormat="1" outlineLevel="1" collapsed="1" x14ac:dyDescent="0.3">
      <c r="A65" s="29"/>
      <c r="B65" s="14" t="str">
        <f>CONCATENATE("     ","Services                                          ")</f>
        <v xml:space="preserve">     Services                                          </v>
      </c>
      <c r="C65" s="14"/>
      <c r="D65" s="1">
        <f>SUM(OSRRefD22_10x_0)</f>
        <v>0</v>
      </c>
      <c r="E65" s="1"/>
      <c r="F65" s="5">
        <f t="shared" ref="F65:F69" si="44">IF(D$12=0,0,D65/D$12)</f>
        <v>0</v>
      </c>
      <c r="G65" s="1"/>
      <c r="H65" s="1">
        <f>SUM(OSRRefH22_10x_0)</f>
        <v>2283</v>
      </c>
      <c r="I65" s="1"/>
      <c r="J65" s="5">
        <f t="shared" ref="J65:J69" si="45">IF(H$12=0,0,H65/H$12)</f>
        <v>7.4832830732922517E-2</v>
      </c>
      <c r="K65" s="1"/>
      <c r="L65" s="1">
        <f t="shared" ref="L65:L69" si="46">+D65-H65</f>
        <v>-2283</v>
      </c>
      <c r="M65" s="1"/>
      <c r="N65" s="5">
        <f t="shared" ref="N65:N69" si="47">IF(H65=0,0,L65/H65)</f>
        <v>-1</v>
      </c>
      <c r="O65" s="14"/>
      <c r="P65" s="1">
        <f>SUM(OSRRefP22_10x_0)</f>
        <v>4851.2999999999993</v>
      </c>
      <c r="Q65" s="1"/>
      <c r="R65" s="5">
        <f t="shared" ref="R65:R69" si="48">IF(P$12=0,0,P65/P$12)</f>
        <v>1.769915249615037E-2</v>
      </c>
      <c r="S65" s="1"/>
      <c r="T65" s="1">
        <f>SUM(OSRRefT22_10x_0)</f>
        <v>13698</v>
      </c>
      <c r="U65" s="1"/>
      <c r="V65" s="5">
        <f t="shared" ref="V65:V69" si="49">IF(T$12=0,0,T65/T$12)</f>
        <v>8.1666964764800579E-2</v>
      </c>
      <c r="W65" s="1"/>
      <c r="X65" s="1">
        <f t="shared" ref="X65:X69" si="50">+P65-T65</f>
        <v>-8846.7000000000007</v>
      </c>
      <c r="Y65" s="1"/>
      <c r="Z65" s="5">
        <f t="shared" ref="Z65:Z69" si="51">IF(T65=0,0,X65/T65)</f>
        <v>-0.64583880858519493</v>
      </c>
    </row>
    <row r="66" spans="1:26" s="24" customFormat="1" hidden="1" outlineLevel="2" x14ac:dyDescent="0.3">
      <c r="A66" s="27"/>
      <c r="B66" s="11" t="str">
        <f>CONCATENATE("          ", "6282", " - ", "JANITORIAL/EXTERMINATOR EXPENS")</f>
        <v xml:space="preserve">          6282 - JANITORIAL/EXTERMINATOR EXPENS</v>
      </c>
      <c r="C66" s="11"/>
      <c r="D66" s="7"/>
      <c r="E66" s="2"/>
      <c r="F66" s="6">
        <f t="shared" si="44"/>
        <v>0</v>
      </c>
      <c r="G66" s="2"/>
      <c r="H66" s="7">
        <v>150</v>
      </c>
      <c r="I66" s="2"/>
      <c r="J66" s="6">
        <f t="shared" si="45"/>
        <v>4.9167431493378783E-3</v>
      </c>
      <c r="K66" s="2"/>
      <c r="L66" s="7">
        <f t="shared" si="46"/>
        <v>-150</v>
      </c>
      <c r="M66" s="2"/>
      <c r="N66" s="6">
        <f t="shared" si="47"/>
        <v>-1</v>
      </c>
      <c r="O66" s="11"/>
      <c r="P66" s="7">
        <v>451.86</v>
      </c>
      <c r="Q66" s="2"/>
      <c r="R66" s="6">
        <f t="shared" si="48"/>
        <v>1.648535247647127E-3</v>
      </c>
      <c r="S66" s="2"/>
      <c r="T66" s="7">
        <v>950</v>
      </c>
      <c r="U66" s="2"/>
      <c r="V66" s="6">
        <f t="shared" si="49"/>
        <v>5.6638645442079532E-3</v>
      </c>
      <c r="W66" s="2"/>
      <c r="X66" s="7">
        <f t="shared" si="50"/>
        <v>-498.14</v>
      </c>
      <c r="Y66" s="2"/>
      <c r="Z66" s="6">
        <f t="shared" si="51"/>
        <v>-0.52435789473684213</v>
      </c>
    </row>
    <row r="67" spans="1:26" s="24" customFormat="1" hidden="1" outlineLevel="2" x14ac:dyDescent="0.3">
      <c r="A67" s="27"/>
      <c r="B67" s="11" t="str">
        <f>CONCATENATE("          ", "6284", " - ", "TRASH REMOVAL EXPENSE")</f>
        <v xml:space="preserve">          6284 - TRASH REMOVAL EXPENSE</v>
      </c>
      <c r="C67" s="11"/>
      <c r="D67" s="7"/>
      <c r="E67" s="2"/>
      <c r="F67" s="6">
        <f t="shared" si="44"/>
        <v>0</v>
      </c>
      <c r="G67" s="2"/>
      <c r="H67" s="7"/>
      <c r="I67" s="2"/>
      <c r="J67" s="6">
        <f t="shared" si="45"/>
        <v>0</v>
      </c>
      <c r="K67" s="2"/>
      <c r="L67" s="7">
        <f t="shared" si="46"/>
        <v>0</v>
      </c>
      <c r="M67" s="2"/>
      <c r="N67" s="6">
        <f t="shared" si="47"/>
        <v>0</v>
      </c>
      <c r="O67" s="11"/>
      <c r="P67" s="7"/>
      <c r="Q67" s="2"/>
      <c r="R67" s="6">
        <f t="shared" si="48"/>
        <v>0</v>
      </c>
      <c r="S67" s="2"/>
      <c r="T67" s="7">
        <v>0</v>
      </c>
      <c r="U67" s="2"/>
      <c r="V67" s="6">
        <f t="shared" si="49"/>
        <v>0</v>
      </c>
      <c r="W67" s="2"/>
      <c r="X67" s="7">
        <f t="shared" si="50"/>
        <v>0</v>
      </c>
      <c r="Y67" s="2"/>
      <c r="Z67" s="6">
        <f t="shared" si="51"/>
        <v>0</v>
      </c>
    </row>
    <row r="68" spans="1:26" s="24" customFormat="1" hidden="1" outlineLevel="2" x14ac:dyDescent="0.3">
      <c r="A68" s="27"/>
      <c r="B68" s="11" t="str">
        <f>CONCATENATE("          ", "6285", " - ", "JANITORIAL SERVICES")</f>
        <v xml:space="preserve">          6285 - JANITORIAL SERVICES</v>
      </c>
      <c r="C68" s="11"/>
      <c r="D68" s="7"/>
      <c r="E68" s="2"/>
      <c r="F68" s="6">
        <f t="shared" si="44"/>
        <v>0</v>
      </c>
      <c r="G68" s="2"/>
      <c r="H68" s="7">
        <v>2083</v>
      </c>
      <c r="I68" s="2"/>
      <c r="J68" s="6">
        <f t="shared" si="45"/>
        <v>6.8277173200472011E-2</v>
      </c>
      <c r="K68" s="2"/>
      <c r="L68" s="7">
        <f t="shared" si="46"/>
        <v>-2083</v>
      </c>
      <c r="M68" s="2"/>
      <c r="N68" s="6">
        <f t="shared" si="47"/>
        <v>-1</v>
      </c>
      <c r="O68" s="11"/>
      <c r="P68" s="7">
        <v>3660</v>
      </c>
      <c r="Q68" s="2"/>
      <c r="R68" s="6">
        <f t="shared" si="48"/>
        <v>1.3352894716037013E-2</v>
      </c>
      <c r="S68" s="2"/>
      <c r="T68" s="7">
        <v>12498</v>
      </c>
      <c r="U68" s="2"/>
      <c r="V68" s="6">
        <f t="shared" si="49"/>
        <v>7.4512609551064216E-2</v>
      </c>
      <c r="W68" s="2"/>
      <c r="X68" s="7">
        <f t="shared" si="50"/>
        <v>-8838</v>
      </c>
      <c r="Y68" s="2"/>
      <c r="Z68" s="6">
        <f t="shared" si="51"/>
        <v>-0.7071531445031205</v>
      </c>
    </row>
    <row r="69" spans="1:26" s="24" customFormat="1" hidden="1" outlineLevel="2" x14ac:dyDescent="0.3">
      <c r="A69" s="27"/>
      <c r="B69" s="11" t="str">
        <f>CONCATENATE("          ", "6286", " - ", "LAUNDRY EXPENSE")</f>
        <v xml:space="preserve">          6286 - LAUNDRY EXPENSE</v>
      </c>
      <c r="C69" s="11"/>
      <c r="D69" s="7"/>
      <c r="E69" s="2"/>
      <c r="F69" s="6">
        <f t="shared" si="44"/>
        <v>0</v>
      </c>
      <c r="G69" s="2"/>
      <c r="H69" s="7">
        <v>50</v>
      </c>
      <c r="I69" s="2"/>
      <c r="J69" s="6">
        <f t="shared" si="45"/>
        <v>1.6389143831126263E-3</v>
      </c>
      <c r="K69" s="2"/>
      <c r="L69" s="7">
        <f t="shared" si="46"/>
        <v>-50</v>
      </c>
      <c r="M69" s="2"/>
      <c r="N69" s="6">
        <f t="shared" si="47"/>
        <v>-1</v>
      </c>
      <c r="O69" s="11"/>
      <c r="P69" s="7">
        <v>739.44</v>
      </c>
      <c r="Q69" s="2"/>
      <c r="R69" s="6">
        <f t="shared" si="48"/>
        <v>2.6977225324662322E-3</v>
      </c>
      <c r="S69" s="2"/>
      <c r="T69" s="7">
        <v>250</v>
      </c>
      <c r="U69" s="2"/>
      <c r="V69" s="6">
        <f t="shared" si="49"/>
        <v>1.4904906695284088E-3</v>
      </c>
      <c r="W69" s="2"/>
      <c r="X69" s="7">
        <f t="shared" si="50"/>
        <v>489.44000000000005</v>
      </c>
      <c r="Y69" s="2"/>
      <c r="Z69" s="6">
        <f t="shared" si="51"/>
        <v>1.9577600000000002</v>
      </c>
    </row>
    <row r="70" spans="1:26" s="28" customFormat="1" outlineLevel="1" collapsed="1" x14ac:dyDescent="0.3">
      <c r="A70" s="29"/>
      <c r="B70" s="14" t="str">
        <f>CONCATENATE("     ","Subscriptions &amp; Dues                              ")</f>
        <v xml:space="preserve">     Subscriptions &amp; Dues                              </v>
      </c>
      <c r="C70" s="14"/>
      <c r="D70" s="1">
        <f>SUM(OSRRefD22_11x_0)</f>
        <v>17.95</v>
      </c>
      <c r="E70" s="1"/>
      <c r="F70" s="5">
        <f t="shared" ref="F70:F80" si="52">IF(D$12=0,0,D70/D$12)</f>
        <v>2.4800216639218331E-3</v>
      </c>
      <c r="G70" s="1"/>
      <c r="H70" s="1">
        <f>SUM(OSRRefH22_11x_0)</f>
        <v>30</v>
      </c>
      <c r="I70" s="1"/>
      <c r="J70" s="5">
        <f t="shared" ref="J70:J80" si="53">IF(H$12=0,0,H70/H$12)</f>
        <v>9.8334862986757562E-4</v>
      </c>
      <c r="K70" s="1"/>
      <c r="L70" s="1">
        <f t="shared" ref="L70:L80" si="54">+D70-H70</f>
        <v>-12.05</v>
      </c>
      <c r="M70" s="1"/>
      <c r="N70" s="5">
        <f t="shared" ref="N70:N80" si="55">IF(H70=0,0,L70/H70)</f>
        <v>-0.40166666666666667</v>
      </c>
      <c r="O70" s="14"/>
      <c r="P70" s="1">
        <f>SUM(OSRRefP22_11x_0)</f>
        <v>253.84</v>
      </c>
      <c r="Q70" s="1"/>
      <c r="R70" s="5">
        <f t="shared" ref="R70:R80" si="56">IF(P$12=0,0,P70/P$12)</f>
        <v>9.2609256686306983E-4</v>
      </c>
      <c r="S70" s="1"/>
      <c r="T70" s="1">
        <f>SUM(OSRRefT22_11x_0)</f>
        <v>180</v>
      </c>
      <c r="U70" s="1"/>
      <c r="V70" s="5">
        <f t="shared" ref="V70:V80" si="57">IF(T$12=0,0,T70/T$12)</f>
        <v>1.0731532820604543E-3</v>
      </c>
      <c r="W70" s="1"/>
      <c r="X70" s="1">
        <f t="shared" ref="X70:X80" si="58">+P70-T70</f>
        <v>73.84</v>
      </c>
      <c r="Y70" s="1"/>
      <c r="Z70" s="5">
        <f t="shared" ref="Z70:Z80" si="59">IF(T70=0,0,X70/T70)</f>
        <v>0.41022222222222227</v>
      </c>
    </row>
    <row r="71" spans="1:26" s="24" customFormat="1" hidden="1" outlineLevel="2" x14ac:dyDescent="0.3">
      <c r="A71" s="27"/>
      <c r="B71" s="11" t="str">
        <f>CONCATENATE("          ", "6275", " - ", "SUBSCRIPTIONS")</f>
        <v xml:space="preserve">          6275 - SUBSCRIPTIONS</v>
      </c>
      <c r="C71" s="11"/>
      <c r="D71" s="7">
        <v>17.95</v>
      </c>
      <c r="E71" s="2"/>
      <c r="F71" s="6">
        <f t="shared" si="52"/>
        <v>2.4800216639218331E-3</v>
      </c>
      <c r="G71" s="2"/>
      <c r="H71" s="7">
        <v>30</v>
      </c>
      <c r="I71" s="2"/>
      <c r="J71" s="6">
        <f t="shared" si="53"/>
        <v>9.8334862986757562E-4</v>
      </c>
      <c r="K71" s="2"/>
      <c r="L71" s="7">
        <f t="shared" si="54"/>
        <v>-12.05</v>
      </c>
      <c r="M71" s="2"/>
      <c r="N71" s="6">
        <f t="shared" si="55"/>
        <v>-0.40166666666666667</v>
      </c>
      <c r="O71" s="11"/>
      <c r="P71" s="7">
        <v>253.84</v>
      </c>
      <c r="Q71" s="2"/>
      <c r="R71" s="6">
        <f t="shared" si="56"/>
        <v>9.2609256686306983E-4</v>
      </c>
      <c r="S71" s="2"/>
      <c r="T71" s="7">
        <v>180</v>
      </c>
      <c r="U71" s="2"/>
      <c r="V71" s="6">
        <f t="shared" si="57"/>
        <v>1.0731532820604543E-3</v>
      </c>
      <c r="W71" s="2"/>
      <c r="X71" s="7">
        <f t="shared" si="58"/>
        <v>73.84</v>
      </c>
      <c r="Y71" s="2"/>
      <c r="Z71" s="6">
        <f t="shared" si="59"/>
        <v>0.41022222222222227</v>
      </c>
    </row>
    <row r="72" spans="1:26" s="28" customFormat="1" outlineLevel="1" collapsed="1" x14ac:dyDescent="0.3">
      <c r="A72" s="29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SUM(OSRRefD22_12x_0)</f>
        <v>1183.74</v>
      </c>
      <c r="E72" s="1"/>
      <c r="F72" s="5">
        <f t="shared" si="52"/>
        <v>0.16354879356272037</v>
      </c>
      <c r="G72" s="1"/>
      <c r="H72" s="1">
        <f>SUM(OSRRefH22_12x_0)</f>
        <v>1525</v>
      </c>
      <c r="I72" s="1"/>
      <c r="J72" s="5">
        <f t="shared" si="53"/>
        <v>4.9986888684935102E-2</v>
      </c>
      <c r="K72" s="1"/>
      <c r="L72" s="1">
        <f t="shared" si="54"/>
        <v>-341.26</v>
      </c>
      <c r="M72" s="1"/>
      <c r="N72" s="5">
        <f t="shared" si="55"/>
        <v>-0.22377704918032787</v>
      </c>
      <c r="O72" s="14"/>
      <c r="P72" s="1">
        <f>SUM(OSRRefP22_12x_0)</f>
        <v>6548.61</v>
      </c>
      <c r="Q72" s="1"/>
      <c r="R72" s="5">
        <f t="shared" si="56"/>
        <v>2.3891502695734191E-2</v>
      </c>
      <c r="S72" s="1"/>
      <c r="T72" s="1">
        <f>SUM(OSRRefT22_12x_0)</f>
        <v>5850</v>
      </c>
      <c r="U72" s="1"/>
      <c r="V72" s="5">
        <f t="shared" si="57"/>
        <v>3.4877481666964763E-2</v>
      </c>
      <c r="W72" s="1"/>
      <c r="X72" s="1">
        <f t="shared" si="58"/>
        <v>698.60999999999967</v>
      </c>
      <c r="Y72" s="1"/>
      <c r="Z72" s="5">
        <f t="shared" si="59"/>
        <v>0.11942051282051276</v>
      </c>
    </row>
    <row r="73" spans="1:26" s="24" customFormat="1" hidden="1" outlineLevel="2" x14ac:dyDescent="0.3">
      <c r="A73" s="27"/>
      <c r="B73" s="11" t="str">
        <f>CONCATENATE("          ", "6235", " - ", "COVID-19 EXPENSES")</f>
        <v xml:space="preserve">          6235 - COVID-19 EXPENSES</v>
      </c>
      <c r="C73" s="11"/>
      <c r="D73" s="7"/>
      <c r="E73" s="2"/>
      <c r="F73" s="6">
        <f t="shared" si="52"/>
        <v>0</v>
      </c>
      <c r="G73" s="2"/>
      <c r="H73" s="7">
        <v>75</v>
      </c>
      <c r="I73" s="2"/>
      <c r="J73" s="6">
        <f t="shared" si="53"/>
        <v>2.4583715746689392E-3</v>
      </c>
      <c r="K73" s="2"/>
      <c r="L73" s="7">
        <f t="shared" si="54"/>
        <v>-75</v>
      </c>
      <c r="M73" s="2"/>
      <c r="N73" s="6">
        <f t="shared" si="55"/>
        <v>-1</v>
      </c>
      <c r="O73" s="11"/>
      <c r="P73" s="7">
        <v>193.5</v>
      </c>
      <c r="Q73" s="2"/>
      <c r="R73" s="6">
        <f t="shared" si="56"/>
        <v>7.0595222064294048E-4</v>
      </c>
      <c r="S73" s="2"/>
      <c r="T73" s="7">
        <v>700</v>
      </c>
      <c r="U73" s="2"/>
      <c r="V73" s="6">
        <f t="shared" si="57"/>
        <v>4.1733738746795443E-3</v>
      </c>
      <c r="W73" s="2"/>
      <c r="X73" s="7">
        <f t="shared" si="58"/>
        <v>-506.5</v>
      </c>
      <c r="Y73" s="2"/>
      <c r="Z73" s="6">
        <f t="shared" si="59"/>
        <v>-0.72357142857142853</v>
      </c>
    </row>
    <row r="74" spans="1:26" s="24" customFormat="1" hidden="1" outlineLevel="2" x14ac:dyDescent="0.3">
      <c r="A74" s="27"/>
      <c r="B74" s="11" t="str">
        <f>CONCATENATE("          ", "6237", " - ", "JANITORIAL SUPPLIES")</f>
        <v xml:space="preserve">          6237 - JANITORIAL SUPPLIES</v>
      </c>
      <c r="C74" s="11"/>
      <c r="D74" s="7"/>
      <c r="E74" s="2"/>
      <c r="F74" s="6">
        <f t="shared" si="52"/>
        <v>0</v>
      </c>
      <c r="G74" s="2"/>
      <c r="H74" s="7">
        <v>150</v>
      </c>
      <c r="I74" s="2"/>
      <c r="J74" s="6">
        <f t="shared" si="53"/>
        <v>4.9167431493378783E-3</v>
      </c>
      <c r="K74" s="2"/>
      <c r="L74" s="7">
        <f t="shared" si="54"/>
        <v>-150</v>
      </c>
      <c r="M74" s="2"/>
      <c r="N74" s="6">
        <f t="shared" si="55"/>
        <v>-1</v>
      </c>
      <c r="O74" s="11"/>
      <c r="P74" s="7">
        <v>48.12</v>
      </c>
      <c r="Q74" s="2"/>
      <c r="R74" s="6">
        <f t="shared" si="56"/>
        <v>1.7555773052888005E-4</v>
      </c>
      <c r="S74" s="2"/>
      <c r="T74" s="7">
        <v>850</v>
      </c>
      <c r="U74" s="2"/>
      <c r="V74" s="6">
        <f t="shared" si="57"/>
        <v>5.0676682763965896E-3</v>
      </c>
      <c r="W74" s="2"/>
      <c r="X74" s="7">
        <f t="shared" si="58"/>
        <v>-801.88</v>
      </c>
      <c r="Y74" s="2"/>
      <c r="Z74" s="6">
        <f t="shared" si="59"/>
        <v>-0.94338823529411764</v>
      </c>
    </row>
    <row r="75" spans="1:26" s="24" customFormat="1" hidden="1" outlineLevel="2" x14ac:dyDescent="0.3">
      <c r="A75" s="27"/>
      <c r="B75" s="11" t="str">
        <f>CONCATENATE("          ", "6239", " - ", "KITCHEN SUPPLIES")</f>
        <v xml:space="preserve">          6239 - KITCHEN SUPPLIES</v>
      </c>
      <c r="C75" s="11"/>
      <c r="D75" s="7">
        <v>616.36</v>
      </c>
      <c r="E75" s="2"/>
      <c r="F75" s="6">
        <f t="shared" si="52"/>
        <v>8.5158002940103672E-2</v>
      </c>
      <c r="G75" s="2"/>
      <c r="H75" s="7">
        <v>100</v>
      </c>
      <c r="I75" s="2"/>
      <c r="J75" s="6">
        <f t="shared" si="53"/>
        <v>3.2778287662252525E-3</v>
      </c>
      <c r="K75" s="2"/>
      <c r="L75" s="7">
        <f t="shared" si="54"/>
        <v>516.36</v>
      </c>
      <c r="M75" s="2"/>
      <c r="N75" s="6">
        <f t="shared" si="55"/>
        <v>5.1635999999999997</v>
      </c>
      <c r="O75" s="11"/>
      <c r="P75" s="7">
        <v>1945.64</v>
      </c>
      <c r="Q75" s="2"/>
      <c r="R75" s="6">
        <f t="shared" si="56"/>
        <v>7.0983404577350424E-3</v>
      </c>
      <c r="S75" s="2"/>
      <c r="T75" s="7">
        <v>200</v>
      </c>
      <c r="U75" s="2"/>
      <c r="V75" s="6">
        <f t="shared" si="57"/>
        <v>1.192392535622727E-3</v>
      </c>
      <c r="W75" s="2"/>
      <c r="X75" s="7">
        <f t="shared" si="58"/>
        <v>1745.64</v>
      </c>
      <c r="Y75" s="2"/>
      <c r="Z75" s="6">
        <f t="shared" si="59"/>
        <v>8.7282000000000011</v>
      </c>
    </row>
    <row r="76" spans="1:26" s="24" customFormat="1" hidden="1" outlineLevel="2" x14ac:dyDescent="0.3">
      <c r="A76" s="27"/>
      <c r="B76" s="11" t="str">
        <f>CONCATENATE("          ", "6241", " - ", "OFFICE EXPENSE")</f>
        <v xml:space="preserve">          6241 - OFFICE EXPENSE</v>
      </c>
      <c r="C76" s="11"/>
      <c r="D76" s="7">
        <v>23.08</v>
      </c>
      <c r="E76" s="2"/>
      <c r="F76" s="6">
        <f t="shared" si="52"/>
        <v>3.1887966575663454E-3</v>
      </c>
      <c r="G76" s="2"/>
      <c r="H76" s="7">
        <v>50</v>
      </c>
      <c r="I76" s="2"/>
      <c r="J76" s="6">
        <f t="shared" si="53"/>
        <v>1.6389143831126263E-3</v>
      </c>
      <c r="K76" s="2"/>
      <c r="L76" s="7">
        <f t="shared" si="54"/>
        <v>-26.92</v>
      </c>
      <c r="M76" s="2"/>
      <c r="N76" s="6">
        <f t="shared" si="55"/>
        <v>-0.53839999999999999</v>
      </c>
      <c r="O76" s="11"/>
      <c r="P76" s="7">
        <v>1818.91</v>
      </c>
      <c r="Q76" s="2"/>
      <c r="R76" s="6">
        <f t="shared" si="56"/>
        <v>6.6359873573625366E-3</v>
      </c>
      <c r="S76" s="2"/>
      <c r="T76" s="7">
        <v>150</v>
      </c>
      <c r="U76" s="2"/>
      <c r="V76" s="6">
        <f t="shared" si="57"/>
        <v>8.9429440171704528E-4</v>
      </c>
      <c r="W76" s="2"/>
      <c r="X76" s="7">
        <f t="shared" si="58"/>
        <v>1668.91</v>
      </c>
      <c r="Y76" s="2"/>
      <c r="Z76" s="6">
        <f t="shared" si="59"/>
        <v>11.126066666666667</v>
      </c>
    </row>
    <row r="77" spans="1:26" s="24" customFormat="1" hidden="1" outlineLevel="2" x14ac:dyDescent="0.3">
      <c r="A77" s="27"/>
      <c r="B77" s="11" t="str">
        <f>CONCATENATE("          ", "6243", " - ", "PAPER SUPPLIES")</f>
        <v xml:space="preserve">          6243 - PAPER SUPPLIES</v>
      </c>
      <c r="C77" s="11"/>
      <c r="D77" s="7"/>
      <c r="E77" s="2"/>
      <c r="F77" s="6">
        <f t="shared" si="52"/>
        <v>0</v>
      </c>
      <c r="G77" s="2"/>
      <c r="H77" s="7">
        <v>500</v>
      </c>
      <c r="I77" s="2"/>
      <c r="J77" s="6">
        <f t="shared" si="53"/>
        <v>1.6389143831126263E-2</v>
      </c>
      <c r="K77" s="2"/>
      <c r="L77" s="7">
        <f t="shared" si="54"/>
        <v>-500</v>
      </c>
      <c r="M77" s="2"/>
      <c r="N77" s="6">
        <f t="shared" si="55"/>
        <v>-1</v>
      </c>
      <c r="O77" s="11"/>
      <c r="P77" s="7">
        <v>511.58</v>
      </c>
      <c r="Q77" s="2"/>
      <c r="R77" s="6">
        <f t="shared" si="56"/>
        <v>1.8664136280956871E-3</v>
      </c>
      <c r="S77" s="2"/>
      <c r="T77" s="7">
        <v>1900</v>
      </c>
      <c r="U77" s="2"/>
      <c r="V77" s="6">
        <f t="shared" si="57"/>
        <v>1.1327729088415906E-2</v>
      </c>
      <c r="W77" s="2"/>
      <c r="X77" s="7">
        <f t="shared" si="58"/>
        <v>-1388.42</v>
      </c>
      <c r="Y77" s="2"/>
      <c r="Z77" s="6">
        <f t="shared" si="59"/>
        <v>-0.7307473684210527</v>
      </c>
    </row>
    <row r="78" spans="1:26" s="24" customFormat="1" hidden="1" outlineLevel="2" x14ac:dyDescent="0.3">
      <c r="A78" s="27"/>
      <c r="B78" s="11" t="str">
        <f>CONCATENATE("          ", "6245", " - ", "PRINTING")</f>
        <v xml:space="preserve">          6245 - PRINTING</v>
      </c>
      <c r="C78" s="11"/>
      <c r="D78" s="7"/>
      <c r="E78" s="2"/>
      <c r="F78" s="6">
        <f t="shared" si="52"/>
        <v>0</v>
      </c>
      <c r="G78" s="2"/>
      <c r="H78" s="7">
        <v>150</v>
      </c>
      <c r="I78" s="2"/>
      <c r="J78" s="6">
        <f t="shared" si="53"/>
        <v>4.9167431493378783E-3</v>
      </c>
      <c r="K78" s="2"/>
      <c r="L78" s="7">
        <f t="shared" si="54"/>
        <v>-150</v>
      </c>
      <c r="M78" s="2"/>
      <c r="N78" s="6">
        <f t="shared" si="55"/>
        <v>-1</v>
      </c>
      <c r="O78" s="11"/>
      <c r="P78" s="7">
        <v>733</v>
      </c>
      <c r="Q78" s="2"/>
      <c r="R78" s="6">
        <f t="shared" si="56"/>
        <v>2.6742272750970302E-3</v>
      </c>
      <c r="S78" s="2"/>
      <c r="T78" s="7">
        <v>750</v>
      </c>
      <c r="U78" s="2"/>
      <c r="V78" s="6">
        <f t="shared" si="57"/>
        <v>4.4714720085852261E-3</v>
      </c>
      <c r="W78" s="2"/>
      <c r="X78" s="7">
        <f t="shared" si="58"/>
        <v>-17</v>
      </c>
      <c r="Y78" s="2"/>
      <c r="Z78" s="6">
        <f t="shared" si="59"/>
        <v>-2.2666666666666668E-2</v>
      </c>
    </row>
    <row r="79" spans="1:26" s="24" customFormat="1" hidden="1" outlineLevel="2" x14ac:dyDescent="0.3">
      <c r="A79" s="27"/>
      <c r="B79" s="11" t="str">
        <f>CONCATENATE("          ", "6247", " - ", "STORE SUPPLIES")</f>
        <v xml:space="preserve">          6247 - STORE SUPPLIES</v>
      </c>
      <c r="C79" s="11"/>
      <c r="D79" s="7">
        <v>195</v>
      </c>
      <c r="E79" s="2"/>
      <c r="F79" s="6">
        <f t="shared" si="52"/>
        <v>2.694173952449902E-2</v>
      </c>
      <c r="G79" s="2"/>
      <c r="H79" s="7"/>
      <c r="I79" s="2"/>
      <c r="J79" s="6">
        <f t="shared" si="53"/>
        <v>0</v>
      </c>
      <c r="K79" s="2"/>
      <c r="L79" s="7">
        <f t="shared" si="54"/>
        <v>195</v>
      </c>
      <c r="M79" s="2"/>
      <c r="N79" s="6">
        <f t="shared" si="55"/>
        <v>0</v>
      </c>
      <c r="O79" s="11"/>
      <c r="P79" s="7">
        <v>695.61</v>
      </c>
      <c r="Q79" s="2"/>
      <c r="R79" s="6">
        <f t="shared" si="56"/>
        <v>2.5378161457438541E-3</v>
      </c>
      <c r="S79" s="2"/>
      <c r="T79" s="7"/>
      <c r="U79" s="2"/>
      <c r="V79" s="6">
        <f t="shared" si="57"/>
        <v>0</v>
      </c>
      <c r="W79" s="2"/>
      <c r="X79" s="7">
        <f t="shared" si="58"/>
        <v>695.61</v>
      </c>
      <c r="Y79" s="2"/>
      <c r="Z79" s="6">
        <f t="shared" si="59"/>
        <v>0</v>
      </c>
    </row>
    <row r="80" spans="1:26" s="24" customFormat="1" hidden="1" outlineLevel="2" x14ac:dyDescent="0.3">
      <c r="A80" s="27"/>
      <c r="B80" s="11" t="str">
        <f>CONCATENATE("          ", "6248", " - ", "UNIFORMS")</f>
        <v xml:space="preserve">          6248 - UNIFORMS</v>
      </c>
      <c r="C80" s="11"/>
      <c r="D80" s="7">
        <v>349.3</v>
      </c>
      <c r="E80" s="2"/>
      <c r="F80" s="6">
        <f t="shared" si="52"/>
        <v>4.8260254440551327E-2</v>
      </c>
      <c r="G80" s="2"/>
      <c r="H80" s="7">
        <v>500</v>
      </c>
      <c r="I80" s="2"/>
      <c r="J80" s="6">
        <f t="shared" si="53"/>
        <v>1.6389143831126263E-2</v>
      </c>
      <c r="K80" s="2"/>
      <c r="L80" s="7">
        <f t="shared" si="54"/>
        <v>-150.69999999999999</v>
      </c>
      <c r="M80" s="2"/>
      <c r="N80" s="6">
        <f t="shared" si="55"/>
        <v>-0.3014</v>
      </c>
      <c r="O80" s="11"/>
      <c r="P80" s="7">
        <v>602.25</v>
      </c>
      <c r="Q80" s="2"/>
      <c r="R80" s="6">
        <f t="shared" si="56"/>
        <v>2.1972078805282216E-3</v>
      </c>
      <c r="S80" s="2"/>
      <c r="T80" s="7">
        <v>1300</v>
      </c>
      <c r="U80" s="2"/>
      <c r="V80" s="6">
        <f t="shared" si="57"/>
        <v>7.7505514815477258E-3</v>
      </c>
      <c r="W80" s="2"/>
      <c r="X80" s="7">
        <f t="shared" si="58"/>
        <v>-697.75</v>
      </c>
      <c r="Y80" s="2"/>
      <c r="Z80" s="6">
        <f t="shared" si="59"/>
        <v>-0.53673076923076923</v>
      </c>
    </row>
    <row r="81" spans="1:26" s="28" customFormat="1" outlineLevel="1" collapsed="1" x14ac:dyDescent="0.3">
      <c r="A81" s="29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SUM(OSRRefD22_13x_0)</f>
        <v>75</v>
      </c>
      <c r="E81" s="1"/>
      <c r="F81" s="5">
        <f t="shared" ref="F81:F86" si="60">IF(D$12=0,0,D81/D$12)</f>
        <v>1.03622075094227E-2</v>
      </c>
      <c r="G81" s="1"/>
      <c r="H81" s="1">
        <f>SUM(OSRRefH22_13x_0)</f>
        <v>150</v>
      </c>
      <c r="I81" s="1"/>
      <c r="J81" s="5">
        <f t="shared" ref="J81:J86" si="61">IF(H$12=0,0,H81/H$12)</f>
        <v>4.9167431493378783E-3</v>
      </c>
      <c r="K81" s="1"/>
      <c r="L81" s="1">
        <f t="shared" ref="L81:L86" si="62">+D81-H81</f>
        <v>-75</v>
      </c>
      <c r="M81" s="1"/>
      <c r="N81" s="5">
        <f t="shared" ref="N81:N86" si="63">IF(H81=0,0,L81/H81)</f>
        <v>-0.5</v>
      </c>
      <c r="O81" s="14"/>
      <c r="P81" s="1">
        <f>SUM(OSRRefP22_13x_0)</f>
        <v>675</v>
      </c>
      <c r="Q81" s="1"/>
      <c r="R81" s="5">
        <f t="shared" ref="R81:R86" si="64">IF(P$12=0,0,P81/P$12)</f>
        <v>2.4626240254986293E-3</v>
      </c>
      <c r="S81" s="1"/>
      <c r="T81" s="1">
        <f>SUM(OSRRefT22_13x_0)</f>
        <v>1050</v>
      </c>
      <c r="U81" s="1"/>
      <c r="V81" s="5">
        <f t="shared" ref="V81:V86" si="65">IF(T$12=0,0,T81/T$12)</f>
        <v>6.2600608120193168E-3</v>
      </c>
      <c r="W81" s="1"/>
      <c r="X81" s="1">
        <f t="shared" ref="X81:X86" si="66">+P81-T81</f>
        <v>-375</v>
      </c>
      <c r="Y81" s="1"/>
      <c r="Z81" s="5">
        <f t="shared" ref="Z81:Z86" si="67">IF(T81=0,0,X81/T81)</f>
        <v>-0.35714285714285715</v>
      </c>
    </row>
    <row r="82" spans="1:26" s="24" customFormat="1" hidden="1" outlineLevel="2" x14ac:dyDescent="0.3">
      <c r="A82" s="27"/>
      <c r="B82" s="11" t="str">
        <f>CONCATENATE("          ", "6309", " - ", "TELEPHONE")</f>
        <v xml:space="preserve">          6309 - TELEPHONE</v>
      </c>
      <c r="C82" s="11"/>
      <c r="D82" s="7">
        <v>75</v>
      </c>
      <c r="E82" s="2"/>
      <c r="F82" s="6">
        <f t="shared" si="60"/>
        <v>1.03622075094227E-2</v>
      </c>
      <c r="G82" s="2"/>
      <c r="H82" s="7">
        <v>150</v>
      </c>
      <c r="I82" s="2"/>
      <c r="J82" s="6">
        <f t="shared" si="61"/>
        <v>4.9167431493378783E-3</v>
      </c>
      <c r="K82" s="2"/>
      <c r="L82" s="7">
        <f t="shared" si="62"/>
        <v>-75</v>
      </c>
      <c r="M82" s="2"/>
      <c r="N82" s="6">
        <f t="shared" si="63"/>
        <v>-0.5</v>
      </c>
      <c r="O82" s="11"/>
      <c r="P82" s="7">
        <v>675</v>
      </c>
      <c r="Q82" s="2"/>
      <c r="R82" s="6">
        <f t="shared" si="64"/>
        <v>2.4626240254986293E-3</v>
      </c>
      <c r="S82" s="2"/>
      <c r="T82" s="7">
        <v>1050</v>
      </c>
      <c r="U82" s="2"/>
      <c r="V82" s="6">
        <f t="shared" si="65"/>
        <v>6.2600608120193168E-3</v>
      </c>
      <c r="W82" s="2"/>
      <c r="X82" s="7">
        <f t="shared" si="66"/>
        <v>-375</v>
      </c>
      <c r="Y82" s="2"/>
      <c r="Z82" s="6">
        <f t="shared" si="67"/>
        <v>-0.35714285714285715</v>
      </c>
    </row>
    <row r="83" spans="1:26" s="28" customFormat="1" outlineLevel="1" collapsed="1" x14ac:dyDescent="0.3">
      <c r="A83" s="29"/>
      <c r="B83" s="14" t="str">
        <f>CONCATENATE("     ","Training                                          ")</f>
        <v xml:space="preserve">     Training                                          </v>
      </c>
      <c r="C83" s="14"/>
      <c r="D83" s="1">
        <f>SUM(OSRRefD22_14x_0)</f>
        <v>0</v>
      </c>
      <c r="E83" s="1"/>
      <c r="F83" s="5">
        <f t="shared" si="60"/>
        <v>0</v>
      </c>
      <c r="G83" s="1"/>
      <c r="H83" s="1">
        <f>SUM(OSRRefH22_14x_0)</f>
        <v>200</v>
      </c>
      <c r="I83" s="1"/>
      <c r="J83" s="5">
        <f t="shared" si="61"/>
        <v>6.555657532450505E-3</v>
      </c>
      <c r="K83" s="1"/>
      <c r="L83" s="1">
        <f t="shared" si="62"/>
        <v>-200</v>
      </c>
      <c r="M83" s="1"/>
      <c r="N83" s="5">
        <f t="shared" si="63"/>
        <v>-1</v>
      </c>
      <c r="O83" s="14"/>
      <c r="P83" s="1">
        <f>SUM(OSRRefP22_14x_0)</f>
        <v>0</v>
      </c>
      <c r="Q83" s="1"/>
      <c r="R83" s="5">
        <f t="shared" si="64"/>
        <v>0</v>
      </c>
      <c r="S83" s="1"/>
      <c r="T83" s="1">
        <f>SUM(OSRRefT22_14x_0)</f>
        <v>400</v>
      </c>
      <c r="U83" s="1"/>
      <c r="V83" s="5">
        <f t="shared" si="65"/>
        <v>2.3847850712454539E-3</v>
      </c>
      <c r="W83" s="1"/>
      <c r="X83" s="1">
        <f t="shared" si="66"/>
        <v>-400</v>
      </c>
      <c r="Y83" s="1"/>
      <c r="Z83" s="5">
        <f t="shared" si="67"/>
        <v>-1</v>
      </c>
    </row>
    <row r="84" spans="1:26" s="24" customFormat="1" hidden="1" outlineLevel="2" x14ac:dyDescent="0.3">
      <c r="A84" s="27"/>
      <c r="B84" s="11" t="str">
        <f>CONCATENATE("          ", "6376", " - ", "TRAINING")</f>
        <v xml:space="preserve">          6376 - TRAINING</v>
      </c>
      <c r="C84" s="11"/>
      <c r="D84" s="7"/>
      <c r="E84" s="2"/>
      <c r="F84" s="6">
        <f t="shared" si="60"/>
        <v>0</v>
      </c>
      <c r="G84" s="2"/>
      <c r="H84" s="7">
        <v>200</v>
      </c>
      <c r="I84" s="2"/>
      <c r="J84" s="6">
        <f t="shared" si="61"/>
        <v>6.555657532450505E-3</v>
      </c>
      <c r="K84" s="2"/>
      <c r="L84" s="7">
        <f t="shared" si="62"/>
        <v>-200</v>
      </c>
      <c r="M84" s="2"/>
      <c r="N84" s="6">
        <f t="shared" si="63"/>
        <v>-1</v>
      </c>
      <c r="O84" s="11"/>
      <c r="P84" s="7"/>
      <c r="Q84" s="2"/>
      <c r="R84" s="6">
        <f t="shared" si="64"/>
        <v>0</v>
      </c>
      <c r="S84" s="2"/>
      <c r="T84" s="7">
        <v>400</v>
      </c>
      <c r="U84" s="2"/>
      <c r="V84" s="6">
        <f t="shared" si="65"/>
        <v>2.3847850712454539E-3</v>
      </c>
      <c r="W84" s="2"/>
      <c r="X84" s="7">
        <f t="shared" si="66"/>
        <v>-400</v>
      </c>
      <c r="Y84" s="2"/>
      <c r="Z84" s="6">
        <f t="shared" si="67"/>
        <v>-1</v>
      </c>
    </row>
    <row r="85" spans="1:26" s="28" customFormat="1" outlineLevel="1" collapsed="1" x14ac:dyDescent="0.3">
      <c r="A85" s="29"/>
      <c r="B85" s="14" t="str">
        <f>CONCATENATE("     ","Utilities                                         ")</f>
        <v xml:space="preserve">     Utilities                                         </v>
      </c>
      <c r="C85" s="14"/>
      <c r="D85" s="1">
        <f>SUM(OSRRefD22_15x_0)</f>
        <v>200</v>
      </c>
      <c r="E85" s="1"/>
      <c r="F85" s="5">
        <f t="shared" si="60"/>
        <v>2.7632553358460536E-2</v>
      </c>
      <c r="G85" s="1"/>
      <c r="H85" s="1">
        <f>SUM(OSRRefH22_15x_0)</f>
        <v>200</v>
      </c>
      <c r="I85" s="1"/>
      <c r="J85" s="5">
        <f t="shared" si="61"/>
        <v>6.555657532450505E-3</v>
      </c>
      <c r="K85" s="1"/>
      <c r="L85" s="1">
        <f t="shared" si="62"/>
        <v>0</v>
      </c>
      <c r="M85" s="1"/>
      <c r="N85" s="5">
        <f t="shared" si="63"/>
        <v>0</v>
      </c>
      <c r="O85" s="14"/>
      <c r="P85" s="1">
        <f>SUM(OSRRefP22_15x_0)</f>
        <v>1400</v>
      </c>
      <c r="Q85" s="1"/>
      <c r="R85" s="5">
        <f t="shared" si="64"/>
        <v>5.1076646454786389E-3</v>
      </c>
      <c r="S85" s="1"/>
      <c r="T85" s="1">
        <f>SUM(OSRRefT22_15x_0)</f>
        <v>1400</v>
      </c>
      <c r="U85" s="1"/>
      <c r="V85" s="5">
        <f t="shared" si="65"/>
        <v>8.3467477493590885E-3</v>
      </c>
      <c r="W85" s="1"/>
      <c r="X85" s="1">
        <f t="shared" si="66"/>
        <v>0</v>
      </c>
      <c r="Y85" s="1"/>
      <c r="Z85" s="5">
        <f t="shared" si="67"/>
        <v>0</v>
      </c>
    </row>
    <row r="86" spans="1:26" s="24" customFormat="1" hidden="1" outlineLevel="2" x14ac:dyDescent="0.3">
      <c r="A86" s="27"/>
      <c r="B86" s="11" t="str">
        <f>CONCATENATE("          ", "6274", " - ", "UTILITIES")</f>
        <v xml:space="preserve">          6274 - UTILITIES</v>
      </c>
      <c r="C86" s="11"/>
      <c r="D86" s="7">
        <v>200</v>
      </c>
      <c r="E86" s="2"/>
      <c r="F86" s="6">
        <f t="shared" si="60"/>
        <v>2.7632553358460536E-2</v>
      </c>
      <c r="G86" s="2"/>
      <c r="H86" s="7">
        <v>200</v>
      </c>
      <c r="I86" s="2"/>
      <c r="J86" s="6">
        <f t="shared" si="61"/>
        <v>6.555657532450505E-3</v>
      </c>
      <c r="K86" s="2"/>
      <c r="L86" s="7">
        <f t="shared" si="62"/>
        <v>0</v>
      </c>
      <c r="M86" s="2"/>
      <c r="N86" s="6">
        <f t="shared" si="63"/>
        <v>0</v>
      </c>
      <c r="O86" s="11"/>
      <c r="P86" s="7">
        <v>1400</v>
      </c>
      <c r="Q86" s="2"/>
      <c r="R86" s="6">
        <f t="shared" si="64"/>
        <v>5.1076646454786389E-3</v>
      </c>
      <c r="S86" s="2"/>
      <c r="T86" s="7">
        <v>1400</v>
      </c>
      <c r="U86" s="2"/>
      <c r="V86" s="6">
        <f t="shared" si="65"/>
        <v>8.3467477493590885E-3</v>
      </c>
      <c r="W86" s="2"/>
      <c r="X86" s="7">
        <f t="shared" si="66"/>
        <v>0</v>
      </c>
      <c r="Y86" s="2"/>
      <c r="Z86" s="6">
        <f t="shared" si="67"/>
        <v>0</v>
      </c>
    </row>
    <row r="87" spans="1:26" s="55" customFormat="1" x14ac:dyDescent="0.3">
      <c r="A87" s="36"/>
      <c r="B87" s="36"/>
      <c r="C87" s="36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collapsed="1" x14ac:dyDescent="0.3">
      <c r="A88" s="10"/>
      <c r="B88" s="25" t="s">
        <v>293</v>
      </c>
      <c r="C88" s="10"/>
      <c r="D88" s="4">
        <f>SUM(OSRRefD25x_0)</f>
        <v>0</v>
      </c>
      <c r="E88" s="4"/>
      <c r="F88" s="12">
        <f t="shared" ref="F88:F89" si="68">IF(D$12=0,0,D88/D$12)</f>
        <v>0</v>
      </c>
      <c r="G88" s="4"/>
      <c r="H88" s="4">
        <f>SUM(OSRRefH25x_0)</f>
        <v>0</v>
      </c>
      <c r="I88" s="4"/>
      <c r="J88" s="12">
        <f t="shared" ref="J88:J89" si="69">IF(H$12=0,0,H88/H$12)</f>
        <v>0</v>
      </c>
      <c r="K88" s="4"/>
      <c r="L88" s="4">
        <f t="shared" ref="L88:L89" si="70">+D88-H88</f>
        <v>0</v>
      </c>
      <c r="M88" s="4"/>
      <c r="N88" s="12">
        <f t="shared" ref="N88:N89" si="71">IF(H88=0,0,L88/H88)</f>
        <v>0</v>
      </c>
      <c r="O88" s="10"/>
      <c r="P88" s="4">
        <f>SUM(OSRRefP25x_0)</f>
        <v>192</v>
      </c>
      <c r="Q88" s="4"/>
      <c r="R88" s="12">
        <f t="shared" ref="R88:R89" si="72">IF(P$12=0,0,P88/P$12)</f>
        <v>7.0047972280849898E-4</v>
      </c>
      <c r="S88" s="4"/>
      <c r="T88" s="4">
        <f>SUM(OSRRefT25x_0)</f>
        <v>0</v>
      </c>
      <c r="U88" s="4"/>
      <c r="V88" s="12">
        <f t="shared" ref="V88:V89" si="73">IF(T$12=0,0,T88/T$12)</f>
        <v>0</v>
      </c>
      <c r="W88" s="4"/>
      <c r="X88" s="4">
        <f t="shared" ref="X88:X89" si="74">+P88-T88</f>
        <v>192</v>
      </c>
      <c r="Y88" s="4"/>
      <c r="Z88" s="12">
        <f t="shared" ref="Z88:Z89" si="75">IF(T88=0,0,X88/T88)</f>
        <v>0</v>
      </c>
    </row>
    <row r="89" spans="1:26" s="24" customFormat="1" hidden="1" outlineLevel="1" x14ac:dyDescent="0.3">
      <c r="A89" s="44"/>
      <c r="B89" s="11" t="str">
        <f>CONCATENATE("          ", "9150", " - ", "MISC. INCOME")</f>
        <v xml:space="preserve">          9150 - MISC. INCOME</v>
      </c>
      <c r="C89" s="11"/>
      <c r="D89" s="2">
        <f>0</f>
        <v>0</v>
      </c>
      <c r="E89" s="2"/>
      <c r="F89" s="19">
        <f t="shared" si="68"/>
        <v>0</v>
      </c>
      <c r="G89" s="2"/>
      <c r="H89" s="2"/>
      <c r="I89" s="2"/>
      <c r="J89" s="19">
        <f t="shared" si="69"/>
        <v>0</v>
      </c>
      <c r="K89" s="2"/>
      <c r="L89" s="2">
        <f t="shared" si="70"/>
        <v>0</v>
      </c>
      <c r="M89" s="2"/>
      <c r="N89" s="19">
        <f t="shared" si="71"/>
        <v>0</v>
      </c>
      <c r="O89" s="11"/>
      <c r="P89" s="2">
        <f>--192</f>
        <v>192</v>
      </c>
      <c r="Q89" s="2"/>
      <c r="R89" s="19">
        <f t="shared" si="72"/>
        <v>7.0047972280849898E-4</v>
      </c>
      <c r="S89" s="2"/>
      <c r="T89" s="2"/>
      <c r="U89" s="2"/>
      <c r="V89" s="19">
        <f t="shared" si="73"/>
        <v>0</v>
      </c>
      <c r="W89" s="2"/>
      <c r="X89" s="2">
        <f t="shared" si="74"/>
        <v>192</v>
      </c>
      <c r="Y89" s="2"/>
      <c r="Z89" s="19">
        <f t="shared" si="75"/>
        <v>0</v>
      </c>
    </row>
    <row r="90" spans="1:26" x14ac:dyDescent="0.3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3">
      <c r="A91" s="10"/>
      <c r="B91" s="26" t="s">
        <v>277</v>
      </c>
      <c r="C91" s="26"/>
      <c r="D91" s="21">
        <f>+D23-D25+D88</f>
        <v>-25233.22</v>
      </c>
      <c r="E91" s="13"/>
      <c r="F91" s="22">
        <f>IF(D$12=0,0,D91/D$12)</f>
        <v>-3.4862914902788678</v>
      </c>
      <c r="G91" s="13"/>
      <c r="H91" s="21">
        <f>+H23-H25+H88</f>
        <v>-17680.223972307693</v>
      </c>
      <c r="I91" s="13"/>
      <c r="J91" s="22">
        <f>IF(H$12=0,0,H91/H$12)</f>
        <v>-0.5795274672973546</v>
      </c>
      <c r="K91" s="15"/>
      <c r="L91" s="21">
        <f>+D91-H91</f>
        <v>-7552.9960276923084</v>
      </c>
      <c r="M91" s="15"/>
      <c r="N91" s="22">
        <f>IF(H91=0,0,L91/H91)</f>
        <v>0.42720024585222838</v>
      </c>
      <c r="O91" s="25"/>
      <c r="P91" s="21">
        <f>+P23-P25+P88</f>
        <v>-65688.239999999991</v>
      </c>
      <c r="Q91" s="13"/>
      <c r="R91" s="22">
        <f>IF(P$12=0,0,P91/P$12)</f>
        <v>-0.2396525007655112</v>
      </c>
      <c r="S91" s="13"/>
      <c r="T91" s="21">
        <f>+T23-T25+T88</f>
        <v>-116803.01184230772</v>
      </c>
      <c r="U91" s="13"/>
      <c r="V91" s="22">
        <f>IF(T$12=0,0,T91/T$12)</f>
        <v>-0.69637519729510355</v>
      </c>
      <c r="W91" s="15"/>
      <c r="X91" s="21">
        <f>+P91-T91</f>
        <v>51114.771842307731</v>
      </c>
      <c r="Y91" s="15"/>
      <c r="Z91" s="22">
        <f>IF(T91=0,0,X91/T91)</f>
        <v>-0.43761518676689831</v>
      </c>
    </row>
    <row r="92" spans="1:26" x14ac:dyDescent="0.3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3">
      <c r="A93" s="52"/>
      <c r="B93" s="10" t="s">
        <v>128</v>
      </c>
      <c r="C93" s="10"/>
      <c r="D93" s="4">
        <v>4159.46</v>
      </c>
      <c r="E93" s="4"/>
      <c r="F93" s="12">
        <f>IF(D$12=0,0,D93/D$12)</f>
        <v>0.57468250196191129</v>
      </c>
      <c r="G93" s="4"/>
      <c r="H93" s="4">
        <v>3250</v>
      </c>
      <c r="I93" s="4"/>
      <c r="J93" s="12">
        <f>IF(H$12=0,0,H93/H$12)</f>
        <v>0.1065294349023207</v>
      </c>
      <c r="K93" s="4"/>
      <c r="L93" s="4">
        <f>+D93-H93</f>
        <v>909.46</v>
      </c>
      <c r="M93" s="4"/>
      <c r="N93" s="12">
        <f>IF(H93=0,0,L93/H93)</f>
        <v>0.27983384615384616</v>
      </c>
      <c r="O93" s="10"/>
      <c r="P93" s="4">
        <v>36281.620000000003</v>
      </c>
      <c r="Q93" s="4"/>
      <c r="R93" s="12">
        <f>IF(P$12=0,0,P93/P$12)</f>
        <v>0.13236739125335051</v>
      </c>
      <c r="S93" s="4"/>
      <c r="T93" s="4">
        <v>21016</v>
      </c>
      <c r="U93" s="4"/>
      <c r="V93" s="12">
        <f>IF(T$12=0,0,T93/T$12)</f>
        <v>0.12529660764323616</v>
      </c>
      <c r="W93" s="4"/>
      <c r="X93" s="4">
        <f>+P93-T93</f>
        <v>15265.620000000003</v>
      </c>
      <c r="Y93" s="4"/>
      <c r="Z93" s="12">
        <f>IF(T93=0,0,X93/T93)</f>
        <v>0.7263808526836697</v>
      </c>
    </row>
    <row r="94" spans="1:26" x14ac:dyDescent="0.3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" thickBot="1" x14ac:dyDescent="0.35">
      <c r="A95" s="10"/>
      <c r="B95" s="26" t="s">
        <v>126</v>
      </c>
      <c r="C95" s="26"/>
      <c r="D95" s="32">
        <f>+D91-D93</f>
        <v>-29392.68</v>
      </c>
      <c r="E95" s="13"/>
      <c r="F95" s="31">
        <f>IF(D$12=0,0,D95/D$12)</f>
        <v>-4.060973992240779</v>
      </c>
      <c r="G95" s="13"/>
      <c r="H95" s="32">
        <f>+H91-H93</f>
        <v>-20930.223972307693</v>
      </c>
      <c r="I95" s="13"/>
      <c r="J95" s="31">
        <f>IF(H$12=0,0,H95/H$12)</f>
        <v>-0.6860569021996753</v>
      </c>
      <c r="K95" s="15"/>
      <c r="L95" s="32">
        <f>D95-H95</f>
        <v>-8462.4560276923075</v>
      </c>
      <c r="M95" s="15"/>
      <c r="N95" s="31">
        <f>IF(H95=0,0,L95/H95)</f>
        <v>0.4043175094011795</v>
      </c>
      <c r="O95" s="25"/>
      <c r="P95" s="32">
        <f>+P91-P93</f>
        <v>-101969.85999999999</v>
      </c>
      <c r="Q95" s="13"/>
      <c r="R95" s="31">
        <f>IF(P$12=0,0,P95/P$12)</f>
        <v>-0.37201989201886171</v>
      </c>
      <c r="S95" s="13"/>
      <c r="T95" s="32">
        <f>+T91-T93</f>
        <v>-137819.01184230772</v>
      </c>
      <c r="U95" s="13"/>
      <c r="V95" s="31">
        <f>IF(T$12=0,0,T95/T$12)</f>
        <v>-0.82167180493833969</v>
      </c>
      <c r="W95" s="15"/>
      <c r="X95" s="32">
        <f>P95-T95</f>
        <v>35849.151842307736</v>
      </c>
      <c r="Y95" s="15"/>
      <c r="Z95" s="31">
        <f>IF(T95=0,0,X95/T95)</f>
        <v>-0.26011760905183584</v>
      </c>
    </row>
    <row r="96" spans="1:26" ht="15" thickTop="1" x14ac:dyDescent="0.3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3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" thickBot="1" x14ac:dyDescent="0.35">
      <c r="A98" s="10"/>
      <c r="B98" s="26" t="s">
        <v>294</v>
      </c>
      <c r="C98" s="26"/>
      <c r="D98" s="34">
        <f>SUM(D95:D97)</f>
        <v>-29392.68</v>
      </c>
      <c r="E98" s="13"/>
      <c r="F98" s="35">
        <f>IF(D$12=0,0,D98/D$12)</f>
        <v>-4.060973992240779</v>
      </c>
      <c r="G98" s="13"/>
      <c r="H98" s="34">
        <f>SUM(H95:H97)</f>
        <v>-20930.223972307693</v>
      </c>
      <c r="I98" s="13"/>
      <c r="J98" s="35">
        <f>IF(H$12=0,0,H98/H$12)</f>
        <v>-0.6860569021996753</v>
      </c>
      <c r="K98" s="15"/>
      <c r="L98" s="34">
        <f>+D98-H98</f>
        <v>-8462.4560276923075</v>
      </c>
      <c r="M98" s="15"/>
      <c r="N98" s="35">
        <f>IF(H98=0,0,L98/H98)</f>
        <v>0.4043175094011795</v>
      </c>
      <c r="O98" s="25"/>
      <c r="P98" s="34">
        <f>SUM(P95:P97)</f>
        <v>-101969.85999999999</v>
      </c>
      <c r="Q98" s="13"/>
      <c r="R98" s="35">
        <f>IF(P$12=0,0,P98/P$12)</f>
        <v>-0.37201989201886171</v>
      </c>
      <c r="S98" s="13"/>
      <c r="T98" s="34">
        <f>SUM(T95:T97)</f>
        <v>-137819.01184230772</v>
      </c>
      <c r="U98" s="13"/>
      <c r="V98" s="35">
        <f>IF(T$12=0,0,T98/T$12)</f>
        <v>-0.82167180493833969</v>
      </c>
      <c r="W98" s="15"/>
      <c r="X98" s="34">
        <f>+P98-T98</f>
        <v>35849.151842307736</v>
      </c>
      <c r="Y98" s="15"/>
      <c r="Z98" s="35">
        <f>IF(T98=0,0,X98/T98)</f>
        <v>-0.26011760905183584</v>
      </c>
    </row>
    <row r="99" spans="1:26" ht="15" thickTop="1" x14ac:dyDescent="0.3">
      <c r="A99" s="9"/>
      <c r="C99" s="9"/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6" x14ac:dyDescent="0.3">
      <c r="A100" s="9"/>
      <c r="B100" s="53">
        <v>44604.019995405091</v>
      </c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6" x14ac:dyDescent="0.3">
      <c r="A101" s="9"/>
      <c r="B101" s="63" t="s">
        <v>56</v>
      </c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3">
      <c r="A102" s="9"/>
      <c r="B102" s="58"/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3"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92D050"/>
    <outlinePr summaryBelow="0" summaryRight="0"/>
  </sheetPr>
  <dimension ref="A2:Z3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","406", " - ", "OPA! Greek")</f>
        <v>Department 406 - OPA! Greek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0</v>
      </c>
      <c r="E18" s="20"/>
      <c r="F18" s="33">
        <f t="shared" ref="F18:F22" si="0">IF(D$12=0,0,D18/D$12)</f>
        <v>0</v>
      </c>
      <c r="G18" s="20"/>
      <c r="H18" s="20">
        <f>SUM(OSRRefH22x_0)</f>
        <v>0</v>
      </c>
      <c r="I18" s="20"/>
      <c r="J18" s="33">
        <f t="shared" ref="J18:J22" si="1">IF(H$12=0,0,H18/H$12)</f>
        <v>0</v>
      </c>
      <c r="K18" s="4"/>
      <c r="L18" s="20">
        <f t="shared" ref="L18:L22" si="2">+D18-H18</f>
        <v>0</v>
      </c>
      <c r="M18" s="4"/>
      <c r="N18" s="33">
        <f t="shared" ref="N18:N22" si="3">IF(H18=0,0,L18/H18)</f>
        <v>0</v>
      </c>
      <c r="O18" s="10"/>
      <c r="P18" s="20">
        <f>SUM(OSRRefP22x_0)</f>
        <v>69.290000000000006</v>
      </c>
      <c r="Q18" s="20"/>
      <c r="R18" s="33">
        <f t="shared" ref="R18:R22" si="4">IF(P$12=0,0,P18/P$12)</f>
        <v>0</v>
      </c>
      <c r="S18" s="20"/>
      <c r="T18" s="20">
        <f>SUM(OSRRefT22x_0)</f>
        <v>0</v>
      </c>
      <c r="U18" s="20"/>
      <c r="V18" s="33">
        <f t="shared" ref="V18:V22" si="5">IF(T$12=0,0,T18/T$12)</f>
        <v>0</v>
      </c>
      <c r="W18" s="4"/>
      <c r="X18" s="20">
        <f t="shared" ref="X18:X22" si="6">+P18-T18</f>
        <v>69.290000000000006</v>
      </c>
      <c r="Y18" s="4"/>
      <c r="Z18" s="33">
        <f t="shared" ref="Z18:Z22" si="7">IF(T18=0,0,X18/T18)</f>
        <v>0</v>
      </c>
    </row>
    <row r="19" spans="1:26" s="28" customFormat="1" outlineLevel="1" collapsed="1" x14ac:dyDescent="0.3">
      <c r="A19" s="29"/>
      <c r="B19" s="14" t="str">
        <f>CONCATENATE("     ","Repair and Maintenance                            ")</f>
        <v xml:space="preserve">     Repair and Maintenance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69.290000000000006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69.290000000000006</v>
      </c>
      <c r="Y19" s="1"/>
      <c r="Z19" s="5">
        <f t="shared" si="7"/>
        <v>0</v>
      </c>
    </row>
    <row r="20" spans="1:26" s="24" customFormat="1" hidden="1" outlineLevel="2" x14ac:dyDescent="0.3">
      <c r="A20" s="27"/>
      <c r="B20" s="11" t="str">
        <f>CONCATENATE("          ", "6373", " - ", "MAINTENANCE CONTRACTS")</f>
        <v xml:space="preserve">          6373 - MAINTENANCE CONTRACTS</v>
      </c>
      <c r="C20" s="11"/>
      <c r="D20" s="7"/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>
        <v>69.290000000000006</v>
      </c>
      <c r="Q20" s="2"/>
      <c r="R20" s="6">
        <f t="shared" si="4"/>
        <v>0</v>
      </c>
      <c r="S20" s="2"/>
      <c r="T20" s="7"/>
      <c r="U20" s="2"/>
      <c r="V20" s="6">
        <f t="shared" si="5"/>
        <v>0</v>
      </c>
      <c r="W20" s="2"/>
      <c r="X20" s="7">
        <f t="shared" si="6"/>
        <v>69.290000000000006</v>
      </c>
      <c r="Y20" s="2"/>
      <c r="Z20" s="6">
        <f t="shared" si="7"/>
        <v>0</v>
      </c>
    </row>
    <row r="21" spans="1:26" s="28" customFormat="1" outlineLevel="1" collapsed="1" x14ac:dyDescent="0.3">
      <c r="A21" s="29"/>
      <c r="B21" s="14" t="str">
        <f>CONCATENATE("     ","Services                                          ")</f>
        <v xml:space="preserve">     Services    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0</v>
      </c>
      <c r="Y21" s="1"/>
      <c r="Z21" s="5">
        <f t="shared" si="7"/>
        <v>0</v>
      </c>
    </row>
    <row r="22" spans="1:26" s="24" customFormat="1" hidden="1" outlineLevel="2" x14ac:dyDescent="0.3">
      <c r="A22" s="27"/>
      <c r="B22" s="11" t="str">
        <f>CONCATENATE("          ", "6284", " - ", "TRASH REMOVAL EXPENSE")</f>
        <v xml:space="preserve">          6284 - TRASH REMOVAL EXPENSE</v>
      </c>
      <c r="C22" s="11"/>
      <c r="D22" s="7"/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/>
      <c r="Q22" s="2"/>
      <c r="R22" s="6">
        <f t="shared" si="4"/>
        <v>0</v>
      </c>
      <c r="S22" s="2"/>
      <c r="T22" s="7">
        <v>0</v>
      </c>
      <c r="U22" s="2"/>
      <c r="V22" s="6">
        <f t="shared" si="5"/>
        <v>0</v>
      </c>
      <c r="W22" s="2"/>
      <c r="X22" s="7">
        <f t="shared" si="6"/>
        <v>0</v>
      </c>
      <c r="Y22" s="2"/>
      <c r="Z22" s="6">
        <f t="shared" si="7"/>
        <v>0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3">
      <c r="A24" s="10"/>
      <c r="B24" s="25" t="s">
        <v>293</v>
      </c>
      <c r="C24" s="10"/>
      <c r="D24" s="4">
        <f>SUM(0)</f>
        <v>0</v>
      </c>
      <c r="E24" s="4"/>
      <c r="F24" s="12">
        <f>IF(D$12=0,0,D24/D$12)</f>
        <v>0</v>
      </c>
      <c r="G24" s="4"/>
      <c r="H24" s="4">
        <f>SUM(0)</f>
        <v>0</v>
      </c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>
        <f>SUM(0)</f>
        <v>0</v>
      </c>
      <c r="Q24" s="4"/>
      <c r="R24" s="12">
        <f>IF(P$12=0,0,P24/P$12)</f>
        <v>0</v>
      </c>
      <c r="S24" s="4"/>
      <c r="T24" s="4">
        <f>SUM(0)</f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3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3">
      <c r="A26" s="10"/>
      <c r="B26" s="26" t="s">
        <v>277</v>
      </c>
      <c r="C26" s="26"/>
      <c r="D26" s="21">
        <f>+D16-D18+D24</f>
        <v>0</v>
      </c>
      <c r="E26" s="13"/>
      <c r="F26" s="22">
        <f>IF(D$12=0,0,D26/D$12)</f>
        <v>0</v>
      </c>
      <c r="G26" s="13"/>
      <c r="H26" s="21">
        <f>+H16-H18+H24</f>
        <v>0</v>
      </c>
      <c r="I26" s="13"/>
      <c r="J26" s="22">
        <f>IF(H$12=0,0,H26/H$12)</f>
        <v>0</v>
      </c>
      <c r="K26" s="15"/>
      <c r="L26" s="21">
        <f>+D26-H26</f>
        <v>0</v>
      </c>
      <c r="M26" s="15"/>
      <c r="N26" s="22">
        <f>IF(H26=0,0,L26/H26)</f>
        <v>0</v>
      </c>
      <c r="O26" s="25"/>
      <c r="P26" s="21">
        <f>+P16-P18+P24</f>
        <v>-69.290000000000006</v>
      </c>
      <c r="Q26" s="13"/>
      <c r="R26" s="22">
        <f>IF(P$12=0,0,P26/P$12)</f>
        <v>0</v>
      </c>
      <c r="S26" s="13"/>
      <c r="T26" s="21">
        <f>+T16-T18+T24</f>
        <v>0</v>
      </c>
      <c r="U26" s="13"/>
      <c r="V26" s="22">
        <f>IF(T$12=0,0,T26/T$12)</f>
        <v>0</v>
      </c>
      <c r="W26" s="15"/>
      <c r="X26" s="21">
        <f>+P26-T26</f>
        <v>-69.290000000000006</v>
      </c>
      <c r="Y26" s="15"/>
      <c r="Z26" s="22">
        <f>IF(T26=0,0,X26/T26)</f>
        <v>0</v>
      </c>
    </row>
    <row r="27" spans="1:26" x14ac:dyDescent="0.3">
      <c r="A27" s="9"/>
      <c r="B27" s="10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52"/>
      <c r="B28" s="10" t="s">
        <v>128</v>
      </c>
      <c r="C28" s="10"/>
      <c r="D28" s="4"/>
      <c r="E28" s="4"/>
      <c r="F28" s="12">
        <f>IF(D$12=0,0,D28/D$12)</f>
        <v>0</v>
      </c>
      <c r="G28" s="4"/>
      <c r="H28" s="4"/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/>
      <c r="Q28" s="4"/>
      <c r="R28" s="12">
        <f>IF(P$12=0,0,P28/P$12)</f>
        <v>0</v>
      </c>
      <c r="S28" s="4"/>
      <c r="T28" s="4"/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3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ht="15" thickBot="1" x14ac:dyDescent="0.35">
      <c r="A30" s="10"/>
      <c r="B30" s="26" t="s">
        <v>126</v>
      </c>
      <c r="C30" s="26"/>
      <c r="D30" s="32">
        <f>+D26-D28</f>
        <v>0</v>
      </c>
      <c r="E30" s="13"/>
      <c r="F30" s="31">
        <f>IF(D$12=0,0,D30/D$12)</f>
        <v>0</v>
      </c>
      <c r="G30" s="13"/>
      <c r="H30" s="32">
        <f>+H26-H28</f>
        <v>0</v>
      </c>
      <c r="I30" s="13"/>
      <c r="J30" s="31">
        <f>IF(H$12=0,0,H30/H$12)</f>
        <v>0</v>
      </c>
      <c r="K30" s="15"/>
      <c r="L30" s="32">
        <f>D30-H30</f>
        <v>0</v>
      </c>
      <c r="M30" s="15"/>
      <c r="N30" s="31">
        <f>IF(H30=0,0,L30/H30)</f>
        <v>0</v>
      </c>
      <c r="O30" s="25"/>
      <c r="P30" s="32">
        <f>+P26-P28</f>
        <v>-69.290000000000006</v>
      </c>
      <c r="Q30" s="13"/>
      <c r="R30" s="31">
        <f>IF(P$12=0,0,P30/P$12)</f>
        <v>0</v>
      </c>
      <c r="S30" s="13"/>
      <c r="T30" s="32">
        <f>+T26-T28</f>
        <v>0</v>
      </c>
      <c r="U30" s="13"/>
      <c r="V30" s="31">
        <f>IF(T$12=0,0,T30/T$12)</f>
        <v>0</v>
      </c>
      <c r="W30" s="15"/>
      <c r="X30" s="32">
        <f>P30-T30</f>
        <v>-69.290000000000006</v>
      </c>
      <c r="Y30" s="15"/>
      <c r="Z30" s="31">
        <f>IF(T30=0,0,X30/T30)</f>
        <v>0</v>
      </c>
    </row>
    <row r="31" spans="1:26" ht="15" thickTop="1" x14ac:dyDescent="0.3">
      <c r="A31" s="9"/>
      <c r="B31" s="9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ht="15" thickBot="1" x14ac:dyDescent="0.35">
      <c r="A33" s="10"/>
      <c r="B33" s="26" t="s">
        <v>294</v>
      </c>
      <c r="C33" s="26"/>
      <c r="D33" s="34">
        <f>SUM(D30:D32)</f>
        <v>0</v>
      </c>
      <c r="E33" s="13"/>
      <c r="F33" s="35">
        <f>IF(D$12=0,0,D33/D$12)</f>
        <v>0</v>
      </c>
      <c r="G33" s="13"/>
      <c r="H33" s="34">
        <f>SUM(H30:H32)</f>
        <v>0</v>
      </c>
      <c r="I33" s="13"/>
      <c r="J33" s="35">
        <f>IF(H$12=0,0,H33/H$12)</f>
        <v>0</v>
      </c>
      <c r="K33" s="15"/>
      <c r="L33" s="34">
        <f>+D33-H33</f>
        <v>0</v>
      </c>
      <c r="M33" s="15"/>
      <c r="N33" s="35">
        <f>IF(H33=0,0,L33/H33)</f>
        <v>0</v>
      </c>
      <c r="O33" s="25"/>
      <c r="P33" s="34">
        <f>SUM(P30:P32)</f>
        <v>-69.290000000000006</v>
      </c>
      <c r="Q33" s="13"/>
      <c r="R33" s="35">
        <f>IF(P$12=0,0,P33/P$12)</f>
        <v>0</v>
      </c>
      <c r="S33" s="13"/>
      <c r="T33" s="34">
        <f>SUM(T30:T32)</f>
        <v>0</v>
      </c>
      <c r="U33" s="13"/>
      <c r="V33" s="35">
        <f>IF(T$12=0,0,T33/T$12)</f>
        <v>0</v>
      </c>
      <c r="W33" s="15"/>
      <c r="X33" s="34">
        <f>+P33-T33</f>
        <v>-69.290000000000006</v>
      </c>
      <c r="Y33" s="15"/>
      <c r="Z33" s="35">
        <f>IF(T33=0,0,X33/T33)</f>
        <v>0</v>
      </c>
    </row>
    <row r="34" spans="1:26" ht="15" thickTop="1" x14ac:dyDescent="0.3">
      <c r="A34" s="9"/>
      <c r="C34" s="9"/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6" x14ac:dyDescent="0.3">
      <c r="A35" s="9"/>
      <c r="B35" s="53">
        <v>44604.019995405091</v>
      </c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6" x14ac:dyDescent="0.3">
      <c r="A36" s="9"/>
      <c r="B36" s="63" t="s">
        <v>56</v>
      </c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  <row r="37" spans="1:26" x14ac:dyDescent="0.3">
      <c r="A37" s="9"/>
      <c r="B37" s="58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92D050"/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","411", " - ", "University Dining")</f>
        <v>Department 411 - University Dining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59755.259999999987</v>
      </c>
      <c r="E18" s="20"/>
      <c r="F18" s="33">
        <f t="shared" ref="F18:F28" si="0">IF(D$12=0,0,D18/D$12)</f>
        <v>0</v>
      </c>
      <c r="G18" s="20"/>
      <c r="H18" s="20">
        <f>SUM(OSRRefH22x_0)</f>
        <v>55882.665538461551</v>
      </c>
      <c r="I18" s="20"/>
      <c r="J18" s="33">
        <f t="shared" ref="J18:J28" si="1">IF(H$12=0,0,H18/H$12)</f>
        <v>0</v>
      </c>
      <c r="K18" s="4"/>
      <c r="L18" s="20">
        <f t="shared" ref="L18:L28" si="2">+D18-H18</f>
        <v>3872.594461538436</v>
      </c>
      <c r="M18" s="4"/>
      <c r="N18" s="33">
        <f t="shared" ref="N18:N28" si="3">IF(H18=0,0,L18/H18)</f>
        <v>6.9298671139319604E-2</v>
      </c>
      <c r="O18" s="10"/>
      <c r="P18" s="20">
        <f>SUM(OSRRefP22x_0)</f>
        <v>354940.94000000006</v>
      </c>
      <c r="Q18" s="20"/>
      <c r="R18" s="33">
        <f t="shared" ref="R18:R28" si="4">IF(P$12=0,0,P18/P$12)</f>
        <v>0</v>
      </c>
      <c r="S18" s="20"/>
      <c r="T18" s="20">
        <f>SUM(OSRRefT22x_0)</f>
        <v>320111.52633846155</v>
      </c>
      <c r="U18" s="20"/>
      <c r="V18" s="33">
        <f t="shared" ref="V18:V28" si="5">IF(T$12=0,0,T18/T$12)</f>
        <v>0</v>
      </c>
      <c r="W18" s="4"/>
      <c r="X18" s="20">
        <f t="shared" ref="X18:X28" si="6">+P18-T18</f>
        <v>34829.413661538507</v>
      </c>
      <c r="Y18" s="4"/>
      <c r="Z18" s="33">
        <f t="shared" ref="Z18:Z28" si="7">IF(T18=0,0,X18/T18)</f>
        <v>0.10880399734407732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17871.32</v>
      </c>
      <c r="E19" s="1"/>
      <c r="F19" s="5">
        <f t="shared" si="0"/>
        <v>0</v>
      </c>
      <c r="G19" s="1"/>
      <c r="H19" s="1">
        <f>SUM(OSRRefH22_0x_0)</f>
        <v>9825.5116923077076</v>
      </c>
      <c r="I19" s="1"/>
      <c r="J19" s="5">
        <f t="shared" si="1"/>
        <v>0</v>
      </c>
      <c r="K19" s="1"/>
      <c r="L19" s="1">
        <f t="shared" si="2"/>
        <v>8045.8083076922921</v>
      </c>
      <c r="M19" s="1"/>
      <c r="N19" s="5">
        <f t="shared" si="3"/>
        <v>0.81886913981195231</v>
      </c>
      <c r="O19" s="14"/>
      <c r="P19" s="1">
        <f>SUM(OSRRefP22_0x_0)</f>
        <v>76837.25</v>
      </c>
      <c r="Q19" s="1"/>
      <c r="R19" s="5">
        <f t="shared" si="4"/>
        <v>0</v>
      </c>
      <c r="S19" s="1"/>
      <c r="T19" s="1">
        <f>SUM(OSRRefT22_0x_0)</f>
        <v>63409.372492307761</v>
      </c>
      <c r="U19" s="1"/>
      <c r="V19" s="5">
        <f t="shared" si="5"/>
        <v>0</v>
      </c>
      <c r="W19" s="1"/>
      <c r="X19" s="1">
        <f t="shared" si="6"/>
        <v>13427.877507692239</v>
      </c>
      <c r="Y19" s="1"/>
      <c r="Z19" s="5">
        <f t="shared" si="7"/>
        <v>0.21176486976465797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7">
        <v>1381.25</v>
      </c>
      <c r="E20" s="2"/>
      <c r="F20" s="6">
        <f t="shared" si="0"/>
        <v>0</v>
      </c>
      <c r="G20" s="2"/>
      <c r="H20" s="7">
        <v>1697.78861538462</v>
      </c>
      <c r="I20" s="2"/>
      <c r="J20" s="6">
        <f t="shared" si="1"/>
        <v>0</v>
      </c>
      <c r="K20" s="2"/>
      <c r="L20" s="7">
        <f t="shared" si="2"/>
        <v>-316.53861538462002</v>
      </c>
      <c r="M20" s="2"/>
      <c r="N20" s="6">
        <f t="shared" si="3"/>
        <v>-0.18644171159841993</v>
      </c>
      <c r="O20" s="11"/>
      <c r="P20" s="7">
        <v>10194.42</v>
      </c>
      <c r="Q20" s="2"/>
      <c r="R20" s="6">
        <f t="shared" si="4"/>
        <v>0</v>
      </c>
      <c r="S20" s="2"/>
      <c r="T20" s="7">
        <v>10526.289415384599</v>
      </c>
      <c r="U20" s="2"/>
      <c r="V20" s="6">
        <f t="shared" si="5"/>
        <v>0</v>
      </c>
      <c r="W20" s="2"/>
      <c r="X20" s="7">
        <f t="shared" si="6"/>
        <v>-331.86941538459905</v>
      </c>
      <c r="Y20" s="2"/>
      <c r="Z20" s="6">
        <f t="shared" si="7"/>
        <v>-3.15276734553354E-2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232.92</v>
      </c>
      <c r="E21" s="2"/>
      <c r="F21" s="6">
        <f t="shared" si="0"/>
        <v>0</v>
      </c>
      <c r="G21" s="2"/>
      <c r="H21" s="7">
        <v>840.79692307692505</v>
      </c>
      <c r="I21" s="2"/>
      <c r="J21" s="6">
        <f t="shared" si="1"/>
        <v>0</v>
      </c>
      <c r="K21" s="2"/>
      <c r="L21" s="7">
        <f t="shared" si="2"/>
        <v>-607.8769230769251</v>
      </c>
      <c r="M21" s="2"/>
      <c r="N21" s="6">
        <f t="shared" si="3"/>
        <v>-0.72297710230953127</v>
      </c>
      <c r="O21" s="11"/>
      <c r="P21" s="7">
        <v>1704</v>
      </c>
      <c r="Q21" s="2"/>
      <c r="R21" s="6">
        <f t="shared" si="4"/>
        <v>0</v>
      </c>
      <c r="S21" s="2"/>
      <c r="T21" s="7">
        <v>5212.9409230769297</v>
      </c>
      <c r="U21" s="2"/>
      <c r="V21" s="6">
        <f t="shared" si="5"/>
        <v>0</v>
      </c>
      <c r="W21" s="2"/>
      <c r="X21" s="7">
        <f t="shared" si="6"/>
        <v>-3508.9409230769297</v>
      </c>
      <c r="Y21" s="2"/>
      <c r="Z21" s="6">
        <f t="shared" si="7"/>
        <v>-0.67312117571548902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7">
        <v>3042.72</v>
      </c>
      <c r="E22" s="2"/>
      <c r="F22" s="6">
        <f t="shared" si="0"/>
        <v>0</v>
      </c>
      <c r="G22" s="2"/>
      <c r="H22" s="7">
        <v>2764</v>
      </c>
      <c r="I22" s="2"/>
      <c r="J22" s="6">
        <f t="shared" si="1"/>
        <v>0</v>
      </c>
      <c r="K22" s="2"/>
      <c r="L22" s="7">
        <f t="shared" si="2"/>
        <v>278.7199999999998</v>
      </c>
      <c r="M22" s="2"/>
      <c r="N22" s="6">
        <f t="shared" si="3"/>
        <v>0.10083936324167865</v>
      </c>
      <c r="O22" s="11"/>
      <c r="P22" s="7">
        <v>22971.63</v>
      </c>
      <c r="Q22" s="2"/>
      <c r="R22" s="6">
        <f t="shared" si="4"/>
        <v>0</v>
      </c>
      <c r="S22" s="2"/>
      <c r="T22" s="7">
        <v>19348</v>
      </c>
      <c r="U22" s="2"/>
      <c r="V22" s="6">
        <f t="shared" si="5"/>
        <v>0</v>
      </c>
      <c r="W22" s="2"/>
      <c r="X22" s="7">
        <f t="shared" si="6"/>
        <v>3623.630000000001</v>
      </c>
      <c r="Y22" s="2"/>
      <c r="Z22" s="6">
        <f t="shared" si="7"/>
        <v>0.18728705809385987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46.94</v>
      </c>
      <c r="E23" s="2"/>
      <c r="F23" s="6">
        <f t="shared" si="0"/>
        <v>0</v>
      </c>
      <c r="G23" s="2"/>
      <c r="H23" s="7">
        <v>46.5876923076924</v>
      </c>
      <c r="I23" s="2"/>
      <c r="J23" s="6">
        <f t="shared" si="1"/>
        <v>0</v>
      </c>
      <c r="K23" s="2"/>
      <c r="L23" s="7">
        <f t="shared" si="2"/>
        <v>0.35230769230759762</v>
      </c>
      <c r="M23" s="2"/>
      <c r="N23" s="6">
        <f t="shared" si="3"/>
        <v>7.5622482002489265E-3</v>
      </c>
      <c r="O23" s="11"/>
      <c r="P23" s="7">
        <v>343.42</v>
      </c>
      <c r="Q23" s="2"/>
      <c r="R23" s="6">
        <f t="shared" si="4"/>
        <v>0</v>
      </c>
      <c r="S23" s="2"/>
      <c r="T23" s="7">
        <v>288.843692307693</v>
      </c>
      <c r="U23" s="2"/>
      <c r="V23" s="6">
        <f t="shared" si="5"/>
        <v>0</v>
      </c>
      <c r="W23" s="2"/>
      <c r="X23" s="7">
        <f t="shared" si="6"/>
        <v>54.576307692307012</v>
      </c>
      <c r="Y23" s="2"/>
      <c r="Z23" s="6">
        <f t="shared" si="7"/>
        <v>0.18894754895380983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7">
        <v>1948.13</v>
      </c>
      <c r="E24" s="2"/>
      <c r="F24" s="6">
        <f t="shared" si="0"/>
        <v>0</v>
      </c>
      <c r="G24" s="2"/>
      <c r="H24" s="7">
        <v>1907.8769230769301</v>
      </c>
      <c r="I24" s="2"/>
      <c r="J24" s="6">
        <f t="shared" si="1"/>
        <v>0</v>
      </c>
      <c r="K24" s="2"/>
      <c r="L24" s="7">
        <f t="shared" si="2"/>
        <v>40.253076923070012</v>
      </c>
      <c r="M24" s="2"/>
      <c r="N24" s="6">
        <f t="shared" si="3"/>
        <v>2.1098361448888343E-2</v>
      </c>
      <c r="O24" s="11"/>
      <c r="P24" s="7">
        <v>14273.83</v>
      </c>
      <c r="Q24" s="2"/>
      <c r="R24" s="6">
        <f t="shared" si="4"/>
        <v>0</v>
      </c>
      <c r="S24" s="2"/>
      <c r="T24" s="7">
        <v>11828.836923077</v>
      </c>
      <c r="U24" s="2"/>
      <c r="V24" s="6">
        <f t="shared" si="5"/>
        <v>0</v>
      </c>
      <c r="W24" s="2"/>
      <c r="X24" s="7">
        <f t="shared" si="6"/>
        <v>2444.9930769229995</v>
      </c>
      <c r="Y24" s="2"/>
      <c r="Z24" s="6">
        <f t="shared" si="7"/>
        <v>0.20669767389835575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7">
        <v>3245.46</v>
      </c>
      <c r="E26" s="2"/>
      <c r="F26" s="6">
        <f t="shared" si="0"/>
        <v>0</v>
      </c>
      <c r="G26" s="2"/>
      <c r="H26" s="7">
        <v>2060</v>
      </c>
      <c r="I26" s="2"/>
      <c r="J26" s="6">
        <f t="shared" si="1"/>
        <v>0</v>
      </c>
      <c r="K26" s="2"/>
      <c r="L26" s="7">
        <f t="shared" si="2"/>
        <v>1185.46</v>
      </c>
      <c r="M26" s="2"/>
      <c r="N26" s="6">
        <f t="shared" si="3"/>
        <v>0.57546601941747577</v>
      </c>
      <c r="O26" s="11"/>
      <c r="P26" s="7">
        <v>13240.09</v>
      </c>
      <c r="Q26" s="2"/>
      <c r="R26" s="6">
        <f t="shared" si="4"/>
        <v>0</v>
      </c>
      <c r="S26" s="2"/>
      <c r="T26" s="7">
        <v>12772</v>
      </c>
      <c r="U26" s="2"/>
      <c r="V26" s="6">
        <f t="shared" si="5"/>
        <v>0</v>
      </c>
      <c r="W26" s="2"/>
      <c r="X26" s="7">
        <f t="shared" si="6"/>
        <v>468.09000000000015</v>
      </c>
      <c r="Y26" s="2"/>
      <c r="Z26" s="6">
        <f t="shared" si="7"/>
        <v>3.6649702474162243E-2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7">
        <v>7730.97</v>
      </c>
      <c r="E27" s="2"/>
      <c r="F27" s="6">
        <f t="shared" si="0"/>
        <v>0</v>
      </c>
      <c r="G27" s="2"/>
      <c r="H27" s="7">
        <v>158.46153846153899</v>
      </c>
      <c r="I27" s="2"/>
      <c r="J27" s="6">
        <f t="shared" si="1"/>
        <v>0</v>
      </c>
      <c r="K27" s="2"/>
      <c r="L27" s="7">
        <f t="shared" si="2"/>
        <v>7572.5084615384612</v>
      </c>
      <c r="M27" s="2"/>
      <c r="N27" s="6">
        <f t="shared" si="3"/>
        <v>47.787674757281394</v>
      </c>
      <c r="O27" s="11"/>
      <c r="P27" s="7">
        <v>12105.72</v>
      </c>
      <c r="Q27" s="2"/>
      <c r="R27" s="6">
        <f t="shared" si="4"/>
        <v>0</v>
      </c>
      <c r="S27" s="2"/>
      <c r="T27" s="7">
        <v>982.46153846154095</v>
      </c>
      <c r="U27" s="2"/>
      <c r="V27" s="6">
        <f t="shared" si="5"/>
        <v>0</v>
      </c>
      <c r="W27" s="2"/>
      <c r="X27" s="7">
        <f t="shared" si="6"/>
        <v>11123.258461538459</v>
      </c>
      <c r="Y27" s="2"/>
      <c r="Z27" s="6">
        <f t="shared" si="7"/>
        <v>11.321825869088599</v>
      </c>
    </row>
    <row r="28" spans="1:26" s="24" customFormat="1" hidden="1" outlineLevel="2" x14ac:dyDescent="0.3">
      <c r="A28" s="27"/>
      <c r="B28" s="11" t="str">
        <f>CONCATENATE("          ", "6156", " - ", "EMPLOYEE MEALS")</f>
        <v xml:space="preserve">          6156 - EMPLOYEE MEALS</v>
      </c>
      <c r="C28" s="11"/>
      <c r="D28" s="7">
        <v>242.93</v>
      </c>
      <c r="E28" s="2"/>
      <c r="F28" s="6">
        <f t="shared" si="0"/>
        <v>0</v>
      </c>
      <c r="G28" s="2"/>
      <c r="H28" s="7">
        <v>350</v>
      </c>
      <c r="I28" s="2"/>
      <c r="J28" s="6">
        <f t="shared" si="1"/>
        <v>0</v>
      </c>
      <c r="K28" s="2"/>
      <c r="L28" s="7">
        <f t="shared" si="2"/>
        <v>-107.07</v>
      </c>
      <c r="M28" s="2"/>
      <c r="N28" s="6">
        <f t="shared" si="3"/>
        <v>-0.30591428571428569</v>
      </c>
      <c r="O28" s="11"/>
      <c r="P28" s="7">
        <v>2004.14</v>
      </c>
      <c r="Q28" s="2"/>
      <c r="R28" s="6">
        <f t="shared" si="4"/>
        <v>0</v>
      </c>
      <c r="S28" s="2"/>
      <c r="T28" s="7">
        <v>2450</v>
      </c>
      <c r="U28" s="2"/>
      <c r="V28" s="6">
        <f t="shared" si="5"/>
        <v>0</v>
      </c>
      <c r="W28" s="2"/>
      <c r="X28" s="7">
        <f t="shared" si="6"/>
        <v>-445.8599999999999</v>
      </c>
      <c r="Y28" s="2"/>
      <c r="Z28" s="6">
        <f t="shared" si="7"/>
        <v>-0.18198367346938771</v>
      </c>
    </row>
    <row r="29" spans="1:26" s="28" customFormat="1" outlineLevel="1" collapsed="1" x14ac:dyDescent="0.3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22061.96</v>
      </c>
      <c r="E29" s="1"/>
      <c r="F29" s="5">
        <f t="shared" ref="F29:F39" si="8">IF(D$12=0,0,D29/D$12)</f>
        <v>0</v>
      </c>
      <c r="G29" s="1"/>
      <c r="H29" s="1">
        <f>SUM(OSRRefH22_1x_0)</f>
        <v>19966.15384615384</v>
      </c>
      <c r="I29" s="1"/>
      <c r="J29" s="5">
        <f t="shared" ref="J29:J39" si="9">IF(H$12=0,0,H29/H$12)</f>
        <v>0</v>
      </c>
      <c r="K29" s="1"/>
      <c r="L29" s="1">
        <f t="shared" ref="L29:L39" si="10">+D29-H29</f>
        <v>2095.8061538461588</v>
      </c>
      <c r="M29" s="1"/>
      <c r="N29" s="5">
        <f t="shared" ref="N29:N39" si="11">IF(H29=0,0,L29/H29)</f>
        <v>0.10496794575435381</v>
      </c>
      <c r="O29" s="14"/>
      <c r="P29" s="1">
        <f>SUM(OSRRefP22_1x_0)</f>
        <v>125911.09999999999</v>
      </c>
      <c r="Q29" s="1"/>
      <c r="R29" s="5">
        <f t="shared" ref="R29:R39" si="12">IF(P$12=0,0,P29/P$12)</f>
        <v>0</v>
      </c>
      <c r="S29" s="1"/>
      <c r="T29" s="1">
        <f>SUM(OSRRefT22_1x_0)</f>
        <v>123790.15384615379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2120.9461538462056</v>
      </c>
      <c r="Y29" s="1"/>
      <c r="Z29" s="5">
        <f t="shared" ref="Z29:Z39" si="15">IF(T29=0,0,X29/T29)</f>
        <v>1.7133399450186597E-2</v>
      </c>
    </row>
    <row r="30" spans="1:26" s="24" customFormat="1" hidden="1" outlineLevel="2" x14ac:dyDescent="0.3">
      <c r="A30" s="27"/>
      <c r="B30" s="11" t="str">
        <f>CONCATENATE("          ", "6001", " - ", "ADMINISTRATIVE SALARIES")</f>
        <v xml:space="preserve">          6001 - ADMINISTRATIVE SALARIES</v>
      </c>
      <c r="C30" s="11"/>
      <c r="D30" s="7">
        <v>14390.06</v>
      </c>
      <c r="E30" s="2"/>
      <c r="F30" s="6">
        <f t="shared" si="8"/>
        <v>0</v>
      </c>
      <c r="G30" s="2"/>
      <c r="H30" s="7">
        <v>12835.384615384601</v>
      </c>
      <c r="I30" s="2"/>
      <c r="J30" s="6">
        <f t="shared" si="9"/>
        <v>0</v>
      </c>
      <c r="K30" s="2"/>
      <c r="L30" s="7">
        <f t="shared" si="10"/>
        <v>1554.6753846153988</v>
      </c>
      <c r="M30" s="2"/>
      <c r="N30" s="6">
        <f t="shared" si="11"/>
        <v>0.12112417595589241</v>
      </c>
      <c r="O30" s="11"/>
      <c r="P30" s="7">
        <v>78259.83</v>
      </c>
      <c r="Q30" s="2"/>
      <c r="R30" s="6">
        <f t="shared" si="12"/>
        <v>0</v>
      </c>
      <c r="S30" s="2"/>
      <c r="T30" s="7">
        <v>79579.384615384595</v>
      </c>
      <c r="U30" s="2"/>
      <c r="V30" s="6">
        <f t="shared" si="13"/>
        <v>0</v>
      </c>
      <c r="W30" s="2"/>
      <c r="X30" s="7">
        <f t="shared" si="14"/>
        <v>-1319.5546153845935</v>
      </c>
      <c r="Y30" s="2"/>
      <c r="Z30" s="6">
        <f t="shared" si="15"/>
        <v>-1.6581613715186887E-2</v>
      </c>
    </row>
    <row r="31" spans="1:26" s="24" customFormat="1" hidden="1" outlineLevel="2" x14ac:dyDescent="0.3">
      <c r="A31" s="27"/>
      <c r="B31" s="11" t="str">
        <f>CONCATENATE("          ", "6002", " - ", "STAFF SALARIES")</f>
        <v xml:space="preserve">          6002 - STAFF SALARIES</v>
      </c>
      <c r="C31" s="11"/>
      <c r="D31" s="7">
        <v>7671.9</v>
      </c>
      <c r="E31" s="2"/>
      <c r="F31" s="6">
        <f t="shared" si="8"/>
        <v>0</v>
      </c>
      <c r="G31" s="2"/>
      <c r="H31" s="7">
        <v>7130.7692307692396</v>
      </c>
      <c r="I31" s="2"/>
      <c r="J31" s="6">
        <f t="shared" si="9"/>
        <v>0</v>
      </c>
      <c r="K31" s="2"/>
      <c r="L31" s="7">
        <f t="shared" si="10"/>
        <v>541.13076923076005</v>
      </c>
      <c r="M31" s="2"/>
      <c r="N31" s="6">
        <f t="shared" si="11"/>
        <v>7.5886731391584375E-2</v>
      </c>
      <c r="O31" s="11"/>
      <c r="P31" s="7">
        <v>44644.03</v>
      </c>
      <c r="Q31" s="2"/>
      <c r="R31" s="6">
        <f t="shared" si="12"/>
        <v>0</v>
      </c>
      <c r="S31" s="2"/>
      <c r="T31" s="7">
        <v>44210.769230769198</v>
      </c>
      <c r="U31" s="2"/>
      <c r="V31" s="6">
        <f t="shared" si="13"/>
        <v>0</v>
      </c>
      <c r="W31" s="2"/>
      <c r="X31" s="7">
        <f t="shared" si="14"/>
        <v>433.26076923080109</v>
      </c>
      <c r="Y31" s="2"/>
      <c r="Z31" s="6">
        <f t="shared" si="15"/>
        <v>9.7998921251355713E-3</v>
      </c>
    </row>
    <row r="32" spans="1:26" s="24" customFormat="1" hidden="1" outlineLevel="2" x14ac:dyDescent="0.3">
      <c r="A32" s="27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3">
      <c r="A33" s="27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>
        <v>1380.76</v>
      </c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1380.76</v>
      </c>
      <c r="Y33" s="2"/>
      <c r="Z33" s="6">
        <f t="shared" si="15"/>
        <v>0</v>
      </c>
    </row>
    <row r="34" spans="1:26" s="24" customFormat="1" hidden="1" outlineLevel="2" x14ac:dyDescent="0.3">
      <c r="A34" s="27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>
        <v>1626.48</v>
      </c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1626.48</v>
      </c>
      <c r="Y34" s="2"/>
      <c r="Z34" s="6">
        <f t="shared" si="15"/>
        <v>0</v>
      </c>
    </row>
    <row r="35" spans="1:26" s="24" customFormat="1" hidden="1" outlineLevel="2" x14ac:dyDescent="0.3">
      <c r="A35" s="27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3">
      <c r="A36" s="27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>
        <v>0</v>
      </c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3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3">
      <c r="A38" s="27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3">
      <c r="A39" s="27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3">
      <c r="A40" s="29"/>
      <c r="B40" s="14" t="str">
        <f>CONCATENATE("     ","Bank/card Fees                                    ")</f>
        <v xml:space="preserve">     Bank/card Fees                                    </v>
      </c>
      <c r="C40" s="14"/>
      <c r="D40" s="1">
        <f>SUM(OSRRefD22_2x_0)</f>
        <v>177.96</v>
      </c>
      <c r="E40" s="1"/>
      <c r="F40" s="5">
        <f t="shared" ref="F40:F44" si="16">IF(D$12=0,0,D40/D$12)</f>
        <v>0</v>
      </c>
      <c r="G40" s="1"/>
      <c r="H40" s="1">
        <f>SUM(OSRRefH22_2x_0)</f>
        <v>839</v>
      </c>
      <c r="I40" s="1"/>
      <c r="J40" s="5">
        <f t="shared" ref="J40:J44" si="17">IF(H$12=0,0,H40/H$12)</f>
        <v>0</v>
      </c>
      <c r="K40" s="1"/>
      <c r="L40" s="1">
        <f t="shared" ref="L40:L44" si="18">+D40-H40</f>
        <v>-661.04</v>
      </c>
      <c r="M40" s="1"/>
      <c r="N40" s="5">
        <f t="shared" ref="N40:N44" si="19">IF(H40=0,0,L40/H40)</f>
        <v>-0.78789034564958282</v>
      </c>
      <c r="O40" s="14"/>
      <c r="P40" s="1">
        <f>SUM(OSRRefP22_2x_0)</f>
        <v>1584.35</v>
      </c>
      <c r="Q40" s="1"/>
      <c r="R40" s="5">
        <f t="shared" ref="R40:R44" si="20">IF(P$12=0,0,P40/P$12)</f>
        <v>0</v>
      </c>
      <c r="S40" s="1"/>
      <c r="T40" s="1">
        <f>SUM(OSRRefT22_2x_0)</f>
        <v>5873</v>
      </c>
      <c r="U40" s="1"/>
      <c r="V40" s="5">
        <f t="shared" ref="V40:V44" si="21">IF(T$12=0,0,T40/T$12)</f>
        <v>0</v>
      </c>
      <c r="W40" s="1"/>
      <c r="X40" s="1">
        <f t="shared" ref="X40:X44" si="22">+P40-T40</f>
        <v>-4288.6499999999996</v>
      </c>
      <c r="Y40" s="1"/>
      <c r="Z40" s="5">
        <f t="shared" ref="Z40:Z44" si="23">IF(T40=0,0,X40/T40)</f>
        <v>-0.73023156819342749</v>
      </c>
    </row>
    <row r="41" spans="1:26" s="24" customFormat="1" hidden="1" outlineLevel="2" x14ac:dyDescent="0.3">
      <c r="A41" s="27"/>
      <c r="B41" s="11" t="str">
        <f>CONCATENATE("          ", "6381", " - ", "BANK/CREDIT CARD FEES")</f>
        <v xml:space="preserve">          6381 - BANK/CREDIT CARD FEES</v>
      </c>
      <c r="C41" s="11"/>
      <c r="D41" s="7">
        <v>177.96</v>
      </c>
      <c r="E41" s="2"/>
      <c r="F41" s="6">
        <f t="shared" si="16"/>
        <v>0</v>
      </c>
      <c r="G41" s="2"/>
      <c r="H41" s="7">
        <v>839</v>
      </c>
      <c r="I41" s="2"/>
      <c r="J41" s="6">
        <f t="shared" si="17"/>
        <v>0</v>
      </c>
      <c r="K41" s="2"/>
      <c r="L41" s="7">
        <f t="shared" si="18"/>
        <v>-661.04</v>
      </c>
      <c r="M41" s="2"/>
      <c r="N41" s="6">
        <f t="shared" si="19"/>
        <v>-0.78789034564958282</v>
      </c>
      <c r="O41" s="11"/>
      <c r="P41" s="7">
        <v>1584.35</v>
      </c>
      <c r="Q41" s="2"/>
      <c r="R41" s="6">
        <f t="shared" si="20"/>
        <v>0</v>
      </c>
      <c r="S41" s="2"/>
      <c r="T41" s="7">
        <v>5873</v>
      </c>
      <c r="U41" s="2"/>
      <c r="V41" s="6">
        <f t="shared" si="21"/>
        <v>0</v>
      </c>
      <c r="W41" s="2"/>
      <c r="X41" s="7">
        <f t="shared" si="22"/>
        <v>-4288.6499999999996</v>
      </c>
      <c r="Y41" s="2"/>
      <c r="Z41" s="6">
        <f t="shared" si="23"/>
        <v>-0.73023156819342749</v>
      </c>
    </row>
    <row r="42" spans="1:26" s="28" customFormat="1" outlineLevel="1" collapsed="1" x14ac:dyDescent="0.3">
      <c r="A42" s="29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SUM(OSRRefD22_3x_0)</f>
        <v>5331.53</v>
      </c>
      <c r="E42" s="1"/>
      <c r="F42" s="5">
        <f t="shared" si="16"/>
        <v>0</v>
      </c>
      <c r="G42" s="1"/>
      <c r="H42" s="1">
        <f>SUM(OSRRefH22_3x_0)</f>
        <v>5332</v>
      </c>
      <c r="I42" s="1"/>
      <c r="J42" s="5">
        <f t="shared" si="17"/>
        <v>0</v>
      </c>
      <c r="K42" s="1"/>
      <c r="L42" s="1">
        <f t="shared" si="18"/>
        <v>-0.47000000000025466</v>
      </c>
      <c r="M42" s="1"/>
      <c r="N42" s="5">
        <f t="shared" si="19"/>
        <v>-8.8147036759237562E-5</v>
      </c>
      <c r="O42" s="14"/>
      <c r="P42" s="1">
        <f>SUM(OSRRefP22_3x_0)</f>
        <v>37320.71</v>
      </c>
      <c r="Q42" s="1"/>
      <c r="R42" s="5">
        <f t="shared" si="20"/>
        <v>0</v>
      </c>
      <c r="S42" s="1"/>
      <c r="T42" s="1">
        <f>SUM(OSRRefT22_3x_0)</f>
        <v>37324</v>
      </c>
      <c r="U42" s="1"/>
      <c r="V42" s="5">
        <f t="shared" si="21"/>
        <v>0</v>
      </c>
      <c r="W42" s="1"/>
      <c r="X42" s="1">
        <f t="shared" si="22"/>
        <v>-3.2900000000008731</v>
      </c>
      <c r="Y42" s="1"/>
      <c r="Z42" s="5">
        <f t="shared" si="23"/>
        <v>-8.8147036759213195E-5</v>
      </c>
    </row>
    <row r="43" spans="1:26" s="24" customFormat="1" hidden="1" outlineLevel="2" x14ac:dyDescent="0.3">
      <c r="A43" s="27"/>
      <c r="B43" s="11" t="str">
        <f>CONCATENATE("          ", "6321", " - ", "BUILDING DEPRECIATION")</f>
        <v xml:space="preserve">          6321 - BUILDING DEPRECIATION</v>
      </c>
      <c r="C43" s="11"/>
      <c r="D43" s="7">
        <v>1822.68</v>
      </c>
      <c r="E43" s="2"/>
      <c r="F43" s="6">
        <f t="shared" si="16"/>
        <v>0</v>
      </c>
      <c r="G43" s="2"/>
      <c r="H43" s="7"/>
      <c r="I43" s="2"/>
      <c r="J43" s="6">
        <f t="shared" si="17"/>
        <v>0</v>
      </c>
      <c r="K43" s="2"/>
      <c r="L43" s="7">
        <f t="shared" si="18"/>
        <v>1822.68</v>
      </c>
      <c r="M43" s="2"/>
      <c r="N43" s="6">
        <f t="shared" si="19"/>
        <v>0</v>
      </c>
      <c r="O43" s="11"/>
      <c r="P43" s="7">
        <v>12758.76</v>
      </c>
      <c r="Q43" s="2"/>
      <c r="R43" s="6">
        <f t="shared" si="20"/>
        <v>0</v>
      </c>
      <c r="S43" s="2"/>
      <c r="T43" s="7"/>
      <c r="U43" s="2"/>
      <c r="V43" s="6">
        <f t="shared" si="21"/>
        <v>0</v>
      </c>
      <c r="W43" s="2"/>
      <c r="X43" s="7">
        <f t="shared" si="22"/>
        <v>12758.76</v>
      </c>
      <c r="Y43" s="2"/>
      <c r="Z43" s="6">
        <f t="shared" si="23"/>
        <v>0</v>
      </c>
    </row>
    <row r="44" spans="1:26" s="24" customFormat="1" hidden="1" outlineLevel="2" x14ac:dyDescent="0.3">
      <c r="A44" s="27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3508.85</v>
      </c>
      <c r="E44" s="2"/>
      <c r="F44" s="6">
        <f t="shared" si="16"/>
        <v>0</v>
      </c>
      <c r="G44" s="2"/>
      <c r="H44" s="7">
        <v>5332</v>
      </c>
      <c r="I44" s="2"/>
      <c r="J44" s="6">
        <f t="shared" si="17"/>
        <v>0</v>
      </c>
      <c r="K44" s="2"/>
      <c r="L44" s="7">
        <f t="shared" si="18"/>
        <v>-1823.15</v>
      </c>
      <c r="M44" s="2"/>
      <c r="N44" s="6">
        <f t="shared" si="19"/>
        <v>-0.34192610652663169</v>
      </c>
      <c r="O44" s="11"/>
      <c r="P44" s="7">
        <v>24561.95</v>
      </c>
      <c r="Q44" s="2"/>
      <c r="R44" s="6">
        <f t="shared" si="20"/>
        <v>0</v>
      </c>
      <c r="S44" s="2"/>
      <c r="T44" s="7">
        <v>37324</v>
      </c>
      <c r="U44" s="2"/>
      <c r="V44" s="6">
        <f t="shared" si="21"/>
        <v>0</v>
      </c>
      <c r="W44" s="2"/>
      <c r="X44" s="7">
        <f t="shared" si="22"/>
        <v>-12762.05</v>
      </c>
      <c r="Y44" s="2"/>
      <c r="Z44" s="6">
        <f t="shared" si="23"/>
        <v>-0.34192610652663163</v>
      </c>
    </row>
    <row r="45" spans="1:26" s="28" customFormat="1" outlineLevel="1" collapsed="1" x14ac:dyDescent="0.3">
      <c r="A45" s="29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SUM(OSRRefD22_4x_0)</f>
        <v>0</v>
      </c>
      <c r="E45" s="1"/>
      <c r="F45" s="5">
        <f t="shared" ref="F45:F57" si="24">IF(D$12=0,0,D45/D$12)</f>
        <v>0</v>
      </c>
      <c r="G45" s="1"/>
      <c r="H45" s="1">
        <f>SUM(OSRRefH22_4x_0)</f>
        <v>0</v>
      </c>
      <c r="I45" s="1"/>
      <c r="J45" s="5">
        <f t="shared" ref="J45:J57" si="25">IF(H$12=0,0,H45/H$12)</f>
        <v>0</v>
      </c>
      <c r="K45" s="1"/>
      <c r="L45" s="1">
        <f t="shared" ref="L45:L57" si="26">+D45-H45</f>
        <v>0</v>
      </c>
      <c r="M45" s="1"/>
      <c r="N45" s="5">
        <f t="shared" ref="N45:N57" si="27">IF(H45=0,0,L45/H45)</f>
        <v>0</v>
      </c>
      <c r="O45" s="14"/>
      <c r="P45" s="1">
        <f>SUM(OSRRefP22_4x_0)</f>
        <v>18</v>
      </c>
      <c r="Q45" s="1"/>
      <c r="R45" s="5">
        <f t="shared" ref="R45:R57" si="28">IF(P$12=0,0,P45/P$12)</f>
        <v>0</v>
      </c>
      <c r="S45" s="1"/>
      <c r="T45" s="1">
        <f>SUM(OSRRefT22_4x_0)</f>
        <v>0</v>
      </c>
      <c r="U45" s="1"/>
      <c r="V45" s="5">
        <f t="shared" ref="V45:V57" si="29">IF(T$12=0,0,T45/T$12)</f>
        <v>0</v>
      </c>
      <c r="W45" s="1"/>
      <c r="X45" s="1">
        <f t="shared" ref="X45:X57" si="30">+P45-T45</f>
        <v>18</v>
      </c>
      <c r="Y45" s="1"/>
      <c r="Z45" s="5">
        <f t="shared" ref="Z45:Z57" si="31">IF(T45=0,0,X45/T45)</f>
        <v>0</v>
      </c>
    </row>
    <row r="46" spans="1:26" s="24" customFormat="1" hidden="1" outlineLevel="2" x14ac:dyDescent="0.3">
      <c r="A46" s="27"/>
      <c r="B46" s="11" t="str">
        <f>CONCATENATE("          ", "6277", " - ", "EMPLOYEE APPRECIATION")</f>
        <v xml:space="preserve">          6277 - EMPLOYEE APPRECIATION</v>
      </c>
      <c r="C46" s="11"/>
      <c r="D46" s="7"/>
      <c r="E46" s="2"/>
      <c r="F46" s="6">
        <f t="shared" si="24"/>
        <v>0</v>
      </c>
      <c r="G46" s="2"/>
      <c r="H46" s="7"/>
      <c r="I46" s="2"/>
      <c r="J46" s="6">
        <f t="shared" si="25"/>
        <v>0</v>
      </c>
      <c r="K46" s="2"/>
      <c r="L46" s="7">
        <f t="shared" si="26"/>
        <v>0</v>
      </c>
      <c r="M46" s="2"/>
      <c r="N46" s="6">
        <f t="shared" si="27"/>
        <v>0</v>
      </c>
      <c r="O46" s="11"/>
      <c r="P46" s="7">
        <v>18</v>
      </c>
      <c r="Q46" s="2"/>
      <c r="R46" s="6">
        <f t="shared" si="28"/>
        <v>0</v>
      </c>
      <c r="S46" s="2"/>
      <c r="T46" s="7"/>
      <c r="U46" s="2"/>
      <c r="V46" s="6">
        <f t="shared" si="29"/>
        <v>0</v>
      </c>
      <c r="W46" s="2"/>
      <c r="X46" s="7">
        <f t="shared" si="30"/>
        <v>18</v>
      </c>
      <c r="Y46" s="2"/>
      <c r="Z46" s="6">
        <f t="shared" si="31"/>
        <v>0</v>
      </c>
    </row>
    <row r="47" spans="1:26" s="28" customFormat="1" outlineLevel="1" collapsed="1" x14ac:dyDescent="0.3">
      <c r="A47" s="29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SUM(OSRRefD22_5x_0)</f>
        <v>0</v>
      </c>
      <c r="E47" s="1"/>
      <c r="F47" s="5">
        <f t="shared" si="24"/>
        <v>0</v>
      </c>
      <c r="G47" s="1"/>
      <c r="H47" s="1">
        <f>SUM(OSRRefH22_5x_0)</f>
        <v>300</v>
      </c>
      <c r="I47" s="1"/>
      <c r="J47" s="5">
        <f t="shared" si="25"/>
        <v>0</v>
      </c>
      <c r="K47" s="1"/>
      <c r="L47" s="1">
        <f t="shared" si="26"/>
        <v>-300</v>
      </c>
      <c r="M47" s="1"/>
      <c r="N47" s="5">
        <f t="shared" si="27"/>
        <v>-1</v>
      </c>
      <c r="O47" s="14"/>
      <c r="P47" s="1">
        <f>SUM(OSRRefP22_5x_0)</f>
        <v>547.55999999999995</v>
      </c>
      <c r="Q47" s="1"/>
      <c r="R47" s="5">
        <f t="shared" si="28"/>
        <v>0</v>
      </c>
      <c r="S47" s="1"/>
      <c r="T47" s="1">
        <f>SUM(OSRRefT22_5x_0)</f>
        <v>2100</v>
      </c>
      <c r="U47" s="1"/>
      <c r="V47" s="5">
        <f t="shared" si="29"/>
        <v>0</v>
      </c>
      <c r="W47" s="1"/>
      <c r="X47" s="1">
        <f t="shared" si="30"/>
        <v>-1552.44</v>
      </c>
      <c r="Y47" s="1"/>
      <c r="Z47" s="5">
        <f t="shared" si="31"/>
        <v>-0.73925714285714283</v>
      </c>
    </row>
    <row r="48" spans="1:26" s="24" customFormat="1" hidden="1" outlineLevel="2" x14ac:dyDescent="0.3">
      <c r="A48" s="27"/>
      <c r="B48" s="11" t="str">
        <f>CONCATENATE("          ", "6351", " - ", "EQUIPMENT RENTAL")</f>
        <v xml:space="preserve">          6351 - EQUIPMENT RENTAL</v>
      </c>
      <c r="C48" s="11"/>
      <c r="D48" s="7"/>
      <c r="E48" s="2"/>
      <c r="F48" s="6">
        <f t="shared" si="24"/>
        <v>0</v>
      </c>
      <c r="G48" s="2"/>
      <c r="H48" s="7">
        <v>300</v>
      </c>
      <c r="I48" s="2"/>
      <c r="J48" s="6">
        <f t="shared" si="25"/>
        <v>0</v>
      </c>
      <c r="K48" s="2"/>
      <c r="L48" s="7">
        <f t="shared" si="26"/>
        <v>-300</v>
      </c>
      <c r="M48" s="2"/>
      <c r="N48" s="6">
        <f t="shared" si="27"/>
        <v>-1</v>
      </c>
      <c r="O48" s="11"/>
      <c r="P48" s="7">
        <v>547.55999999999995</v>
      </c>
      <c r="Q48" s="2"/>
      <c r="R48" s="6">
        <f t="shared" si="28"/>
        <v>0</v>
      </c>
      <c r="S48" s="2"/>
      <c r="T48" s="7">
        <v>2100</v>
      </c>
      <c r="U48" s="2"/>
      <c r="V48" s="6">
        <f t="shared" si="29"/>
        <v>0</v>
      </c>
      <c r="W48" s="2"/>
      <c r="X48" s="7">
        <f t="shared" si="30"/>
        <v>-1552.44</v>
      </c>
      <c r="Y48" s="2"/>
      <c r="Z48" s="6">
        <f t="shared" si="31"/>
        <v>-0.73925714285714283</v>
      </c>
    </row>
    <row r="49" spans="1:26" s="28" customFormat="1" outlineLevel="1" collapsed="1" x14ac:dyDescent="0.3">
      <c r="A49" s="29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0</v>
      </c>
      <c r="E49" s="1"/>
      <c r="F49" s="5">
        <f t="shared" si="24"/>
        <v>0</v>
      </c>
      <c r="G49" s="1"/>
      <c r="H49" s="1">
        <f>SUM(OSRRefH22_6x_0)</f>
        <v>0</v>
      </c>
      <c r="I49" s="1"/>
      <c r="J49" s="5">
        <f t="shared" si="25"/>
        <v>0</v>
      </c>
      <c r="K49" s="1"/>
      <c r="L49" s="1">
        <f t="shared" si="26"/>
        <v>0</v>
      </c>
      <c r="M49" s="1"/>
      <c r="N49" s="5">
        <f t="shared" si="27"/>
        <v>0</v>
      </c>
      <c r="O49" s="14"/>
      <c r="P49" s="1">
        <f>SUM(OSRRefP22_6x_0)</f>
        <v>122.51</v>
      </c>
      <c r="Q49" s="1"/>
      <c r="R49" s="5">
        <f t="shared" si="28"/>
        <v>0</v>
      </c>
      <c r="S49" s="1"/>
      <c r="T49" s="1">
        <f>SUM(OSRRefT22_6x_0)</f>
        <v>1000</v>
      </c>
      <c r="U49" s="1"/>
      <c r="V49" s="5">
        <f t="shared" si="29"/>
        <v>0</v>
      </c>
      <c r="W49" s="1"/>
      <c r="X49" s="1">
        <f t="shared" si="30"/>
        <v>-877.49</v>
      </c>
      <c r="Y49" s="1"/>
      <c r="Z49" s="5">
        <f t="shared" si="31"/>
        <v>-0.87748999999999999</v>
      </c>
    </row>
    <row r="50" spans="1:26" s="24" customFormat="1" hidden="1" outlineLevel="2" x14ac:dyDescent="0.3">
      <c r="A50" s="27"/>
      <c r="B50" s="11" t="str">
        <f>CONCATENATE("          ", "6279", " - ", "GENERAL EXPENSE")</f>
        <v xml:space="preserve">          6279 - GENERAL EXPENSE</v>
      </c>
      <c r="C50" s="11"/>
      <c r="D50" s="7"/>
      <c r="E50" s="2"/>
      <c r="F50" s="6">
        <f t="shared" si="24"/>
        <v>0</v>
      </c>
      <c r="G50" s="2"/>
      <c r="H50" s="7"/>
      <c r="I50" s="2"/>
      <c r="J50" s="6">
        <f t="shared" si="25"/>
        <v>0</v>
      </c>
      <c r="K50" s="2"/>
      <c r="L50" s="7">
        <f t="shared" si="26"/>
        <v>0</v>
      </c>
      <c r="M50" s="2"/>
      <c r="N50" s="6">
        <f t="shared" si="27"/>
        <v>0</v>
      </c>
      <c r="O50" s="11"/>
      <c r="P50" s="7">
        <v>122.51</v>
      </c>
      <c r="Q50" s="2"/>
      <c r="R50" s="6">
        <f t="shared" si="28"/>
        <v>0</v>
      </c>
      <c r="S50" s="2"/>
      <c r="T50" s="7">
        <v>1000</v>
      </c>
      <c r="U50" s="2"/>
      <c r="V50" s="6">
        <f t="shared" si="29"/>
        <v>0</v>
      </c>
      <c r="W50" s="2"/>
      <c r="X50" s="7">
        <f t="shared" si="30"/>
        <v>-877.49</v>
      </c>
      <c r="Y50" s="2"/>
      <c r="Z50" s="6">
        <f t="shared" si="31"/>
        <v>-0.87748999999999999</v>
      </c>
    </row>
    <row r="51" spans="1:26" s="28" customFormat="1" outlineLevel="1" collapsed="1" x14ac:dyDescent="0.3">
      <c r="A51" s="29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SUM(OSRRefD22_7x_0)</f>
        <v>4884.6000000000004</v>
      </c>
      <c r="E51" s="1"/>
      <c r="F51" s="5">
        <f t="shared" si="24"/>
        <v>0</v>
      </c>
      <c r="G51" s="1"/>
      <c r="H51" s="1">
        <f>SUM(OSRRefH22_7x_0)</f>
        <v>4820</v>
      </c>
      <c r="I51" s="1"/>
      <c r="J51" s="5">
        <f t="shared" si="25"/>
        <v>0</v>
      </c>
      <c r="K51" s="1"/>
      <c r="L51" s="1">
        <f t="shared" si="26"/>
        <v>64.600000000000364</v>
      </c>
      <c r="M51" s="1"/>
      <c r="N51" s="5">
        <f t="shared" si="27"/>
        <v>1.3402489626556092E-2</v>
      </c>
      <c r="O51" s="14"/>
      <c r="P51" s="1">
        <f>SUM(OSRRefP22_7x_0)</f>
        <v>41075.199999999997</v>
      </c>
      <c r="Q51" s="1"/>
      <c r="R51" s="5">
        <f t="shared" si="28"/>
        <v>0</v>
      </c>
      <c r="S51" s="1"/>
      <c r="T51" s="1">
        <f>SUM(OSRRefT22_7x_0)</f>
        <v>33740</v>
      </c>
      <c r="U51" s="1"/>
      <c r="V51" s="5">
        <f t="shared" si="29"/>
        <v>0</v>
      </c>
      <c r="W51" s="1"/>
      <c r="X51" s="1">
        <f t="shared" si="30"/>
        <v>7335.1999999999971</v>
      </c>
      <c r="Y51" s="1"/>
      <c r="Z51" s="5">
        <f t="shared" si="31"/>
        <v>0.21740367516301118</v>
      </c>
    </row>
    <row r="52" spans="1:26" s="24" customFormat="1" hidden="1" outlineLevel="2" x14ac:dyDescent="0.3">
      <c r="A52" s="27"/>
      <c r="B52" s="11" t="str">
        <f>CONCATENATE("          ", "6314", " - ", "LIABILITY INSURANCE")</f>
        <v xml:space="preserve">          6314 - LIABILITY INSURANCE</v>
      </c>
      <c r="C52" s="11"/>
      <c r="D52" s="7">
        <v>4884.6000000000004</v>
      </c>
      <c r="E52" s="2"/>
      <c r="F52" s="6">
        <f t="shared" si="24"/>
        <v>0</v>
      </c>
      <c r="G52" s="2"/>
      <c r="H52" s="7">
        <v>4820</v>
      </c>
      <c r="I52" s="2"/>
      <c r="J52" s="6">
        <f t="shared" si="25"/>
        <v>0</v>
      </c>
      <c r="K52" s="2"/>
      <c r="L52" s="7">
        <f t="shared" si="26"/>
        <v>64.600000000000364</v>
      </c>
      <c r="M52" s="2"/>
      <c r="N52" s="6">
        <f t="shared" si="27"/>
        <v>1.3402489626556092E-2</v>
      </c>
      <c r="O52" s="11"/>
      <c r="P52" s="7">
        <v>41075.199999999997</v>
      </c>
      <c r="Q52" s="2"/>
      <c r="R52" s="6">
        <f t="shared" si="28"/>
        <v>0</v>
      </c>
      <c r="S52" s="2"/>
      <c r="T52" s="7">
        <v>33740</v>
      </c>
      <c r="U52" s="2"/>
      <c r="V52" s="6">
        <f t="shared" si="29"/>
        <v>0</v>
      </c>
      <c r="W52" s="2"/>
      <c r="X52" s="7">
        <f t="shared" si="30"/>
        <v>7335.1999999999971</v>
      </c>
      <c r="Y52" s="2"/>
      <c r="Z52" s="6">
        <f t="shared" si="31"/>
        <v>0.21740367516301118</v>
      </c>
    </row>
    <row r="53" spans="1:26" s="28" customFormat="1" outlineLevel="1" collapsed="1" x14ac:dyDescent="0.3">
      <c r="A53" s="29"/>
      <c r="B53" s="14" t="str">
        <f>CONCATENATE("     ","Repair and Maintenance                            ")</f>
        <v xml:space="preserve">     Repair and Maintenance                            </v>
      </c>
      <c r="C53" s="14"/>
      <c r="D53" s="1">
        <f>SUM(OSRRefD22_8x_0)</f>
        <v>2693.7</v>
      </c>
      <c r="E53" s="1"/>
      <c r="F53" s="5">
        <f t="shared" si="24"/>
        <v>0</v>
      </c>
      <c r="G53" s="1"/>
      <c r="H53" s="1">
        <f>SUM(OSRRefH22_8x_0)</f>
        <v>8000</v>
      </c>
      <c r="I53" s="1"/>
      <c r="J53" s="5">
        <f t="shared" si="25"/>
        <v>0</v>
      </c>
      <c r="K53" s="1"/>
      <c r="L53" s="1">
        <f t="shared" si="26"/>
        <v>-5306.3</v>
      </c>
      <c r="M53" s="1"/>
      <c r="N53" s="5">
        <f t="shared" si="27"/>
        <v>-0.66328750000000003</v>
      </c>
      <c r="O53" s="14"/>
      <c r="P53" s="1">
        <f>SUM(OSRRefP22_8x_0)</f>
        <v>22452.49</v>
      </c>
      <c r="Q53" s="1"/>
      <c r="R53" s="5">
        <f t="shared" si="28"/>
        <v>0</v>
      </c>
      <c r="S53" s="1"/>
      <c r="T53" s="1">
        <f>SUM(OSRRefT22_8x_0)</f>
        <v>8000</v>
      </c>
      <c r="U53" s="1"/>
      <c r="V53" s="5">
        <f t="shared" si="29"/>
        <v>0</v>
      </c>
      <c r="W53" s="1"/>
      <c r="X53" s="1">
        <f t="shared" si="30"/>
        <v>14452.490000000002</v>
      </c>
      <c r="Y53" s="1"/>
      <c r="Z53" s="5">
        <f t="shared" si="31"/>
        <v>1.8065612500000001</v>
      </c>
    </row>
    <row r="54" spans="1:26" s="24" customFormat="1" hidden="1" outlineLevel="2" x14ac:dyDescent="0.3">
      <c r="A54" s="27"/>
      <c r="B54" s="11" t="str">
        <f>CONCATENATE("          ", "6371", " - ", "COMPUTER SOFTWARE MAINTENANCE")</f>
        <v xml:space="preserve">          6371 - COMPUTER SOFTWARE MAINTENANCE</v>
      </c>
      <c r="C54" s="11"/>
      <c r="D54" s="7">
        <v>481.09</v>
      </c>
      <c r="E54" s="2"/>
      <c r="F54" s="6">
        <f t="shared" si="24"/>
        <v>0</v>
      </c>
      <c r="G54" s="2"/>
      <c r="H54" s="7"/>
      <c r="I54" s="2"/>
      <c r="J54" s="6">
        <f t="shared" si="25"/>
        <v>0</v>
      </c>
      <c r="K54" s="2"/>
      <c r="L54" s="7">
        <f t="shared" si="26"/>
        <v>481.09</v>
      </c>
      <c r="M54" s="2"/>
      <c r="N54" s="6">
        <f t="shared" si="27"/>
        <v>0</v>
      </c>
      <c r="O54" s="11"/>
      <c r="P54" s="7">
        <v>6817.17</v>
      </c>
      <c r="Q54" s="2"/>
      <c r="R54" s="6">
        <f t="shared" si="28"/>
        <v>0</v>
      </c>
      <c r="S54" s="2"/>
      <c r="T54" s="7"/>
      <c r="U54" s="2"/>
      <c r="V54" s="6">
        <f t="shared" si="29"/>
        <v>0</v>
      </c>
      <c r="W54" s="2"/>
      <c r="X54" s="7">
        <f t="shared" si="30"/>
        <v>6817.17</v>
      </c>
      <c r="Y54" s="2"/>
      <c r="Z54" s="6">
        <f t="shared" si="31"/>
        <v>0</v>
      </c>
    </row>
    <row r="55" spans="1:26" s="24" customFormat="1" hidden="1" outlineLevel="2" x14ac:dyDescent="0.3">
      <c r="A55" s="27"/>
      <c r="B55" s="11" t="str">
        <f>CONCATENATE("          ", "6372", " - ", "COMPUTER HARDWARE MAINTENANCE")</f>
        <v xml:space="preserve">          6372 - COMPUTER HARDWARE MAINTENANCE</v>
      </c>
      <c r="C55" s="11"/>
      <c r="D55" s="7"/>
      <c r="E55" s="2"/>
      <c r="F55" s="6">
        <f t="shared" si="24"/>
        <v>0</v>
      </c>
      <c r="G55" s="2"/>
      <c r="H55" s="7">
        <v>8000</v>
      </c>
      <c r="I55" s="2"/>
      <c r="J55" s="6">
        <f t="shared" si="25"/>
        <v>0</v>
      </c>
      <c r="K55" s="2"/>
      <c r="L55" s="7">
        <f t="shared" si="26"/>
        <v>-8000</v>
      </c>
      <c r="M55" s="2"/>
      <c r="N55" s="6">
        <f t="shared" si="27"/>
        <v>-1</v>
      </c>
      <c r="O55" s="11"/>
      <c r="P55" s="7"/>
      <c r="Q55" s="2"/>
      <c r="R55" s="6">
        <f t="shared" si="28"/>
        <v>0</v>
      </c>
      <c r="S55" s="2"/>
      <c r="T55" s="7">
        <v>8000</v>
      </c>
      <c r="U55" s="2"/>
      <c r="V55" s="6">
        <f t="shared" si="29"/>
        <v>0</v>
      </c>
      <c r="W55" s="2"/>
      <c r="X55" s="7">
        <f t="shared" si="30"/>
        <v>-8000</v>
      </c>
      <c r="Y55" s="2"/>
      <c r="Z55" s="6">
        <f t="shared" si="31"/>
        <v>-1</v>
      </c>
    </row>
    <row r="56" spans="1:26" s="24" customFormat="1" hidden="1" outlineLevel="2" x14ac:dyDescent="0.3">
      <c r="A56" s="27"/>
      <c r="B56" s="11" t="str">
        <f>CONCATENATE("          ", "6373", " - ", "MAINTENANCE CONTRACTS")</f>
        <v xml:space="preserve">          6373 - MAINTENANCE CONTRACTS</v>
      </c>
      <c r="C56" s="11"/>
      <c r="D56" s="7">
        <v>1493.51</v>
      </c>
      <c r="E56" s="2"/>
      <c r="F56" s="6">
        <f t="shared" si="24"/>
        <v>0</v>
      </c>
      <c r="G56" s="2"/>
      <c r="H56" s="7"/>
      <c r="I56" s="2"/>
      <c r="J56" s="6">
        <f t="shared" si="25"/>
        <v>0</v>
      </c>
      <c r="K56" s="2"/>
      <c r="L56" s="7">
        <f t="shared" si="26"/>
        <v>1493.51</v>
      </c>
      <c r="M56" s="2"/>
      <c r="N56" s="6">
        <f t="shared" si="27"/>
        <v>0</v>
      </c>
      <c r="O56" s="11"/>
      <c r="P56" s="7">
        <v>6713.96</v>
      </c>
      <c r="Q56" s="2"/>
      <c r="R56" s="6">
        <f t="shared" si="28"/>
        <v>0</v>
      </c>
      <c r="S56" s="2"/>
      <c r="T56" s="7"/>
      <c r="U56" s="2"/>
      <c r="V56" s="6">
        <f t="shared" si="29"/>
        <v>0</v>
      </c>
      <c r="W56" s="2"/>
      <c r="X56" s="7">
        <f t="shared" si="30"/>
        <v>6713.96</v>
      </c>
      <c r="Y56" s="2"/>
      <c r="Z56" s="6">
        <f t="shared" si="31"/>
        <v>0</v>
      </c>
    </row>
    <row r="57" spans="1:26" s="24" customFormat="1" hidden="1" outlineLevel="2" x14ac:dyDescent="0.3">
      <c r="A57" s="27"/>
      <c r="B57" s="11" t="str">
        <f>CONCATENATE("          ", "6375", " - ", "OUTSIDE REPAIRS &amp; MAINTENANCE")</f>
        <v xml:space="preserve">          6375 - OUTSIDE REPAIRS &amp; MAINTENANCE</v>
      </c>
      <c r="C57" s="11"/>
      <c r="D57" s="7">
        <v>719.1</v>
      </c>
      <c r="E57" s="2"/>
      <c r="F57" s="6">
        <f t="shared" si="24"/>
        <v>0</v>
      </c>
      <c r="G57" s="2"/>
      <c r="H57" s="7"/>
      <c r="I57" s="2"/>
      <c r="J57" s="6">
        <f t="shared" si="25"/>
        <v>0</v>
      </c>
      <c r="K57" s="2"/>
      <c r="L57" s="7">
        <f t="shared" si="26"/>
        <v>719.1</v>
      </c>
      <c r="M57" s="2"/>
      <c r="N57" s="6">
        <f t="shared" si="27"/>
        <v>0</v>
      </c>
      <c r="O57" s="11"/>
      <c r="P57" s="7">
        <v>8921.36</v>
      </c>
      <c r="Q57" s="2"/>
      <c r="R57" s="6">
        <f t="shared" si="28"/>
        <v>0</v>
      </c>
      <c r="S57" s="2"/>
      <c r="T57" s="7"/>
      <c r="U57" s="2"/>
      <c r="V57" s="6">
        <f t="shared" si="29"/>
        <v>0</v>
      </c>
      <c r="W57" s="2"/>
      <c r="X57" s="7">
        <f t="shared" si="30"/>
        <v>8921.36</v>
      </c>
      <c r="Y57" s="2"/>
      <c r="Z57" s="6">
        <f t="shared" si="31"/>
        <v>0</v>
      </c>
    </row>
    <row r="58" spans="1:26" s="28" customFormat="1" outlineLevel="1" collapsed="1" x14ac:dyDescent="0.3">
      <c r="A58" s="29"/>
      <c r="B58" s="14" t="str">
        <f>CONCATENATE("     ","Services                                          ")</f>
        <v xml:space="preserve">     Services                                          </v>
      </c>
      <c r="C58" s="14"/>
      <c r="D58" s="1">
        <f>SUM(OSRRefD22_9x_0)</f>
        <v>670.1</v>
      </c>
      <c r="E58" s="1"/>
      <c r="F58" s="5">
        <f t="shared" ref="F58:F61" si="32">IF(D$12=0,0,D58/D$12)</f>
        <v>0</v>
      </c>
      <c r="G58" s="1"/>
      <c r="H58" s="1">
        <f>SUM(OSRRefH22_9x_0)</f>
        <v>650</v>
      </c>
      <c r="I58" s="1"/>
      <c r="J58" s="5">
        <f t="shared" ref="J58:J61" si="33">IF(H$12=0,0,H58/H$12)</f>
        <v>0</v>
      </c>
      <c r="K58" s="1"/>
      <c r="L58" s="1">
        <f t="shared" ref="L58:L61" si="34">+D58-H58</f>
        <v>20.100000000000023</v>
      </c>
      <c r="M58" s="1"/>
      <c r="N58" s="5">
        <f t="shared" ref="N58:N61" si="35">IF(H58=0,0,L58/H58)</f>
        <v>3.0923076923076959E-2</v>
      </c>
      <c r="O58" s="14"/>
      <c r="P58" s="1">
        <f>SUM(OSRRefP22_9x_0)</f>
        <v>8365.02</v>
      </c>
      <c r="Q58" s="1"/>
      <c r="R58" s="5">
        <f t="shared" ref="R58:R61" si="36">IF(P$12=0,0,P58/P$12)</f>
        <v>0</v>
      </c>
      <c r="S58" s="1"/>
      <c r="T58" s="1">
        <f>SUM(OSRRefT22_9x_0)</f>
        <v>5425</v>
      </c>
      <c r="U58" s="1"/>
      <c r="V58" s="5">
        <f t="shared" ref="V58:V61" si="37">IF(T$12=0,0,T58/T$12)</f>
        <v>0</v>
      </c>
      <c r="W58" s="1"/>
      <c r="X58" s="1">
        <f t="shared" ref="X58:X61" si="38">+P58-T58</f>
        <v>2940.0200000000004</v>
      </c>
      <c r="Y58" s="1"/>
      <c r="Z58" s="5">
        <f t="shared" ref="Z58:Z61" si="39">IF(T58=0,0,X58/T58)</f>
        <v>0.54193917050691254</v>
      </c>
    </row>
    <row r="59" spans="1:26" s="24" customFormat="1" hidden="1" outlineLevel="2" x14ac:dyDescent="0.3">
      <c r="A59" s="27"/>
      <c r="B59" s="11" t="str">
        <f>CONCATENATE("          ", "6282", " - ", "JANITORIAL/EXTERMINATOR EXPENS")</f>
        <v xml:space="preserve">          6282 - JANITORIAL/EXTERMINATOR EXPENS</v>
      </c>
      <c r="C59" s="11"/>
      <c r="D59" s="7">
        <v>670.1</v>
      </c>
      <c r="E59" s="2"/>
      <c r="F59" s="6">
        <f t="shared" si="32"/>
        <v>0</v>
      </c>
      <c r="G59" s="2"/>
      <c r="H59" s="7">
        <v>650</v>
      </c>
      <c r="I59" s="2"/>
      <c r="J59" s="6">
        <f t="shared" si="33"/>
        <v>0</v>
      </c>
      <c r="K59" s="2"/>
      <c r="L59" s="7">
        <f t="shared" si="34"/>
        <v>20.100000000000023</v>
      </c>
      <c r="M59" s="2"/>
      <c r="N59" s="6">
        <f t="shared" si="35"/>
        <v>3.0923076923076959E-2</v>
      </c>
      <c r="O59" s="11"/>
      <c r="P59" s="7">
        <v>4690.7</v>
      </c>
      <c r="Q59" s="2"/>
      <c r="R59" s="6">
        <f t="shared" si="36"/>
        <v>0</v>
      </c>
      <c r="S59" s="2"/>
      <c r="T59" s="7">
        <v>4550</v>
      </c>
      <c r="U59" s="2"/>
      <c r="V59" s="6">
        <f t="shared" si="37"/>
        <v>0</v>
      </c>
      <c r="W59" s="2"/>
      <c r="X59" s="7">
        <f t="shared" si="38"/>
        <v>140.69999999999982</v>
      </c>
      <c r="Y59" s="2"/>
      <c r="Z59" s="6">
        <f t="shared" si="39"/>
        <v>3.0923076923076883E-2</v>
      </c>
    </row>
    <row r="60" spans="1:26" s="24" customFormat="1" hidden="1" outlineLevel="2" x14ac:dyDescent="0.3">
      <c r="A60" s="27"/>
      <c r="B60" s="11" t="str">
        <f>CONCATENATE("          ", "6284", " - ", "TRASH REMOVAL EXPENSE")</f>
        <v xml:space="preserve">          6284 - TRASH REMOVAL EXPENSE</v>
      </c>
      <c r="C60" s="11"/>
      <c r="D60" s="7"/>
      <c r="E60" s="2"/>
      <c r="F60" s="6">
        <f t="shared" si="32"/>
        <v>0</v>
      </c>
      <c r="G60" s="2"/>
      <c r="H60" s="7"/>
      <c r="I60" s="2"/>
      <c r="J60" s="6">
        <f t="shared" si="33"/>
        <v>0</v>
      </c>
      <c r="K60" s="2"/>
      <c r="L60" s="7">
        <f t="shared" si="34"/>
        <v>0</v>
      </c>
      <c r="M60" s="2"/>
      <c r="N60" s="6">
        <f t="shared" si="35"/>
        <v>0</v>
      </c>
      <c r="O60" s="11"/>
      <c r="P60" s="7"/>
      <c r="Q60" s="2"/>
      <c r="R60" s="6">
        <f t="shared" si="36"/>
        <v>0</v>
      </c>
      <c r="S60" s="2"/>
      <c r="T60" s="7">
        <v>0</v>
      </c>
      <c r="U60" s="2"/>
      <c r="V60" s="6">
        <f t="shared" si="37"/>
        <v>0</v>
      </c>
      <c r="W60" s="2"/>
      <c r="X60" s="7">
        <f t="shared" si="38"/>
        <v>0</v>
      </c>
      <c r="Y60" s="2"/>
      <c r="Z60" s="6">
        <f t="shared" si="39"/>
        <v>0</v>
      </c>
    </row>
    <row r="61" spans="1:26" s="24" customFormat="1" hidden="1" outlineLevel="2" x14ac:dyDescent="0.3">
      <c r="A61" s="27"/>
      <c r="B61" s="11" t="str">
        <f>CONCATENATE("          ", "6285", " - ", "JANITORIAL SERVICES")</f>
        <v xml:space="preserve">          6285 - JANITORIAL SERVICES</v>
      </c>
      <c r="C61" s="11"/>
      <c r="D61" s="7"/>
      <c r="E61" s="2"/>
      <c r="F61" s="6">
        <f t="shared" si="32"/>
        <v>0</v>
      </c>
      <c r="G61" s="2"/>
      <c r="H61" s="7"/>
      <c r="I61" s="2"/>
      <c r="J61" s="6">
        <f t="shared" si="33"/>
        <v>0</v>
      </c>
      <c r="K61" s="2"/>
      <c r="L61" s="7">
        <f t="shared" si="34"/>
        <v>0</v>
      </c>
      <c r="M61" s="2"/>
      <c r="N61" s="6">
        <f t="shared" si="35"/>
        <v>0</v>
      </c>
      <c r="O61" s="11"/>
      <c r="P61" s="7">
        <v>3674.32</v>
      </c>
      <c r="Q61" s="2"/>
      <c r="R61" s="6">
        <f t="shared" si="36"/>
        <v>0</v>
      </c>
      <c r="S61" s="2"/>
      <c r="T61" s="7">
        <v>875</v>
      </c>
      <c r="U61" s="2"/>
      <c r="V61" s="6">
        <f t="shared" si="37"/>
        <v>0</v>
      </c>
      <c r="W61" s="2"/>
      <c r="X61" s="7">
        <f t="shared" si="38"/>
        <v>2799.32</v>
      </c>
      <c r="Y61" s="2"/>
      <c r="Z61" s="6">
        <f t="shared" si="39"/>
        <v>3.1992228571428574</v>
      </c>
    </row>
    <row r="62" spans="1:26" s="28" customFormat="1" outlineLevel="1" collapsed="1" x14ac:dyDescent="0.3">
      <c r="A62" s="29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SUM(OSRRefD22_10x_0)</f>
        <v>327.19</v>
      </c>
      <c r="E62" s="1"/>
      <c r="F62" s="5">
        <f t="shared" ref="F62:F64" si="40">IF(D$12=0,0,D62/D$12)</f>
        <v>0</v>
      </c>
      <c r="G62" s="1"/>
      <c r="H62" s="1">
        <f>SUM(OSRRefH22_10x_0)</f>
        <v>0</v>
      </c>
      <c r="I62" s="1"/>
      <c r="J62" s="5">
        <f t="shared" ref="J62:J64" si="41">IF(H$12=0,0,H62/H$12)</f>
        <v>0</v>
      </c>
      <c r="K62" s="1"/>
      <c r="L62" s="1">
        <f t="shared" ref="L62:L64" si="42">+D62-H62</f>
        <v>327.19</v>
      </c>
      <c r="M62" s="1"/>
      <c r="N62" s="5">
        <f t="shared" ref="N62:N64" si="43">IF(H62=0,0,L62/H62)</f>
        <v>0</v>
      </c>
      <c r="O62" s="14"/>
      <c r="P62" s="1">
        <f>SUM(OSRRefP22_10x_0)</f>
        <v>487.35</v>
      </c>
      <c r="Q62" s="1"/>
      <c r="R62" s="5">
        <f t="shared" ref="R62:R64" si="44">IF(P$12=0,0,P62/P$12)</f>
        <v>0</v>
      </c>
      <c r="S62" s="1"/>
      <c r="T62" s="1">
        <f>SUM(OSRRefT22_10x_0)</f>
        <v>0</v>
      </c>
      <c r="U62" s="1"/>
      <c r="V62" s="5">
        <f t="shared" ref="V62:V64" si="45">IF(T$12=0,0,T62/T$12)</f>
        <v>0</v>
      </c>
      <c r="W62" s="1"/>
      <c r="X62" s="1">
        <f t="shared" ref="X62:X64" si="46">+P62-T62</f>
        <v>487.35</v>
      </c>
      <c r="Y62" s="1"/>
      <c r="Z62" s="5">
        <f t="shared" ref="Z62:Z64" si="47">IF(T62=0,0,X62/T62)</f>
        <v>0</v>
      </c>
    </row>
    <row r="63" spans="1:26" s="24" customFormat="1" hidden="1" outlineLevel="2" x14ac:dyDescent="0.3">
      <c r="A63" s="27"/>
      <c r="B63" s="11" t="str">
        <f>CONCATENATE("          ", "6235", " - ", "COVID-19 EXPENSES")</f>
        <v xml:space="preserve">          6235 - COVID-19 EXPENSES</v>
      </c>
      <c r="C63" s="11"/>
      <c r="D63" s="7">
        <v>318.42</v>
      </c>
      <c r="E63" s="2"/>
      <c r="F63" s="6">
        <f t="shared" si="40"/>
        <v>0</v>
      </c>
      <c r="G63" s="2"/>
      <c r="H63" s="7"/>
      <c r="I63" s="2"/>
      <c r="J63" s="6">
        <f t="shared" si="41"/>
        <v>0</v>
      </c>
      <c r="K63" s="2"/>
      <c r="L63" s="7">
        <f t="shared" si="42"/>
        <v>318.42</v>
      </c>
      <c r="M63" s="2"/>
      <c r="N63" s="6">
        <f t="shared" si="43"/>
        <v>0</v>
      </c>
      <c r="O63" s="11"/>
      <c r="P63" s="7">
        <v>318.42</v>
      </c>
      <c r="Q63" s="2"/>
      <c r="R63" s="6">
        <f t="shared" si="44"/>
        <v>0</v>
      </c>
      <c r="S63" s="2"/>
      <c r="T63" s="7"/>
      <c r="U63" s="2"/>
      <c r="V63" s="6">
        <f t="shared" si="45"/>
        <v>0</v>
      </c>
      <c r="W63" s="2"/>
      <c r="X63" s="7">
        <f t="shared" si="46"/>
        <v>318.42</v>
      </c>
      <c r="Y63" s="2"/>
      <c r="Z63" s="6">
        <f t="shared" si="47"/>
        <v>0</v>
      </c>
    </row>
    <row r="64" spans="1:26" s="24" customFormat="1" hidden="1" outlineLevel="2" x14ac:dyDescent="0.3">
      <c r="A64" s="27"/>
      <c r="B64" s="11" t="str">
        <f>CONCATENATE("          ", "6241", " - ", "OFFICE EXPENSE")</f>
        <v xml:space="preserve">          6241 - OFFICE EXPENSE</v>
      </c>
      <c r="C64" s="11"/>
      <c r="D64" s="7">
        <v>8.77</v>
      </c>
      <c r="E64" s="2"/>
      <c r="F64" s="6">
        <f t="shared" si="40"/>
        <v>0</v>
      </c>
      <c r="G64" s="2"/>
      <c r="H64" s="7"/>
      <c r="I64" s="2"/>
      <c r="J64" s="6">
        <f t="shared" si="41"/>
        <v>0</v>
      </c>
      <c r="K64" s="2"/>
      <c r="L64" s="7">
        <f t="shared" si="42"/>
        <v>8.77</v>
      </c>
      <c r="M64" s="2"/>
      <c r="N64" s="6">
        <f t="shared" si="43"/>
        <v>0</v>
      </c>
      <c r="O64" s="11"/>
      <c r="P64" s="7">
        <v>168.93</v>
      </c>
      <c r="Q64" s="2"/>
      <c r="R64" s="6">
        <f t="shared" si="44"/>
        <v>0</v>
      </c>
      <c r="S64" s="2"/>
      <c r="T64" s="7"/>
      <c r="U64" s="2"/>
      <c r="V64" s="6">
        <f t="shared" si="45"/>
        <v>0</v>
      </c>
      <c r="W64" s="2"/>
      <c r="X64" s="7">
        <f t="shared" si="46"/>
        <v>168.93</v>
      </c>
      <c r="Y64" s="2"/>
      <c r="Z64" s="6">
        <f t="shared" si="47"/>
        <v>0</v>
      </c>
    </row>
    <row r="65" spans="1:26" s="28" customFormat="1" outlineLevel="1" collapsed="1" x14ac:dyDescent="0.3">
      <c r="A65" s="29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SUM(OSRRefD22_11x_0)</f>
        <v>186.9</v>
      </c>
      <c r="E65" s="1"/>
      <c r="F65" s="5">
        <f t="shared" ref="F65:F72" si="48">IF(D$12=0,0,D65/D$12)</f>
        <v>0</v>
      </c>
      <c r="G65" s="1"/>
      <c r="H65" s="1">
        <f>SUM(OSRRefH22_11x_0)</f>
        <v>0</v>
      </c>
      <c r="I65" s="1"/>
      <c r="J65" s="5">
        <f t="shared" ref="J65:J72" si="49">IF(H$12=0,0,H65/H$12)</f>
        <v>0</v>
      </c>
      <c r="K65" s="1"/>
      <c r="L65" s="1">
        <f t="shared" ref="L65:L72" si="50">+D65-H65</f>
        <v>186.9</v>
      </c>
      <c r="M65" s="1"/>
      <c r="N65" s="5">
        <f t="shared" ref="N65:N72" si="51">IF(H65=0,0,L65/H65)</f>
        <v>0</v>
      </c>
      <c r="O65" s="14"/>
      <c r="P65" s="1">
        <f>SUM(OSRRefP22_11x_0)</f>
        <v>1350.81</v>
      </c>
      <c r="Q65" s="1"/>
      <c r="R65" s="5">
        <f t="shared" ref="R65:R72" si="52">IF(P$12=0,0,P65/P$12)</f>
        <v>0</v>
      </c>
      <c r="S65" s="1"/>
      <c r="T65" s="1">
        <f>SUM(OSRRefT22_11x_0)</f>
        <v>0</v>
      </c>
      <c r="U65" s="1"/>
      <c r="V65" s="5">
        <f t="shared" ref="V65:V72" si="53">IF(T$12=0,0,T65/T$12)</f>
        <v>0</v>
      </c>
      <c r="W65" s="1"/>
      <c r="X65" s="1">
        <f t="shared" ref="X65:X72" si="54">+P65-T65</f>
        <v>1350.81</v>
      </c>
      <c r="Y65" s="1"/>
      <c r="Z65" s="5">
        <f t="shared" ref="Z65:Z72" si="55">IF(T65=0,0,X65/T65)</f>
        <v>0</v>
      </c>
    </row>
    <row r="66" spans="1:26" s="24" customFormat="1" hidden="1" outlineLevel="2" x14ac:dyDescent="0.3">
      <c r="A66" s="27"/>
      <c r="B66" s="11" t="str">
        <f>CONCATENATE("          ", "6309", " - ", "TELEPHONE")</f>
        <v xml:space="preserve">          6309 - TELEPHONE</v>
      </c>
      <c r="C66" s="11"/>
      <c r="D66" s="7">
        <v>186.9</v>
      </c>
      <c r="E66" s="2"/>
      <c r="F66" s="6">
        <f t="shared" si="48"/>
        <v>0</v>
      </c>
      <c r="G66" s="2"/>
      <c r="H66" s="7"/>
      <c r="I66" s="2"/>
      <c r="J66" s="6">
        <f t="shared" si="49"/>
        <v>0</v>
      </c>
      <c r="K66" s="2"/>
      <c r="L66" s="7">
        <f t="shared" si="50"/>
        <v>186.9</v>
      </c>
      <c r="M66" s="2"/>
      <c r="N66" s="6">
        <f t="shared" si="51"/>
        <v>0</v>
      </c>
      <c r="O66" s="11"/>
      <c r="P66" s="7">
        <v>1350.81</v>
      </c>
      <c r="Q66" s="2"/>
      <c r="R66" s="6">
        <f t="shared" si="52"/>
        <v>0</v>
      </c>
      <c r="S66" s="2"/>
      <c r="T66" s="7"/>
      <c r="U66" s="2"/>
      <c r="V66" s="6">
        <f t="shared" si="53"/>
        <v>0</v>
      </c>
      <c r="W66" s="2"/>
      <c r="X66" s="7">
        <f t="shared" si="54"/>
        <v>1350.81</v>
      </c>
      <c r="Y66" s="2"/>
      <c r="Z66" s="6">
        <f t="shared" si="55"/>
        <v>0</v>
      </c>
    </row>
    <row r="67" spans="1:26" s="28" customFormat="1" outlineLevel="1" collapsed="1" x14ac:dyDescent="0.3">
      <c r="A67" s="29"/>
      <c r="B67" s="14" t="str">
        <f>CONCATENATE("     ","Training                                          ")</f>
        <v xml:space="preserve">     Training                                          </v>
      </c>
      <c r="C67" s="14"/>
      <c r="D67" s="1">
        <f>SUM(OSRRefD22_12x_0)</f>
        <v>0</v>
      </c>
      <c r="E67" s="1"/>
      <c r="F67" s="5">
        <f t="shared" si="48"/>
        <v>0</v>
      </c>
      <c r="G67" s="1"/>
      <c r="H67" s="1">
        <f>SUM(OSRRefH22_12x_0)</f>
        <v>600</v>
      </c>
      <c r="I67" s="1"/>
      <c r="J67" s="5">
        <f t="shared" si="49"/>
        <v>0</v>
      </c>
      <c r="K67" s="1"/>
      <c r="L67" s="1">
        <f t="shared" si="50"/>
        <v>-600</v>
      </c>
      <c r="M67" s="1"/>
      <c r="N67" s="5">
        <f t="shared" si="51"/>
        <v>-1</v>
      </c>
      <c r="O67" s="14"/>
      <c r="P67" s="1">
        <f>SUM(OSRRefP22_12x_0)</f>
        <v>0</v>
      </c>
      <c r="Q67" s="1"/>
      <c r="R67" s="5">
        <f t="shared" si="52"/>
        <v>0</v>
      </c>
      <c r="S67" s="1"/>
      <c r="T67" s="1">
        <f>SUM(OSRRefT22_12x_0)</f>
        <v>600</v>
      </c>
      <c r="U67" s="1"/>
      <c r="V67" s="5">
        <f t="shared" si="53"/>
        <v>0</v>
      </c>
      <c r="W67" s="1"/>
      <c r="X67" s="1">
        <f t="shared" si="54"/>
        <v>-600</v>
      </c>
      <c r="Y67" s="1"/>
      <c r="Z67" s="5">
        <f t="shared" si="55"/>
        <v>-1</v>
      </c>
    </row>
    <row r="68" spans="1:26" s="24" customFormat="1" hidden="1" outlineLevel="2" x14ac:dyDescent="0.3">
      <c r="A68" s="27"/>
      <c r="B68" s="11" t="str">
        <f>CONCATENATE("          ", "6376", " - ", "TRAINING")</f>
        <v xml:space="preserve">          6376 - TRAINING</v>
      </c>
      <c r="C68" s="11"/>
      <c r="D68" s="7"/>
      <c r="E68" s="2"/>
      <c r="F68" s="6">
        <f t="shared" si="48"/>
        <v>0</v>
      </c>
      <c r="G68" s="2"/>
      <c r="H68" s="7">
        <v>600</v>
      </c>
      <c r="I68" s="2"/>
      <c r="J68" s="6">
        <f t="shared" si="49"/>
        <v>0</v>
      </c>
      <c r="K68" s="2"/>
      <c r="L68" s="7">
        <f t="shared" si="50"/>
        <v>-600</v>
      </c>
      <c r="M68" s="2"/>
      <c r="N68" s="6">
        <f t="shared" si="51"/>
        <v>-1</v>
      </c>
      <c r="O68" s="11"/>
      <c r="P68" s="7"/>
      <c r="Q68" s="2"/>
      <c r="R68" s="6">
        <f t="shared" si="52"/>
        <v>0</v>
      </c>
      <c r="S68" s="2"/>
      <c r="T68" s="7">
        <v>600</v>
      </c>
      <c r="U68" s="2"/>
      <c r="V68" s="6">
        <f t="shared" si="53"/>
        <v>0</v>
      </c>
      <c r="W68" s="2"/>
      <c r="X68" s="7">
        <f t="shared" si="54"/>
        <v>-600</v>
      </c>
      <c r="Y68" s="2"/>
      <c r="Z68" s="6">
        <f t="shared" si="55"/>
        <v>-1</v>
      </c>
    </row>
    <row r="69" spans="1:26" s="28" customFormat="1" outlineLevel="1" collapsed="1" x14ac:dyDescent="0.3">
      <c r="A69" s="29"/>
      <c r="B69" s="14" t="str">
        <f>CONCATENATE("     ","Travel                                            ")</f>
        <v xml:space="preserve">     Travel                                            </v>
      </c>
      <c r="C69" s="14"/>
      <c r="D69" s="1">
        <f>SUM(OSRRefD22_13x_0)</f>
        <v>0</v>
      </c>
      <c r="E69" s="1"/>
      <c r="F69" s="5">
        <f t="shared" si="48"/>
        <v>0</v>
      </c>
      <c r="G69" s="1"/>
      <c r="H69" s="1">
        <f>SUM(OSRRefH22_13x_0)</f>
        <v>0</v>
      </c>
      <c r="I69" s="1"/>
      <c r="J69" s="5">
        <f t="shared" si="49"/>
        <v>0</v>
      </c>
      <c r="K69" s="1"/>
      <c r="L69" s="1">
        <f t="shared" si="50"/>
        <v>0</v>
      </c>
      <c r="M69" s="1"/>
      <c r="N69" s="5">
        <f t="shared" si="51"/>
        <v>0</v>
      </c>
      <c r="O69" s="14"/>
      <c r="P69" s="1">
        <f>SUM(OSRRefP22_13x_0)</f>
        <v>18.59</v>
      </c>
      <c r="Q69" s="1"/>
      <c r="R69" s="5">
        <f t="shared" si="52"/>
        <v>0</v>
      </c>
      <c r="S69" s="1"/>
      <c r="T69" s="1">
        <f>SUM(OSRRefT22_13x_0)</f>
        <v>0</v>
      </c>
      <c r="U69" s="1"/>
      <c r="V69" s="5">
        <f t="shared" si="53"/>
        <v>0</v>
      </c>
      <c r="W69" s="1"/>
      <c r="X69" s="1">
        <f t="shared" si="54"/>
        <v>18.59</v>
      </c>
      <c r="Y69" s="1"/>
      <c r="Z69" s="5">
        <f t="shared" si="55"/>
        <v>0</v>
      </c>
    </row>
    <row r="70" spans="1:26" s="24" customFormat="1" hidden="1" outlineLevel="2" x14ac:dyDescent="0.3">
      <c r="A70" s="27"/>
      <c r="B70" s="11" t="str">
        <f>CONCATENATE("          ", "6292", " - ", "TRAVEL/CONFERENCE")</f>
        <v xml:space="preserve">          6292 - TRAVEL/CONFERENCE</v>
      </c>
      <c r="C70" s="11"/>
      <c r="D70" s="7"/>
      <c r="E70" s="2"/>
      <c r="F70" s="6">
        <f t="shared" si="48"/>
        <v>0</v>
      </c>
      <c r="G70" s="2"/>
      <c r="H70" s="7"/>
      <c r="I70" s="2"/>
      <c r="J70" s="6">
        <f t="shared" si="49"/>
        <v>0</v>
      </c>
      <c r="K70" s="2"/>
      <c r="L70" s="7">
        <f t="shared" si="50"/>
        <v>0</v>
      </c>
      <c r="M70" s="2"/>
      <c r="N70" s="6">
        <f t="shared" si="51"/>
        <v>0</v>
      </c>
      <c r="O70" s="11"/>
      <c r="P70" s="7">
        <v>18.59</v>
      </c>
      <c r="Q70" s="2"/>
      <c r="R70" s="6">
        <f t="shared" si="52"/>
        <v>0</v>
      </c>
      <c r="S70" s="2"/>
      <c r="T70" s="7"/>
      <c r="U70" s="2"/>
      <c r="V70" s="6">
        <f t="shared" si="53"/>
        <v>0</v>
      </c>
      <c r="W70" s="2"/>
      <c r="X70" s="7">
        <f t="shared" si="54"/>
        <v>18.59</v>
      </c>
      <c r="Y70" s="2"/>
      <c r="Z70" s="6">
        <f t="shared" si="55"/>
        <v>0</v>
      </c>
    </row>
    <row r="71" spans="1:26" s="28" customFormat="1" outlineLevel="1" collapsed="1" x14ac:dyDescent="0.3">
      <c r="A71" s="29"/>
      <c r="B71" s="14" t="str">
        <f>CONCATENATE("     ","Utilities                                         ")</f>
        <v xml:space="preserve">     Utilities                                         </v>
      </c>
      <c r="C71" s="14"/>
      <c r="D71" s="1">
        <f>SUM(OSRRefD22_14x_0)</f>
        <v>5550</v>
      </c>
      <c r="E71" s="1"/>
      <c r="F71" s="5">
        <f t="shared" si="48"/>
        <v>0</v>
      </c>
      <c r="G71" s="1"/>
      <c r="H71" s="1">
        <f>SUM(OSRRefH22_14x_0)</f>
        <v>5550</v>
      </c>
      <c r="I71" s="1"/>
      <c r="J71" s="5">
        <f t="shared" si="49"/>
        <v>0</v>
      </c>
      <c r="K71" s="1"/>
      <c r="L71" s="1">
        <f t="shared" si="50"/>
        <v>0</v>
      </c>
      <c r="M71" s="1"/>
      <c r="N71" s="5">
        <f t="shared" si="51"/>
        <v>0</v>
      </c>
      <c r="O71" s="14"/>
      <c r="P71" s="1">
        <f>SUM(OSRRefP22_14x_0)</f>
        <v>38850</v>
      </c>
      <c r="Q71" s="1"/>
      <c r="R71" s="5">
        <f t="shared" si="52"/>
        <v>0</v>
      </c>
      <c r="S71" s="1"/>
      <c r="T71" s="1">
        <f>SUM(OSRRefT22_14x_0)</f>
        <v>38850</v>
      </c>
      <c r="U71" s="1"/>
      <c r="V71" s="5">
        <f t="shared" si="53"/>
        <v>0</v>
      </c>
      <c r="W71" s="1"/>
      <c r="X71" s="1">
        <f t="shared" si="54"/>
        <v>0</v>
      </c>
      <c r="Y71" s="1"/>
      <c r="Z71" s="5">
        <f t="shared" si="55"/>
        <v>0</v>
      </c>
    </row>
    <row r="72" spans="1:26" s="24" customFormat="1" hidden="1" outlineLevel="2" x14ac:dyDescent="0.3">
      <c r="A72" s="27"/>
      <c r="B72" s="11" t="str">
        <f>CONCATENATE("          ", "6274", " - ", "UTILITIES")</f>
        <v xml:space="preserve">          6274 - UTILITIES</v>
      </c>
      <c r="C72" s="11"/>
      <c r="D72" s="7">
        <v>5550</v>
      </c>
      <c r="E72" s="2"/>
      <c r="F72" s="6">
        <f t="shared" si="48"/>
        <v>0</v>
      </c>
      <c r="G72" s="2"/>
      <c r="H72" s="7">
        <v>5550</v>
      </c>
      <c r="I72" s="2"/>
      <c r="J72" s="6">
        <f t="shared" si="49"/>
        <v>0</v>
      </c>
      <c r="K72" s="2"/>
      <c r="L72" s="7">
        <f t="shared" si="50"/>
        <v>0</v>
      </c>
      <c r="M72" s="2"/>
      <c r="N72" s="6">
        <f t="shared" si="51"/>
        <v>0</v>
      </c>
      <c r="O72" s="11"/>
      <c r="P72" s="7">
        <v>38850</v>
      </c>
      <c r="Q72" s="2"/>
      <c r="R72" s="6">
        <f t="shared" si="52"/>
        <v>0</v>
      </c>
      <c r="S72" s="2"/>
      <c r="T72" s="7">
        <v>38850</v>
      </c>
      <c r="U72" s="2"/>
      <c r="V72" s="6">
        <f t="shared" si="53"/>
        <v>0</v>
      </c>
      <c r="W72" s="2"/>
      <c r="X72" s="7">
        <f t="shared" si="54"/>
        <v>0</v>
      </c>
      <c r="Y72" s="2"/>
      <c r="Z72" s="6">
        <f t="shared" si="55"/>
        <v>0</v>
      </c>
    </row>
    <row r="73" spans="1:26" s="55" customFormat="1" x14ac:dyDescent="0.3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collapsed="1" x14ac:dyDescent="0.3">
      <c r="A74" s="10"/>
      <c r="B74" s="25" t="s">
        <v>293</v>
      </c>
      <c r="C74" s="10"/>
      <c r="D74" s="4">
        <f>SUM(OSRRefD25x_0)</f>
        <v>287.27</v>
      </c>
      <c r="E74" s="4"/>
      <c r="F74" s="12">
        <f t="shared" ref="F74:F75" si="56">IF(D$12=0,0,D74/D$12)</f>
        <v>0</v>
      </c>
      <c r="G74" s="4"/>
      <c r="H74" s="4">
        <f>SUM(OSRRefH25x_0)</f>
        <v>0</v>
      </c>
      <c r="I74" s="4"/>
      <c r="J74" s="12">
        <f t="shared" ref="J74:J75" si="57">IF(H$12=0,0,H74/H$12)</f>
        <v>0</v>
      </c>
      <c r="K74" s="4"/>
      <c r="L74" s="4">
        <f t="shared" ref="L74:L75" si="58">+D74-H74</f>
        <v>287.27</v>
      </c>
      <c r="M74" s="4"/>
      <c r="N74" s="12">
        <f t="shared" ref="N74:N75" si="59">IF(H74=0,0,L74/H74)</f>
        <v>0</v>
      </c>
      <c r="O74" s="10"/>
      <c r="P74" s="4">
        <f>SUM(OSRRefP25x_0)</f>
        <v>14577.17</v>
      </c>
      <c r="Q74" s="4"/>
      <c r="R74" s="12">
        <f t="shared" ref="R74:R75" si="60">IF(P$12=0,0,P74/P$12)</f>
        <v>0</v>
      </c>
      <c r="S74" s="4"/>
      <c r="T74" s="4">
        <f>SUM(OSRRefT25x_0)</f>
        <v>0</v>
      </c>
      <c r="U74" s="4"/>
      <c r="V74" s="12">
        <f t="shared" ref="V74:V75" si="61">IF(T$12=0,0,T74/T$12)</f>
        <v>0</v>
      </c>
      <c r="W74" s="4"/>
      <c r="X74" s="4">
        <f t="shared" ref="X74:X75" si="62">+P74-T74</f>
        <v>14577.17</v>
      </c>
      <c r="Y74" s="4"/>
      <c r="Z74" s="12">
        <f t="shared" ref="Z74:Z75" si="63">IF(T74=0,0,X74/T74)</f>
        <v>0</v>
      </c>
    </row>
    <row r="75" spans="1:26" s="24" customFormat="1" hidden="1" outlineLevel="1" x14ac:dyDescent="0.3">
      <c r="A75" s="44"/>
      <c r="B75" s="11" t="str">
        <f>CONCATENATE("          ", "9150", " - ", "MISC. INCOME")</f>
        <v xml:space="preserve">          9150 - MISC. INCOME</v>
      </c>
      <c r="C75" s="11"/>
      <c r="D75" s="2">
        <f>--287.27</f>
        <v>287.27</v>
      </c>
      <c r="E75" s="2"/>
      <c r="F75" s="19">
        <f t="shared" si="56"/>
        <v>0</v>
      </c>
      <c r="G75" s="2"/>
      <c r="H75" s="2"/>
      <c r="I75" s="2"/>
      <c r="J75" s="19">
        <f t="shared" si="57"/>
        <v>0</v>
      </c>
      <c r="K75" s="2"/>
      <c r="L75" s="2">
        <f t="shared" si="58"/>
        <v>287.27</v>
      </c>
      <c r="M75" s="2"/>
      <c r="N75" s="19">
        <f t="shared" si="59"/>
        <v>0</v>
      </c>
      <c r="O75" s="11"/>
      <c r="P75" s="2">
        <f>--14577.17</f>
        <v>14577.17</v>
      </c>
      <c r="Q75" s="2"/>
      <c r="R75" s="19">
        <f t="shared" si="60"/>
        <v>0</v>
      </c>
      <c r="S75" s="2"/>
      <c r="T75" s="2"/>
      <c r="U75" s="2"/>
      <c r="V75" s="19">
        <f t="shared" si="61"/>
        <v>0</v>
      </c>
      <c r="W75" s="2"/>
      <c r="X75" s="2">
        <f t="shared" si="62"/>
        <v>14577.17</v>
      </c>
      <c r="Y75" s="2"/>
      <c r="Z75" s="19">
        <f t="shared" si="63"/>
        <v>0</v>
      </c>
    </row>
    <row r="76" spans="1:26" x14ac:dyDescent="0.3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3">
      <c r="A77" s="10"/>
      <c r="B77" s="26" t="s">
        <v>277</v>
      </c>
      <c r="C77" s="26"/>
      <c r="D77" s="21">
        <f>+D16-D18+D74</f>
        <v>-59467.989999999991</v>
      </c>
      <c r="E77" s="13"/>
      <c r="F77" s="22">
        <f>IF(D$12=0,0,D77/D$12)</f>
        <v>0</v>
      </c>
      <c r="G77" s="13"/>
      <c r="H77" s="21">
        <f>+H16-H18+H74</f>
        <v>-55882.665538461551</v>
      </c>
      <c r="I77" s="13"/>
      <c r="J77" s="22">
        <f>IF(H$12=0,0,H77/H$12)</f>
        <v>0</v>
      </c>
      <c r="K77" s="15"/>
      <c r="L77" s="21">
        <f>+D77-H77</f>
        <v>-3585.3244615384392</v>
      </c>
      <c r="M77" s="15"/>
      <c r="N77" s="22">
        <f>IF(H77=0,0,L77/H77)</f>
        <v>6.4158078842370542E-2</v>
      </c>
      <c r="O77" s="25"/>
      <c r="P77" s="21">
        <f>+P16-P18+P74</f>
        <v>-340363.77000000008</v>
      </c>
      <c r="Q77" s="13"/>
      <c r="R77" s="22">
        <f>IF(P$12=0,0,P77/P$12)</f>
        <v>0</v>
      </c>
      <c r="S77" s="13"/>
      <c r="T77" s="21">
        <f>+T16-T18+T74</f>
        <v>-320111.52633846155</v>
      </c>
      <c r="U77" s="13"/>
      <c r="V77" s="22">
        <f>IF(T$12=0,0,T77/T$12)</f>
        <v>0</v>
      </c>
      <c r="W77" s="15"/>
      <c r="X77" s="21">
        <f>+P77-T77</f>
        <v>-20252.243661538523</v>
      </c>
      <c r="Y77" s="15"/>
      <c r="Z77" s="22">
        <f>IF(T77=0,0,X77/T77)</f>
        <v>6.3266211914298084E-2</v>
      </c>
    </row>
    <row r="78" spans="1:26" x14ac:dyDescent="0.3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3">
      <c r="A79" s="52"/>
      <c r="B79" s="10" t="s">
        <v>128</v>
      </c>
      <c r="C79" s="10"/>
      <c r="D79" s="4"/>
      <c r="E79" s="4"/>
      <c r="F79" s="12">
        <f>IF(D$12=0,0,D79/D$12)</f>
        <v>0</v>
      </c>
      <c r="G79" s="4"/>
      <c r="H79" s="4"/>
      <c r="I79" s="4"/>
      <c r="J79" s="12">
        <f>IF(H$12=0,0,H79/H$12)</f>
        <v>0</v>
      </c>
      <c r="K79" s="4"/>
      <c r="L79" s="4">
        <f>+D79-H79</f>
        <v>0</v>
      </c>
      <c r="M79" s="4"/>
      <c r="N79" s="12">
        <f>IF(H79=0,0,L79/H79)</f>
        <v>0</v>
      </c>
      <c r="O79" s="10"/>
      <c r="P79" s="4"/>
      <c r="Q79" s="4"/>
      <c r="R79" s="12">
        <f>IF(P$12=0,0,P79/P$12)</f>
        <v>0</v>
      </c>
      <c r="S79" s="4"/>
      <c r="T79" s="4"/>
      <c r="U79" s="4"/>
      <c r="V79" s="12">
        <f>IF(T$12=0,0,T79/T$12)</f>
        <v>0</v>
      </c>
      <c r="W79" s="4"/>
      <c r="X79" s="4">
        <f>+P79-T79</f>
        <v>0</v>
      </c>
      <c r="Y79" s="4"/>
      <c r="Z79" s="12">
        <f>IF(T79=0,0,X79/T79)</f>
        <v>0</v>
      </c>
    </row>
    <row r="80" spans="1:26" x14ac:dyDescent="0.3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" thickBot="1" x14ac:dyDescent="0.35">
      <c r="A81" s="10"/>
      <c r="B81" s="26" t="s">
        <v>126</v>
      </c>
      <c r="C81" s="26"/>
      <c r="D81" s="32">
        <f>+D77-D79</f>
        <v>-59467.989999999991</v>
      </c>
      <c r="E81" s="13"/>
      <c r="F81" s="31">
        <f>IF(D$12=0,0,D81/D$12)</f>
        <v>0</v>
      </c>
      <c r="G81" s="13"/>
      <c r="H81" s="32">
        <f>+H77-H79</f>
        <v>-55882.665538461551</v>
      </c>
      <c r="I81" s="13"/>
      <c r="J81" s="31">
        <f>IF(H$12=0,0,H81/H$12)</f>
        <v>0</v>
      </c>
      <c r="K81" s="15"/>
      <c r="L81" s="32">
        <f>D81-H81</f>
        <v>-3585.3244615384392</v>
      </c>
      <c r="M81" s="15"/>
      <c r="N81" s="31">
        <f>IF(H81=0,0,L81/H81)</f>
        <v>6.4158078842370542E-2</v>
      </c>
      <c r="O81" s="25"/>
      <c r="P81" s="32">
        <f>+P77-P79</f>
        <v>-340363.77000000008</v>
      </c>
      <c r="Q81" s="13"/>
      <c r="R81" s="31">
        <f>IF(P$12=0,0,P81/P$12)</f>
        <v>0</v>
      </c>
      <c r="S81" s="13"/>
      <c r="T81" s="32">
        <f>+T77-T79</f>
        <v>-320111.52633846155</v>
      </c>
      <c r="U81" s="13"/>
      <c r="V81" s="31">
        <f>IF(T$12=0,0,T81/T$12)</f>
        <v>0</v>
      </c>
      <c r="W81" s="15"/>
      <c r="X81" s="32">
        <f>P81-T81</f>
        <v>-20252.243661538523</v>
      </c>
      <c r="Y81" s="15"/>
      <c r="Z81" s="31">
        <f>IF(T81=0,0,X81/T81)</f>
        <v>6.3266211914298084E-2</v>
      </c>
    </row>
    <row r="82" spans="1:26" ht="15" thickTop="1" x14ac:dyDescent="0.3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3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" thickBot="1" x14ac:dyDescent="0.35">
      <c r="A84" s="10"/>
      <c r="B84" s="26" t="s">
        <v>294</v>
      </c>
      <c r="C84" s="26"/>
      <c r="D84" s="34">
        <f>SUM(D81:D83)</f>
        <v>-59467.989999999991</v>
      </c>
      <c r="E84" s="13"/>
      <c r="F84" s="35">
        <f>IF(D$12=0,0,D84/D$12)</f>
        <v>0</v>
      </c>
      <c r="G84" s="13"/>
      <c r="H84" s="34">
        <f>SUM(H81:H83)</f>
        <v>-55882.665538461551</v>
      </c>
      <c r="I84" s="13"/>
      <c r="J84" s="35">
        <f>IF(H$12=0,0,H84/H$12)</f>
        <v>0</v>
      </c>
      <c r="K84" s="15"/>
      <c r="L84" s="34">
        <f>+D84-H84</f>
        <v>-3585.3244615384392</v>
      </c>
      <c r="M84" s="15"/>
      <c r="N84" s="35">
        <f>IF(H84=0,0,L84/H84)</f>
        <v>6.4158078842370542E-2</v>
      </c>
      <c r="O84" s="25"/>
      <c r="P84" s="34">
        <f>SUM(P81:P83)</f>
        <v>-340363.77000000008</v>
      </c>
      <c r="Q84" s="13"/>
      <c r="R84" s="35">
        <f>IF(P$12=0,0,P84/P$12)</f>
        <v>0</v>
      </c>
      <c r="S84" s="13"/>
      <c r="T84" s="34">
        <f>SUM(T81:T83)</f>
        <v>-320111.52633846155</v>
      </c>
      <c r="U84" s="13"/>
      <c r="V84" s="35">
        <f>IF(T$12=0,0,T84/T$12)</f>
        <v>0</v>
      </c>
      <c r="W84" s="15"/>
      <c r="X84" s="34">
        <f>+P84-T84</f>
        <v>-20252.243661538523</v>
      </c>
      <c r="Y84" s="15"/>
      <c r="Z84" s="35">
        <f>IF(T84=0,0,X84/T84)</f>
        <v>6.3266211914298084E-2</v>
      </c>
    </row>
    <row r="85" spans="1:26" ht="15" thickTop="1" x14ac:dyDescent="0.3">
      <c r="A85" s="9"/>
      <c r="C85" s="9"/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3">
      <c r="A86" s="9"/>
      <c r="B86" s="53">
        <v>44604.019995405091</v>
      </c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3">
      <c r="A87" s="9"/>
      <c r="B87" s="63" t="s">
        <v>56</v>
      </c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3">
      <c r="A88" s="9"/>
      <c r="B88" s="58"/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3"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92D050"/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","412", " - ", "Chartroom")</f>
        <v>Department 412 - Chartroom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577.36</v>
      </c>
      <c r="E18" s="20"/>
      <c r="F18" s="33">
        <f t="shared" ref="F18:F26" si="0">IF(D$12=0,0,D18/D$12)</f>
        <v>0</v>
      </c>
      <c r="G18" s="20"/>
      <c r="H18" s="20">
        <f>SUM(OSRRefH22x_0)</f>
        <v>577</v>
      </c>
      <c r="I18" s="20"/>
      <c r="J18" s="33">
        <f t="shared" ref="J18:J26" si="1">IF(H$12=0,0,H18/H$12)</f>
        <v>0</v>
      </c>
      <c r="K18" s="4"/>
      <c r="L18" s="20">
        <f t="shared" ref="L18:L26" si="2">+D18-H18</f>
        <v>0.36000000000001364</v>
      </c>
      <c r="M18" s="4"/>
      <c r="N18" s="33">
        <f t="shared" ref="N18:N26" si="3">IF(H18=0,0,L18/H18)</f>
        <v>6.2391681109187809E-4</v>
      </c>
      <c r="O18" s="10"/>
      <c r="P18" s="20">
        <f>SUM(OSRRefP22x_0)</f>
        <v>4300.8200000000006</v>
      </c>
      <c r="Q18" s="20"/>
      <c r="R18" s="33">
        <f t="shared" ref="R18:R26" si="4">IF(P$12=0,0,P18/P$12)</f>
        <v>0</v>
      </c>
      <c r="S18" s="20"/>
      <c r="T18" s="20">
        <f>SUM(OSRRefT22x_0)</f>
        <v>4039</v>
      </c>
      <c r="U18" s="20"/>
      <c r="V18" s="33">
        <f t="shared" ref="V18:V26" si="5">IF(T$12=0,0,T18/T$12)</f>
        <v>0</v>
      </c>
      <c r="W18" s="4"/>
      <c r="X18" s="20">
        <f t="shared" ref="X18:X26" si="6">+P18-T18</f>
        <v>261.82000000000062</v>
      </c>
      <c r="Y18" s="4"/>
      <c r="Z18" s="33">
        <f t="shared" ref="Z18:Z26" si="7">IF(T18=0,0,X18/T18)</f>
        <v>6.4822975984154652E-2</v>
      </c>
    </row>
    <row r="19" spans="1:26" s="28" customFormat="1" outlineLevel="1" collapsed="1" x14ac:dyDescent="0.3">
      <c r="A19" s="29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577.36</v>
      </c>
      <c r="E19" s="1"/>
      <c r="F19" s="5">
        <f t="shared" si="0"/>
        <v>0</v>
      </c>
      <c r="G19" s="1"/>
      <c r="H19" s="1">
        <f>SUM(OSRRefH22_0x_0)</f>
        <v>577</v>
      </c>
      <c r="I19" s="1"/>
      <c r="J19" s="5">
        <f t="shared" si="1"/>
        <v>0</v>
      </c>
      <c r="K19" s="1"/>
      <c r="L19" s="1">
        <f t="shared" si="2"/>
        <v>0.36000000000001364</v>
      </c>
      <c r="M19" s="1"/>
      <c r="N19" s="5">
        <f t="shared" si="3"/>
        <v>6.2391681109187809E-4</v>
      </c>
      <c r="O19" s="14"/>
      <c r="P19" s="1">
        <f>SUM(OSRRefP22_0x_0)</f>
        <v>4041.52</v>
      </c>
      <c r="Q19" s="1"/>
      <c r="R19" s="5">
        <f t="shared" si="4"/>
        <v>0</v>
      </c>
      <c r="S19" s="1"/>
      <c r="T19" s="1">
        <f>SUM(OSRRefT22_0x_0)</f>
        <v>4039</v>
      </c>
      <c r="U19" s="1"/>
      <c r="V19" s="5">
        <f t="shared" si="5"/>
        <v>0</v>
      </c>
      <c r="W19" s="1"/>
      <c r="X19" s="1">
        <f t="shared" si="6"/>
        <v>2.5199999999999818</v>
      </c>
      <c r="Y19" s="1"/>
      <c r="Z19" s="5">
        <f t="shared" si="7"/>
        <v>6.239168110918499E-4</v>
      </c>
    </row>
    <row r="20" spans="1:26" s="24" customFormat="1" hidden="1" outlineLevel="2" x14ac:dyDescent="0.3">
      <c r="A20" s="27"/>
      <c r="B20" s="11" t="str">
        <f>CONCATENATE("          ", "6322", " - ", "EQUIPMENT DEPRECIATION EXPENSE")</f>
        <v xml:space="preserve">          6322 - EQUIPMENT DEPRECIATION EXPENSE</v>
      </c>
      <c r="C20" s="11"/>
      <c r="D20" s="7">
        <v>577.36</v>
      </c>
      <c r="E20" s="2"/>
      <c r="F20" s="6">
        <f t="shared" si="0"/>
        <v>0</v>
      </c>
      <c r="G20" s="2"/>
      <c r="H20" s="7">
        <v>577</v>
      </c>
      <c r="I20" s="2"/>
      <c r="J20" s="6">
        <f t="shared" si="1"/>
        <v>0</v>
      </c>
      <c r="K20" s="2"/>
      <c r="L20" s="7">
        <f t="shared" si="2"/>
        <v>0.36000000000001364</v>
      </c>
      <c r="M20" s="2"/>
      <c r="N20" s="6">
        <f t="shared" si="3"/>
        <v>6.2391681109187809E-4</v>
      </c>
      <c r="O20" s="11"/>
      <c r="P20" s="7">
        <v>4041.52</v>
      </c>
      <c r="Q20" s="2"/>
      <c r="R20" s="6">
        <f t="shared" si="4"/>
        <v>0</v>
      </c>
      <c r="S20" s="2"/>
      <c r="T20" s="7">
        <v>4039</v>
      </c>
      <c r="U20" s="2"/>
      <c r="V20" s="6">
        <f t="shared" si="5"/>
        <v>0</v>
      </c>
      <c r="W20" s="2"/>
      <c r="X20" s="7">
        <f t="shared" si="6"/>
        <v>2.5199999999999818</v>
      </c>
      <c r="Y20" s="2"/>
      <c r="Z20" s="6">
        <f t="shared" si="7"/>
        <v>6.239168110918499E-4</v>
      </c>
    </row>
    <row r="21" spans="1:26" s="28" customFormat="1" outlineLevel="1" collapsed="1" x14ac:dyDescent="0.3">
      <c r="A21" s="29"/>
      <c r="B21" s="14" t="str">
        <f>CONCATENATE("     ","Repair and Maintenance                            ")</f>
        <v xml:space="preserve">     Repair and Maintenance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123.7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123.7</v>
      </c>
      <c r="Y21" s="1"/>
      <c r="Z21" s="5">
        <f t="shared" si="7"/>
        <v>0</v>
      </c>
    </row>
    <row r="22" spans="1:26" s="24" customFormat="1" hidden="1" outlineLevel="2" x14ac:dyDescent="0.3">
      <c r="A22" s="27"/>
      <c r="B22" s="11" t="str">
        <f>CONCATENATE("          ", "6373", " - ", "MAINTENANCE CONTRACTS")</f>
        <v xml:space="preserve">          6373 - MAINTENANCE CONTRACTS</v>
      </c>
      <c r="C22" s="11"/>
      <c r="D22" s="7"/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>
        <v>123.7</v>
      </c>
      <c r="Q22" s="2"/>
      <c r="R22" s="6">
        <f t="shared" si="4"/>
        <v>0</v>
      </c>
      <c r="S22" s="2"/>
      <c r="T22" s="7"/>
      <c r="U22" s="2"/>
      <c r="V22" s="6">
        <f t="shared" si="5"/>
        <v>0</v>
      </c>
      <c r="W22" s="2"/>
      <c r="X22" s="7">
        <f t="shared" si="6"/>
        <v>123.7</v>
      </c>
      <c r="Y22" s="2"/>
      <c r="Z22" s="6">
        <f t="shared" si="7"/>
        <v>0</v>
      </c>
    </row>
    <row r="23" spans="1:26" s="28" customFormat="1" outlineLevel="1" collapsed="1" x14ac:dyDescent="0.3">
      <c r="A23" s="29"/>
      <c r="B23" s="14" t="str">
        <f>CONCATENATE("     ","Services                                          ")</f>
        <v xml:space="preserve">     Services            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0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0</v>
      </c>
      <c r="Y23" s="1"/>
      <c r="Z23" s="5">
        <f t="shared" si="7"/>
        <v>0</v>
      </c>
    </row>
    <row r="24" spans="1:26" s="24" customFormat="1" hidden="1" outlineLevel="2" x14ac:dyDescent="0.3">
      <c r="A24" s="27"/>
      <c r="B24" s="11" t="str">
        <f>CONCATENATE("          ", "6284", " - ", "TRASH REMOVAL EXPENSE")</f>
        <v xml:space="preserve">          6284 - TRASH REMOVAL EXPENSE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/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0</v>
      </c>
      <c r="Y24" s="2"/>
      <c r="Z24" s="6">
        <f t="shared" si="7"/>
        <v>0</v>
      </c>
    </row>
    <row r="25" spans="1:26" s="28" customFormat="1" outlineLevel="1" collapsed="1" x14ac:dyDescent="0.3">
      <c r="A25" s="29"/>
      <c r="B25" s="14" t="str">
        <f>CONCATENATE("     ","Telephone/Data Lines                              ")</f>
        <v xml:space="preserve">     Telephone/Data Lines  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4"/>
      <c r="P25" s="1">
        <f>SUM(OSRRefP22_3x_0)</f>
        <v>135.6</v>
      </c>
      <c r="Q25" s="1"/>
      <c r="R25" s="5">
        <f t="shared" si="4"/>
        <v>0</v>
      </c>
      <c r="S25" s="1"/>
      <c r="T25" s="1">
        <f>SUM(OSRRefT22_3x_0)</f>
        <v>0</v>
      </c>
      <c r="U25" s="1"/>
      <c r="V25" s="5">
        <f t="shared" si="5"/>
        <v>0</v>
      </c>
      <c r="W25" s="1"/>
      <c r="X25" s="1">
        <f t="shared" si="6"/>
        <v>135.6</v>
      </c>
      <c r="Y25" s="1"/>
      <c r="Z25" s="5">
        <f t="shared" si="7"/>
        <v>0</v>
      </c>
    </row>
    <row r="26" spans="1:26" s="24" customFormat="1" hidden="1" outlineLevel="2" x14ac:dyDescent="0.3">
      <c r="A26" s="27"/>
      <c r="B26" s="11" t="str">
        <f>CONCATENATE("          ", "6309", " - ", "TELEPHONE")</f>
        <v xml:space="preserve">          6309 - TELEPHONE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135.6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135.6</v>
      </c>
      <c r="Y26" s="2"/>
      <c r="Z26" s="6">
        <f t="shared" si="7"/>
        <v>0</v>
      </c>
    </row>
    <row r="27" spans="1:26" s="55" customFormat="1" x14ac:dyDescent="0.3">
      <c r="A27" s="36"/>
      <c r="B27" s="36"/>
      <c r="C27" s="36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3">
      <c r="A28" s="10"/>
      <c r="B28" s="25" t="s">
        <v>293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3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10"/>
      <c r="B30" s="26" t="s">
        <v>277</v>
      </c>
      <c r="C30" s="26"/>
      <c r="D30" s="21">
        <f>+D16-D18+D28</f>
        <v>-577.36</v>
      </c>
      <c r="E30" s="13"/>
      <c r="F30" s="22">
        <f>IF(D$12=0,0,D30/D$12)</f>
        <v>0</v>
      </c>
      <c r="G30" s="13"/>
      <c r="H30" s="21">
        <f>+H16-H18+H28</f>
        <v>-577</v>
      </c>
      <c r="I30" s="13"/>
      <c r="J30" s="22">
        <f>IF(H$12=0,0,H30/H$12)</f>
        <v>0</v>
      </c>
      <c r="K30" s="15"/>
      <c r="L30" s="21">
        <f>+D30-H30</f>
        <v>-0.36000000000001364</v>
      </c>
      <c r="M30" s="15"/>
      <c r="N30" s="22">
        <f>IF(H30=0,0,L30/H30)</f>
        <v>6.2391681109187809E-4</v>
      </c>
      <c r="O30" s="25"/>
      <c r="P30" s="21">
        <f>+P16-P18+P28</f>
        <v>-4300.8200000000006</v>
      </c>
      <c r="Q30" s="13"/>
      <c r="R30" s="22">
        <f>IF(P$12=0,0,P30/P$12)</f>
        <v>0</v>
      </c>
      <c r="S30" s="13"/>
      <c r="T30" s="21">
        <f>+T16-T18+T28</f>
        <v>-4039</v>
      </c>
      <c r="U30" s="13"/>
      <c r="V30" s="22">
        <f>IF(T$12=0,0,T30/T$12)</f>
        <v>0</v>
      </c>
      <c r="W30" s="15"/>
      <c r="X30" s="21">
        <f>+P30-T30</f>
        <v>-261.82000000000062</v>
      </c>
      <c r="Y30" s="15"/>
      <c r="Z30" s="22">
        <f>IF(T30=0,0,X30/T30)</f>
        <v>6.4822975984154652E-2</v>
      </c>
    </row>
    <row r="31" spans="1:26" x14ac:dyDescent="0.3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3">
      <c r="A32" s="52"/>
      <c r="B32" s="10" t="s">
        <v>128</v>
      </c>
      <c r="C32" s="10"/>
      <c r="D32" s="4"/>
      <c r="E32" s="4"/>
      <c r="F32" s="12">
        <f>IF(D$12=0,0,D32/D$12)</f>
        <v>0</v>
      </c>
      <c r="G32" s="4"/>
      <c r="H32" s="4"/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/>
      <c r="Q32" s="4"/>
      <c r="R32" s="12">
        <f>IF(P$12=0,0,P32/P$12)</f>
        <v>0</v>
      </c>
      <c r="S32" s="4"/>
      <c r="T32" s="4"/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3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" thickBot="1" x14ac:dyDescent="0.35">
      <c r="A34" s="10"/>
      <c r="B34" s="26" t="s">
        <v>126</v>
      </c>
      <c r="C34" s="26"/>
      <c r="D34" s="32">
        <f>+D30-D32</f>
        <v>-577.36</v>
      </c>
      <c r="E34" s="13"/>
      <c r="F34" s="31">
        <f>IF(D$12=0,0,D34/D$12)</f>
        <v>0</v>
      </c>
      <c r="G34" s="13"/>
      <c r="H34" s="32">
        <f>+H30-H32</f>
        <v>-577</v>
      </c>
      <c r="I34" s="13"/>
      <c r="J34" s="31">
        <f>IF(H$12=0,0,H34/H$12)</f>
        <v>0</v>
      </c>
      <c r="K34" s="15"/>
      <c r="L34" s="32">
        <f>D34-H34</f>
        <v>-0.36000000000001364</v>
      </c>
      <c r="M34" s="15"/>
      <c r="N34" s="31">
        <f>IF(H34=0,0,L34/H34)</f>
        <v>6.2391681109187809E-4</v>
      </c>
      <c r="O34" s="25"/>
      <c r="P34" s="32">
        <f>+P30-P32</f>
        <v>-4300.8200000000006</v>
      </c>
      <c r="Q34" s="13"/>
      <c r="R34" s="31">
        <f>IF(P$12=0,0,P34/P$12)</f>
        <v>0</v>
      </c>
      <c r="S34" s="13"/>
      <c r="T34" s="32">
        <f>+T30-T32</f>
        <v>-4039</v>
      </c>
      <c r="U34" s="13"/>
      <c r="V34" s="31">
        <f>IF(T$12=0,0,T34/T$12)</f>
        <v>0</v>
      </c>
      <c r="W34" s="15"/>
      <c r="X34" s="32">
        <f>P34-T34</f>
        <v>-261.82000000000062</v>
      </c>
      <c r="Y34" s="15"/>
      <c r="Z34" s="31">
        <f>IF(T34=0,0,X34/T34)</f>
        <v>6.4822975984154652E-2</v>
      </c>
    </row>
    <row r="35" spans="1:26" ht="15" thickTop="1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3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" thickBot="1" x14ac:dyDescent="0.35">
      <c r="A37" s="10"/>
      <c r="B37" s="26" t="s">
        <v>294</v>
      </c>
      <c r="C37" s="26"/>
      <c r="D37" s="34">
        <f>SUM(D34:D36)</f>
        <v>-577.36</v>
      </c>
      <c r="E37" s="13"/>
      <c r="F37" s="35">
        <f>IF(D$12=0,0,D37/D$12)</f>
        <v>0</v>
      </c>
      <c r="G37" s="13"/>
      <c r="H37" s="34">
        <f>SUM(H34:H36)</f>
        <v>-577</v>
      </c>
      <c r="I37" s="13"/>
      <c r="J37" s="35">
        <f>IF(H$12=0,0,H37/H$12)</f>
        <v>0</v>
      </c>
      <c r="K37" s="15"/>
      <c r="L37" s="34">
        <f>+D37-H37</f>
        <v>-0.36000000000001364</v>
      </c>
      <c r="M37" s="15"/>
      <c r="N37" s="35">
        <f>IF(H37=0,0,L37/H37)</f>
        <v>6.2391681109187809E-4</v>
      </c>
      <c r="O37" s="25"/>
      <c r="P37" s="34">
        <f>SUM(P34:P36)</f>
        <v>-4300.8200000000006</v>
      </c>
      <c r="Q37" s="13"/>
      <c r="R37" s="35">
        <f>IF(P$12=0,0,P37/P$12)</f>
        <v>0</v>
      </c>
      <c r="S37" s="13"/>
      <c r="T37" s="34">
        <f>SUM(T34:T36)</f>
        <v>-4039</v>
      </c>
      <c r="U37" s="13"/>
      <c r="V37" s="35">
        <f>IF(T$12=0,0,T37/T$12)</f>
        <v>0</v>
      </c>
      <c r="W37" s="15"/>
      <c r="X37" s="34">
        <f>+P37-T37</f>
        <v>-261.82000000000062</v>
      </c>
      <c r="Y37" s="15"/>
      <c r="Z37" s="35">
        <f>IF(T37=0,0,X37/T37)</f>
        <v>6.4822975984154652E-2</v>
      </c>
    </row>
    <row r="38" spans="1:26" ht="15" thickTop="1" x14ac:dyDescent="0.3">
      <c r="A38" s="9"/>
      <c r="C38" s="9"/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3">
        <v>44604.019995405091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63" t="s">
        <v>56</v>
      </c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A41" s="9"/>
      <c r="B41" s="58"/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3"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92D050"/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","413", " - ", "Beach Walk")</f>
        <v>Department 413 - Beach Walk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58.03</v>
      </c>
      <c r="E18" s="20"/>
      <c r="F18" s="33">
        <f t="shared" ref="F18:F24" si="0">IF(D$12=0,0,D18/D$12)</f>
        <v>0</v>
      </c>
      <c r="G18" s="20"/>
      <c r="H18" s="20">
        <f>SUM(OSRRefH22x_0)</f>
        <v>58</v>
      </c>
      <c r="I18" s="20"/>
      <c r="J18" s="33">
        <f t="shared" ref="J18:J24" si="1">IF(H$12=0,0,H18/H$12)</f>
        <v>0</v>
      </c>
      <c r="K18" s="4"/>
      <c r="L18" s="20">
        <f t="shared" ref="L18:L24" si="2">+D18-H18</f>
        <v>3.0000000000001137E-2</v>
      </c>
      <c r="M18" s="4"/>
      <c r="N18" s="33">
        <f t="shared" ref="N18:N24" si="3">IF(H18=0,0,L18/H18)</f>
        <v>5.1724137931036447E-4</v>
      </c>
      <c r="O18" s="10"/>
      <c r="P18" s="20">
        <f>SUM(OSRRefP22x_0)</f>
        <v>671.16</v>
      </c>
      <c r="Q18" s="20"/>
      <c r="R18" s="33">
        <f t="shared" ref="R18:R24" si="4">IF(P$12=0,0,P18/P$12)</f>
        <v>0</v>
      </c>
      <c r="S18" s="20"/>
      <c r="T18" s="20">
        <f>SUM(OSRRefT22x_0)</f>
        <v>406</v>
      </c>
      <c r="U18" s="20"/>
      <c r="V18" s="33">
        <f t="shared" ref="V18:V24" si="5">IF(T$12=0,0,T18/T$12)</f>
        <v>0</v>
      </c>
      <c r="W18" s="4"/>
      <c r="X18" s="20">
        <f t="shared" ref="X18:X24" si="6">+P18-T18</f>
        <v>265.15999999999997</v>
      </c>
      <c r="Y18" s="4"/>
      <c r="Z18" s="33">
        <f t="shared" ref="Z18:Z24" si="7">IF(T18=0,0,X18/T18)</f>
        <v>0.65310344827586198</v>
      </c>
    </row>
    <row r="19" spans="1:26" s="28" customFormat="1" outlineLevel="1" collapsed="1" x14ac:dyDescent="0.3">
      <c r="A19" s="29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58.03</v>
      </c>
      <c r="E19" s="1"/>
      <c r="F19" s="5">
        <f t="shared" si="0"/>
        <v>0</v>
      </c>
      <c r="G19" s="1"/>
      <c r="H19" s="1">
        <f>SUM(OSRRefH22_0x_0)</f>
        <v>58</v>
      </c>
      <c r="I19" s="1"/>
      <c r="J19" s="5">
        <f t="shared" si="1"/>
        <v>0</v>
      </c>
      <c r="K19" s="1"/>
      <c r="L19" s="1">
        <f t="shared" si="2"/>
        <v>3.0000000000001137E-2</v>
      </c>
      <c r="M19" s="1"/>
      <c r="N19" s="5">
        <f t="shared" si="3"/>
        <v>5.1724137931036447E-4</v>
      </c>
      <c r="O19" s="14"/>
      <c r="P19" s="1">
        <f>SUM(OSRRefP22_0x_0)</f>
        <v>406.21</v>
      </c>
      <c r="Q19" s="1"/>
      <c r="R19" s="5">
        <f t="shared" si="4"/>
        <v>0</v>
      </c>
      <c r="S19" s="1"/>
      <c r="T19" s="1">
        <f>SUM(OSRRefT22_0x_0)</f>
        <v>406</v>
      </c>
      <c r="U19" s="1"/>
      <c r="V19" s="5">
        <f t="shared" si="5"/>
        <v>0</v>
      </c>
      <c r="W19" s="1"/>
      <c r="X19" s="1">
        <f t="shared" si="6"/>
        <v>0.20999999999997954</v>
      </c>
      <c r="Y19" s="1"/>
      <c r="Z19" s="5">
        <f t="shared" si="7"/>
        <v>5.1724137931029443E-4</v>
      </c>
    </row>
    <row r="20" spans="1:26" s="24" customFormat="1" hidden="1" outlineLevel="2" x14ac:dyDescent="0.3">
      <c r="A20" s="27"/>
      <c r="B20" s="11" t="str">
        <f>CONCATENATE("          ", "6322", " - ", "EQUIPMENT DEPRECIATION EXPENSE")</f>
        <v xml:space="preserve">          6322 - EQUIPMENT DEPRECIATION EXPENSE</v>
      </c>
      <c r="C20" s="11"/>
      <c r="D20" s="7">
        <v>58.03</v>
      </c>
      <c r="E20" s="2"/>
      <c r="F20" s="6">
        <f t="shared" si="0"/>
        <v>0</v>
      </c>
      <c r="G20" s="2"/>
      <c r="H20" s="7">
        <v>58</v>
      </c>
      <c r="I20" s="2"/>
      <c r="J20" s="6">
        <f t="shared" si="1"/>
        <v>0</v>
      </c>
      <c r="K20" s="2"/>
      <c r="L20" s="7">
        <f t="shared" si="2"/>
        <v>3.0000000000001137E-2</v>
      </c>
      <c r="M20" s="2"/>
      <c r="N20" s="6">
        <f t="shared" si="3"/>
        <v>5.1724137931036447E-4</v>
      </c>
      <c r="O20" s="11"/>
      <c r="P20" s="7">
        <v>406.21</v>
      </c>
      <c r="Q20" s="2"/>
      <c r="R20" s="6">
        <f t="shared" si="4"/>
        <v>0</v>
      </c>
      <c r="S20" s="2"/>
      <c r="T20" s="7">
        <v>406</v>
      </c>
      <c r="U20" s="2"/>
      <c r="V20" s="6">
        <f t="shared" si="5"/>
        <v>0</v>
      </c>
      <c r="W20" s="2"/>
      <c r="X20" s="7">
        <f t="shared" si="6"/>
        <v>0.20999999999997954</v>
      </c>
      <c r="Y20" s="2"/>
      <c r="Z20" s="6">
        <f t="shared" si="7"/>
        <v>5.1724137931029443E-4</v>
      </c>
    </row>
    <row r="21" spans="1:26" s="28" customFormat="1" outlineLevel="1" collapsed="1" x14ac:dyDescent="0.3">
      <c r="A21" s="29"/>
      <c r="B21" s="14" t="str">
        <f>CONCATENATE("     ","Repair and Maintenance                            ")</f>
        <v xml:space="preserve">     Repair and Maintenance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264.95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264.95</v>
      </c>
      <c r="Y21" s="1"/>
      <c r="Z21" s="5">
        <f t="shared" si="7"/>
        <v>0</v>
      </c>
    </row>
    <row r="22" spans="1:26" s="24" customFormat="1" hidden="1" outlineLevel="2" x14ac:dyDescent="0.3">
      <c r="A22" s="27"/>
      <c r="B22" s="11" t="str">
        <f>CONCATENATE("          ", "6373", " - ", "MAINTENANCE CONTRACTS")</f>
        <v xml:space="preserve">          6373 - MAINTENANCE CONTRACTS</v>
      </c>
      <c r="C22" s="11"/>
      <c r="D22" s="7"/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>
        <v>264.95</v>
      </c>
      <c r="Q22" s="2"/>
      <c r="R22" s="6">
        <f t="shared" si="4"/>
        <v>0</v>
      </c>
      <c r="S22" s="2"/>
      <c r="T22" s="7"/>
      <c r="U22" s="2"/>
      <c r="V22" s="6">
        <f t="shared" si="5"/>
        <v>0</v>
      </c>
      <c r="W22" s="2"/>
      <c r="X22" s="7">
        <f t="shared" si="6"/>
        <v>264.95</v>
      </c>
      <c r="Y22" s="2"/>
      <c r="Z22" s="6">
        <f t="shared" si="7"/>
        <v>0</v>
      </c>
    </row>
    <row r="23" spans="1:26" s="28" customFormat="1" outlineLevel="1" collapsed="1" x14ac:dyDescent="0.3">
      <c r="A23" s="29"/>
      <c r="B23" s="14" t="str">
        <f>CONCATENATE("     ","Services                                          ")</f>
        <v xml:space="preserve">     Services            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0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0</v>
      </c>
      <c r="Y23" s="1"/>
      <c r="Z23" s="5">
        <f t="shared" si="7"/>
        <v>0</v>
      </c>
    </row>
    <row r="24" spans="1:26" s="24" customFormat="1" hidden="1" outlineLevel="2" x14ac:dyDescent="0.3">
      <c r="A24" s="27"/>
      <c r="B24" s="11" t="str">
        <f>CONCATENATE("          ", "6284", " - ", "TRASH REMOVAL EXPENSE")</f>
        <v xml:space="preserve">          6284 - TRASH REMOVAL EXPENSE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/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0</v>
      </c>
      <c r="Y24" s="2"/>
      <c r="Z24" s="6">
        <f t="shared" si="7"/>
        <v>0</v>
      </c>
    </row>
    <row r="25" spans="1:26" s="55" customFormat="1" x14ac:dyDescent="0.3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3">
      <c r="A26" s="10"/>
      <c r="B26" s="25" t="s">
        <v>293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3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10"/>
      <c r="B28" s="26" t="s">
        <v>277</v>
      </c>
      <c r="C28" s="26"/>
      <c r="D28" s="21">
        <f>+D16-D18+D26</f>
        <v>-58.03</v>
      </c>
      <c r="E28" s="13"/>
      <c r="F28" s="22">
        <f>IF(D$12=0,0,D28/D$12)</f>
        <v>0</v>
      </c>
      <c r="G28" s="13"/>
      <c r="H28" s="21">
        <f>+H16-H18+H26</f>
        <v>-58</v>
      </c>
      <c r="I28" s="13"/>
      <c r="J28" s="22">
        <f>IF(H$12=0,0,H28/H$12)</f>
        <v>0</v>
      </c>
      <c r="K28" s="15"/>
      <c r="L28" s="21">
        <f>+D28-H28</f>
        <v>-3.0000000000001137E-2</v>
      </c>
      <c r="M28" s="15"/>
      <c r="N28" s="22">
        <f>IF(H28=0,0,L28/H28)</f>
        <v>5.1724137931036447E-4</v>
      </c>
      <c r="O28" s="25"/>
      <c r="P28" s="21">
        <f>+P16-P18+P26</f>
        <v>-671.16</v>
      </c>
      <c r="Q28" s="13"/>
      <c r="R28" s="22">
        <f>IF(P$12=0,0,P28/P$12)</f>
        <v>0</v>
      </c>
      <c r="S28" s="13"/>
      <c r="T28" s="21">
        <f>+T16-T18+T26</f>
        <v>-406</v>
      </c>
      <c r="U28" s="13"/>
      <c r="V28" s="22">
        <f>IF(T$12=0,0,T28/T$12)</f>
        <v>0</v>
      </c>
      <c r="W28" s="15"/>
      <c r="X28" s="21">
        <f>+P28-T28</f>
        <v>-265.15999999999997</v>
      </c>
      <c r="Y28" s="15"/>
      <c r="Z28" s="22">
        <f>IF(T28=0,0,X28/T28)</f>
        <v>0.65310344827586198</v>
      </c>
    </row>
    <row r="29" spans="1:26" x14ac:dyDescent="0.3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52"/>
      <c r="B30" s="10" t="s">
        <v>128</v>
      </c>
      <c r="C30" s="10"/>
      <c r="D30" s="4"/>
      <c r="E30" s="4"/>
      <c r="F30" s="12">
        <f>IF(D$12=0,0,D30/D$12)</f>
        <v>0</v>
      </c>
      <c r="G30" s="4"/>
      <c r="H30" s="4"/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/>
      <c r="Q30" s="4"/>
      <c r="R30" s="12">
        <f>IF(P$12=0,0,P30/P$12)</f>
        <v>0</v>
      </c>
      <c r="S30" s="4"/>
      <c r="T30" s="4"/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3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" thickBot="1" x14ac:dyDescent="0.35">
      <c r="A32" s="10"/>
      <c r="B32" s="26" t="s">
        <v>126</v>
      </c>
      <c r="C32" s="26"/>
      <c r="D32" s="32">
        <f>+D28-D30</f>
        <v>-58.03</v>
      </c>
      <c r="E32" s="13"/>
      <c r="F32" s="31">
        <f>IF(D$12=0,0,D32/D$12)</f>
        <v>0</v>
      </c>
      <c r="G32" s="13"/>
      <c r="H32" s="32">
        <f>+H28-H30</f>
        <v>-58</v>
      </c>
      <c r="I32" s="13"/>
      <c r="J32" s="31">
        <f>IF(H$12=0,0,H32/H$12)</f>
        <v>0</v>
      </c>
      <c r="K32" s="15"/>
      <c r="L32" s="32">
        <f>D32-H32</f>
        <v>-3.0000000000001137E-2</v>
      </c>
      <c r="M32" s="15"/>
      <c r="N32" s="31">
        <f>IF(H32=0,0,L32/H32)</f>
        <v>5.1724137931036447E-4</v>
      </c>
      <c r="O32" s="25"/>
      <c r="P32" s="32">
        <f>+P28-P30</f>
        <v>-671.16</v>
      </c>
      <c r="Q32" s="13"/>
      <c r="R32" s="31">
        <f>IF(P$12=0,0,P32/P$12)</f>
        <v>0</v>
      </c>
      <c r="S32" s="13"/>
      <c r="T32" s="32">
        <f>+T28-T30</f>
        <v>-406</v>
      </c>
      <c r="U32" s="13"/>
      <c r="V32" s="31">
        <f>IF(T$12=0,0,T32/T$12)</f>
        <v>0</v>
      </c>
      <c r="W32" s="15"/>
      <c r="X32" s="32">
        <f>P32-T32</f>
        <v>-265.15999999999997</v>
      </c>
      <c r="Y32" s="15"/>
      <c r="Z32" s="31">
        <f>IF(T32=0,0,X32/T32)</f>
        <v>0.65310344827586198</v>
      </c>
    </row>
    <row r="33" spans="1:26" ht="15" thickTop="1" x14ac:dyDescent="0.3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3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" thickBot="1" x14ac:dyDescent="0.35">
      <c r="A35" s="10"/>
      <c r="B35" s="26" t="s">
        <v>294</v>
      </c>
      <c r="C35" s="26"/>
      <c r="D35" s="34">
        <f>SUM(D32:D34)</f>
        <v>-58.03</v>
      </c>
      <c r="E35" s="13"/>
      <c r="F35" s="35">
        <f>IF(D$12=0,0,D35/D$12)</f>
        <v>0</v>
      </c>
      <c r="G35" s="13"/>
      <c r="H35" s="34">
        <f>SUM(H32:H34)</f>
        <v>-58</v>
      </c>
      <c r="I35" s="13"/>
      <c r="J35" s="35">
        <f>IF(H$12=0,0,H35/H$12)</f>
        <v>0</v>
      </c>
      <c r="K35" s="15"/>
      <c r="L35" s="34">
        <f>+D35-H35</f>
        <v>-3.0000000000001137E-2</v>
      </c>
      <c r="M35" s="15"/>
      <c r="N35" s="35">
        <f>IF(H35=0,0,L35/H35)</f>
        <v>5.1724137931036447E-4</v>
      </c>
      <c r="O35" s="25"/>
      <c r="P35" s="34">
        <f>SUM(P32:P34)</f>
        <v>-671.16</v>
      </c>
      <c r="Q35" s="13"/>
      <c r="R35" s="35">
        <f>IF(P$12=0,0,P35/P$12)</f>
        <v>0</v>
      </c>
      <c r="S35" s="13"/>
      <c r="T35" s="34">
        <f>SUM(T32:T34)</f>
        <v>-406</v>
      </c>
      <c r="U35" s="13"/>
      <c r="V35" s="35">
        <f>IF(T$12=0,0,T35/T$12)</f>
        <v>0</v>
      </c>
      <c r="W35" s="15"/>
      <c r="X35" s="34">
        <f>+P35-T35</f>
        <v>-265.15999999999997</v>
      </c>
      <c r="Y35" s="15"/>
      <c r="Z35" s="35">
        <f>IF(T35=0,0,X35/T35)</f>
        <v>0.65310344827586198</v>
      </c>
    </row>
    <row r="36" spans="1:26" ht="15" thickTop="1" x14ac:dyDescent="0.3">
      <c r="A36" s="9"/>
      <c r="C36" s="9"/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  <row r="37" spans="1:26" x14ac:dyDescent="0.3">
      <c r="A37" s="9"/>
      <c r="B37" s="53">
        <v>44604.019995405091</v>
      </c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3" t="s">
        <v>56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/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92D050"/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","414", " - ", "Starbucks UDP")</f>
        <v>Department 414 - Starbucks UDP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0</v>
      </c>
      <c r="E18" s="20"/>
      <c r="F18" s="33">
        <f t="shared" ref="F18:F24" si="0">IF(D$12=0,0,D18/D$12)</f>
        <v>0</v>
      </c>
      <c r="G18" s="20"/>
      <c r="H18" s="20">
        <f>SUM(OSRRefH22x_0)</f>
        <v>0</v>
      </c>
      <c r="I18" s="20"/>
      <c r="J18" s="33">
        <f t="shared" ref="J18:J24" si="1">IF(H$12=0,0,H18/H$12)</f>
        <v>0</v>
      </c>
      <c r="K18" s="4"/>
      <c r="L18" s="20">
        <f t="shared" ref="L18:L24" si="2">+D18-H18</f>
        <v>0</v>
      </c>
      <c r="M18" s="4"/>
      <c r="N18" s="33">
        <f t="shared" ref="N18:N24" si="3">IF(H18=0,0,L18/H18)</f>
        <v>0</v>
      </c>
      <c r="O18" s="10"/>
      <c r="P18" s="20">
        <f>SUM(OSRRefP22x_0)</f>
        <v>310.49</v>
      </c>
      <c r="Q18" s="20"/>
      <c r="R18" s="33">
        <f t="shared" ref="R18:R24" si="4">IF(P$12=0,0,P18/P$12)</f>
        <v>0</v>
      </c>
      <c r="S18" s="20"/>
      <c r="T18" s="20">
        <f>SUM(OSRRefT22x_0)</f>
        <v>0</v>
      </c>
      <c r="U18" s="20"/>
      <c r="V18" s="33">
        <f t="shared" ref="V18:V24" si="5">IF(T$12=0,0,T18/T$12)</f>
        <v>0</v>
      </c>
      <c r="W18" s="4"/>
      <c r="X18" s="20">
        <f t="shared" ref="X18:X24" si="6">+P18-T18</f>
        <v>310.49</v>
      </c>
      <c r="Y18" s="4"/>
      <c r="Z18" s="33">
        <f t="shared" ref="Z18:Z24" si="7">IF(T18=0,0,X18/T18)</f>
        <v>0</v>
      </c>
    </row>
    <row r="19" spans="1:26" s="28" customFormat="1" outlineLevel="1" collapsed="1" x14ac:dyDescent="0.3">
      <c r="A19" s="29"/>
      <c r="B19" s="14" t="str">
        <f>CONCATENATE("     ","Equipment Rental                                  ")</f>
        <v xml:space="preserve">     Equipment Rental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118.91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118.91</v>
      </c>
      <c r="Y19" s="1"/>
      <c r="Z19" s="5">
        <f t="shared" si="7"/>
        <v>0</v>
      </c>
    </row>
    <row r="20" spans="1:26" s="24" customFormat="1" hidden="1" outlineLevel="2" x14ac:dyDescent="0.3">
      <c r="A20" s="27"/>
      <c r="B20" s="11" t="str">
        <f>CONCATENATE("          ", "6351", " - ", "EQUIPMENT RENTAL")</f>
        <v xml:space="preserve">          6351 - EQUIPMENT RENTAL</v>
      </c>
      <c r="C20" s="11"/>
      <c r="D20" s="7"/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>
        <v>118.91</v>
      </c>
      <c r="Q20" s="2"/>
      <c r="R20" s="6">
        <f t="shared" si="4"/>
        <v>0</v>
      </c>
      <c r="S20" s="2"/>
      <c r="T20" s="7"/>
      <c r="U20" s="2"/>
      <c r="V20" s="6">
        <f t="shared" si="5"/>
        <v>0</v>
      </c>
      <c r="W20" s="2"/>
      <c r="X20" s="7">
        <f t="shared" si="6"/>
        <v>118.91</v>
      </c>
      <c r="Y20" s="2"/>
      <c r="Z20" s="6">
        <f t="shared" si="7"/>
        <v>0</v>
      </c>
    </row>
    <row r="21" spans="1:26" s="28" customFormat="1" outlineLevel="1" collapsed="1" x14ac:dyDescent="0.3">
      <c r="A21" s="29"/>
      <c r="B21" s="14" t="str">
        <f>CONCATENATE("     ","Repair and Maintenance                            ")</f>
        <v xml:space="preserve">     Repair and Maintenance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191.58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191.58</v>
      </c>
      <c r="Y21" s="1"/>
      <c r="Z21" s="5">
        <f t="shared" si="7"/>
        <v>0</v>
      </c>
    </row>
    <row r="22" spans="1:26" s="24" customFormat="1" hidden="1" outlineLevel="2" x14ac:dyDescent="0.3">
      <c r="A22" s="27"/>
      <c r="B22" s="11" t="str">
        <f>CONCATENATE("          ", "6373", " - ", "MAINTENANCE CONTRACTS")</f>
        <v xml:space="preserve">          6373 - MAINTENANCE CONTRACTS</v>
      </c>
      <c r="C22" s="11"/>
      <c r="D22" s="7"/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>
        <v>191.58</v>
      </c>
      <c r="Q22" s="2"/>
      <c r="R22" s="6">
        <f t="shared" si="4"/>
        <v>0</v>
      </c>
      <c r="S22" s="2"/>
      <c r="T22" s="7"/>
      <c r="U22" s="2"/>
      <c r="V22" s="6">
        <f t="shared" si="5"/>
        <v>0</v>
      </c>
      <c r="W22" s="2"/>
      <c r="X22" s="7">
        <f t="shared" si="6"/>
        <v>191.58</v>
      </c>
      <c r="Y22" s="2"/>
      <c r="Z22" s="6">
        <f t="shared" si="7"/>
        <v>0</v>
      </c>
    </row>
    <row r="23" spans="1:26" s="28" customFormat="1" outlineLevel="1" collapsed="1" x14ac:dyDescent="0.3">
      <c r="A23" s="29"/>
      <c r="B23" s="14" t="str">
        <f>CONCATENATE("     ","Services                                          ")</f>
        <v xml:space="preserve">     Services            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0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0</v>
      </c>
      <c r="Y23" s="1"/>
      <c r="Z23" s="5">
        <f t="shared" si="7"/>
        <v>0</v>
      </c>
    </row>
    <row r="24" spans="1:26" s="24" customFormat="1" hidden="1" outlineLevel="2" x14ac:dyDescent="0.3">
      <c r="A24" s="27"/>
      <c r="B24" s="11" t="str">
        <f>CONCATENATE("          ", "6284", " - ", "TRASH REMOVAL EXPENSE")</f>
        <v xml:space="preserve">          6284 - TRASH REMOVAL EXPENSE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/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0</v>
      </c>
      <c r="Y24" s="2"/>
      <c r="Z24" s="6">
        <f t="shared" si="7"/>
        <v>0</v>
      </c>
    </row>
    <row r="25" spans="1:26" s="55" customFormat="1" x14ac:dyDescent="0.3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3">
      <c r="A26" s="10"/>
      <c r="B26" s="25" t="s">
        <v>293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3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10"/>
      <c r="B28" s="26" t="s">
        <v>277</v>
      </c>
      <c r="C28" s="26"/>
      <c r="D28" s="21">
        <f>+D16-D18+D26</f>
        <v>0</v>
      </c>
      <c r="E28" s="13"/>
      <c r="F28" s="22">
        <f>IF(D$12=0,0,D28/D$12)</f>
        <v>0</v>
      </c>
      <c r="G28" s="13"/>
      <c r="H28" s="21">
        <f>+H16-H18+H26</f>
        <v>0</v>
      </c>
      <c r="I28" s="13"/>
      <c r="J28" s="22">
        <f>IF(H$12=0,0,H28/H$12)</f>
        <v>0</v>
      </c>
      <c r="K28" s="15"/>
      <c r="L28" s="21">
        <f>+D28-H28</f>
        <v>0</v>
      </c>
      <c r="M28" s="15"/>
      <c r="N28" s="22">
        <f>IF(H28=0,0,L28/H28)</f>
        <v>0</v>
      </c>
      <c r="O28" s="25"/>
      <c r="P28" s="21">
        <f>+P16-P18+P26</f>
        <v>-310.49</v>
      </c>
      <c r="Q28" s="13"/>
      <c r="R28" s="22">
        <f>IF(P$12=0,0,P28/P$12)</f>
        <v>0</v>
      </c>
      <c r="S28" s="13"/>
      <c r="T28" s="21">
        <f>+T16-T18+T26</f>
        <v>0</v>
      </c>
      <c r="U28" s="13"/>
      <c r="V28" s="22">
        <f>IF(T$12=0,0,T28/T$12)</f>
        <v>0</v>
      </c>
      <c r="W28" s="15"/>
      <c r="X28" s="21">
        <f>+P28-T28</f>
        <v>-310.49</v>
      </c>
      <c r="Y28" s="15"/>
      <c r="Z28" s="22">
        <f>IF(T28=0,0,X28/T28)</f>
        <v>0</v>
      </c>
    </row>
    <row r="29" spans="1:26" x14ac:dyDescent="0.3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52"/>
      <c r="B30" s="10" t="s">
        <v>128</v>
      </c>
      <c r="C30" s="10"/>
      <c r="D30" s="4"/>
      <c r="E30" s="4"/>
      <c r="F30" s="12">
        <f>IF(D$12=0,0,D30/D$12)</f>
        <v>0</v>
      </c>
      <c r="G30" s="4"/>
      <c r="H30" s="4"/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/>
      <c r="Q30" s="4"/>
      <c r="R30" s="12">
        <f>IF(P$12=0,0,P30/P$12)</f>
        <v>0</v>
      </c>
      <c r="S30" s="4"/>
      <c r="T30" s="4"/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3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" thickBot="1" x14ac:dyDescent="0.35">
      <c r="A32" s="10"/>
      <c r="B32" s="26" t="s">
        <v>126</v>
      </c>
      <c r="C32" s="26"/>
      <c r="D32" s="32">
        <f>+D28-D30</f>
        <v>0</v>
      </c>
      <c r="E32" s="13"/>
      <c r="F32" s="31">
        <f>IF(D$12=0,0,D32/D$12)</f>
        <v>0</v>
      </c>
      <c r="G32" s="13"/>
      <c r="H32" s="32">
        <f>+H28-H30</f>
        <v>0</v>
      </c>
      <c r="I32" s="13"/>
      <c r="J32" s="31">
        <f>IF(H$12=0,0,H32/H$12)</f>
        <v>0</v>
      </c>
      <c r="K32" s="15"/>
      <c r="L32" s="32">
        <f>D32-H32</f>
        <v>0</v>
      </c>
      <c r="M32" s="15"/>
      <c r="N32" s="31">
        <f>IF(H32=0,0,L32/H32)</f>
        <v>0</v>
      </c>
      <c r="O32" s="25"/>
      <c r="P32" s="32">
        <f>+P28-P30</f>
        <v>-310.49</v>
      </c>
      <c r="Q32" s="13"/>
      <c r="R32" s="31">
        <f>IF(P$12=0,0,P32/P$12)</f>
        <v>0</v>
      </c>
      <c r="S32" s="13"/>
      <c r="T32" s="32">
        <f>+T28-T30</f>
        <v>0</v>
      </c>
      <c r="U32" s="13"/>
      <c r="V32" s="31">
        <f>IF(T$12=0,0,T32/T$12)</f>
        <v>0</v>
      </c>
      <c r="W32" s="15"/>
      <c r="X32" s="32">
        <f>P32-T32</f>
        <v>-310.49</v>
      </c>
      <c r="Y32" s="15"/>
      <c r="Z32" s="31">
        <f>IF(T32=0,0,X32/T32)</f>
        <v>0</v>
      </c>
    </row>
    <row r="33" spans="1:26" ht="15" thickTop="1" x14ac:dyDescent="0.3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3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" thickBot="1" x14ac:dyDescent="0.35">
      <c r="A35" s="10"/>
      <c r="B35" s="26" t="s">
        <v>294</v>
      </c>
      <c r="C35" s="26"/>
      <c r="D35" s="34">
        <f>SUM(D32:D34)</f>
        <v>0</v>
      </c>
      <c r="E35" s="13"/>
      <c r="F35" s="35">
        <f>IF(D$12=0,0,D35/D$12)</f>
        <v>0</v>
      </c>
      <c r="G35" s="13"/>
      <c r="H35" s="34">
        <f>SUM(H32:H34)</f>
        <v>0</v>
      </c>
      <c r="I35" s="13"/>
      <c r="J35" s="35">
        <f>IF(H$12=0,0,H35/H$12)</f>
        <v>0</v>
      </c>
      <c r="K35" s="15"/>
      <c r="L35" s="34">
        <f>+D35-H35</f>
        <v>0</v>
      </c>
      <c r="M35" s="15"/>
      <c r="N35" s="35">
        <f>IF(H35=0,0,L35/H35)</f>
        <v>0</v>
      </c>
      <c r="O35" s="25"/>
      <c r="P35" s="34">
        <f>SUM(P32:P34)</f>
        <v>-310.49</v>
      </c>
      <c r="Q35" s="13"/>
      <c r="R35" s="35">
        <f>IF(P$12=0,0,P35/P$12)</f>
        <v>0</v>
      </c>
      <c r="S35" s="13"/>
      <c r="T35" s="34">
        <f>SUM(T32:T34)</f>
        <v>0</v>
      </c>
      <c r="U35" s="13"/>
      <c r="V35" s="35">
        <f>IF(T$12=0,0,T35/T$12)</f>
        <v>0</v>
      </c>
      <c r="W35" s="15"/>
      <c r="X35" s="34">
        <f>+P35-T35</f>
        <v>-310.49</v>
      </c>
      <c r="Y35" s="15"/>
      <c r="Z35" s="35">
        <f>IF(T35=0,0,X35/T35)</f>
        <v>0</v>
      </c>
    </row>
    <row r="36" spans="1:26" ht="15" thickTop="1" x14ac:dyDescent="0.3">
      <c r="A36" s="9"/>
      <c r="C36" s="9"/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  <row r="37" spans="1:26" x14ac:dyDescent="0.3">
      <c r="A37" s="9"/>
      <c r="B37" s="53">
        <v>44604.019995405091</v>
      </c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3" t="s">
        <v>56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/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92D050"/>
    <outlinePr summaryBelow="0" summaryRight="0"/>
  </sheetPr>
  <dimension ref="A2:Z10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","415", " - ", "Outpost")</f>
        <v>Department 415 - Outpost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4827.0599999999995</v>
      </c>
      <c r="E12" s="4"/>
      <c r="F12" s="12"/>
      <c r="G12" s="4"/>
      <c r="H12" s="4">
        <f>SUM(OSRRefH13x_0)</f>
        <v>45304</v>
      </c>
      <c r="I12" s="4"/>
      <c r="J12" s="12"/>
      <c r="K12" s="4"/>
      <c r="L12" s="4">
        <f t="shared" ref="L12:L16" si="0">+D12-H12</f>
        <v>-40476.94</v>
      </c>
      <c r="M12" s="4"/>
      <c r="N12" s="12">
        <f t="shared" ref="N12:N16" si="1">IF(H12=0,0,L12/H12)</f>
        <v>-0.89345179233621763</v>
      </c>
      <c r="O12" s="10"/>
      <c r="P12" s="4">
        <f>SUM(OSRRefP13x_0)</f>
        <v>319495.71999999997</v>
      </c>
      <c r="Q12" s="4"/>
      <c r="R12" s="12"/>
      <c r="S12" s="4"/>
      <c r="T12" s="4">
        <f>SUM(OSRRefT13x_0)</f>
        <v>186784</v>
      </c>
      <c r="U12" s="4"/>
      <c r="V12" s="12"/>
      <c r="W12" s="4"/>
      <c r="X12" s="4">
        <f t="shared" ref="X12:X16" si="2">+P12-T12</f>
        <v>132711.71999999997</v>
      </c>
      <c r="Y12" s="4"/>
      <c r="Z12" s="12">
        <f t="shared" ref="Z12:Z16" si="3">IF(T12=0,0,X12/T12)</f>
        <v>0.71050903717663172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14091</v>
      </c>
      <c r="I13" s="2"/>
      <c r="J13" s="19"/>
      <c r="K13" s="2"/>
      <c r="L13" s="2">
        <f t="shared" si="0"/>
        <v>-14091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58095</v>
      </c>
      <c r="U13" s="2"/>
      <c r="V13" s="19"/>
      <c r="W13" s="2"/>
      <c r="X13" s="2">
        <f t="shared" si="2"/>
        <v>-58095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--2099.4</f>
        <v>2099.4</v>
      </c>
      <c r="E14" s="2"/>
      <c r="F14" s="19"/>
      <c r="G14" s="2"/>
      <c r="H14" s="2"/>
      <c r="I14" s="2"/>
      <c r="J14" s="19"/>
      <c r="K14" s="2"/>
      <c r="L14" s="2">
        <f t="shared" si="0"/>
        <v>2099.4</v>
      </c>
      <c r="M14" s="2"/>
      <c r="N14" s="19">
        <f t="shared" si="1"/>
        <v>0</v>
      </c>
      <c r="O14" s="11"/>
      <c r="P14" s="2">
        <f>--125656.2</f>
        <v>125656.2</v>
      </c>
      <c r="Q14" s="2"/>
      <c r="R14" s="19"/>
      <c r="S14" s="2"/>
      <c r="T14" s="2"/>
      <c r="U14" s="2"/>
      <c r="V14" s="19"/>
      <c r="W14" s="2"/>
      <c r="X14" s="2">
        <f t="shared" si="2"/>
        <v>125656.2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31213</v>
      </c>
      <c r="I15" s="2"/>
      <c r="J15" s="19"/>
      <c r="K15" s="2"/>
      <c r="L15" s="2">
        <f t="shared" si="0"/>
        <v>-31213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128689</v>
      </c>
      <c r="U15" s="2"/>
      <c r="V15" s="19"/>
      <c r="W15" s="2"/>
      <c r="X15" s="2">
        <f t="shared" si="2"/>
        <v>-128689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--2727.66</f>
        <v>2727.66</v>
      </c>
      <c r="E16" s="2"/>
      <c r="F16" s="19"/>
      <c r="G16" s="2"/>
      <c r="H16" s="2"/>
      <c r="I16" s="2"/>
      <c r="J16" s="19"/>
      <c r="K16" s="2"/>
      <c r="L16" s="2">
        <f t="shared" si="0"/>
        <v>2727.66</v>
      </c>
      <c r="M16" s="2"/>
      <c r="N16" s="19">
        <f t="shared" si="1"/>
        <v>0</v>
      </c>
      <c r="O16" s="11"/>
      <c r="P16" s="2">
        <f>--193839.52</f>
        <v>193839.52</v>
      </c>
      <c r="Q16" s="2"/>
      <c r="R16" s="19"/>
      <c r="S16" s="2"/>
      <c r="T16" s="2"/>
      <c r="U16" s="2"/>
      <c r="V16" s="19"/>
      <c r="W16" s="2"/>
      <c r="X16" s="2">
        <f t="shared" si="2"/>
        <v>193839.52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1817.6399999999999</v>
      </c>
      <c r="E18" s="4"/>
      <c r="F18" s="12">
        <f t="shared" ref="F18:F21" si="4">IF(D$12=0,0,D18/D$12)</f>
        <v>0.37655218704553084</v>
      </c>
      <c r="G18" s="4"/>
      <c r="H18" s="4">
        <f>SUM(OSRRefH16x_0)</f>
        <v>14044</v>
      </c>
      <c r="I18" s="4"/>
      <c r="J18" s="12">
        <f t="shared" ref="J18:J21" si="5">IF(H$12=0,0,H18/H$12)</f>
        <v>0.30999470245452942</v>
      </c>
      <c r="K18" s="4"/>
      <c r="L18" s="4">
        <f t="shared" ref="L18:L21" si="6">+D18-H18</f>
        <v>-12226.36</v>
      </c>
      <c r="M18" s="4"/>
      <c r="N18" s="12">
        <f t="shared" ref="N18:N21" si="7">IF(H18=0,0,L18/H18)</f>
        <v>-0.87057533466248938</v>
      </c>
      <c r="O18" s="10"/>
      <c r="P18" s="4">
        <f>SUM(OSRRefP16x_0)</f>
        <v>114852.79</v>
      </c>
      <c r="Q18" s="4"/>
      <c r="R18" s="12">
        <f t="shared" ref="R18:R21" si="8">IF(P$12=0,0,P18/P$12)</f>
        <v>0.35948146660618802</v>
      </c>
      <c r="S18" s="4"/>
      <c r="T18" s="4">
        <f>SUM(OSRRefT16x_0)</f>
        <v>60238</v>
      </c>
      <c r="U18" s="4"/>
      <c r="V18" s="12">
        <f t="shared" ref="V18:V21" si="9">IF(T$12=0,0,T18/T$12)</f>
        <v>0.32250085660442007</v>
      </c>
      <c r="W18" s="4"/>
      <c r="X18" s="4">
        <f t="shared" ref="X18:X21" si="10">+P18-T18</f>
        <v>54614.789999999994</v>
      </c>
      <c r="Y18" s="4"/>
      <c r="Z18" s="12">
        <f t="shared" ref="Z18:Z21" si="11">IF(T18=0,0,X18/T18)</f>
        <v>0.90665012118596222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14044</v>
      </c>
      <c r="I19" s="2"/>
      <c r="J19" s="19">
        <f t="shared" si="5"/>
        <v>0.30999470245452942</v>
      </c>
      <c r="K19" s="2"/>
      <c r="L19" s="2">
        <f t="shared" si="6"/>
        <v>-14044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60238</v>
      </c>
      <c r="U19" s="2"/>
      <c r="V19" s="19">
        <f t="shared" si="9"/>
        <v>0.32250085660442007</v>
      </c>
      <c r="W19" s="2"/>
      <c r="X19" s="2">
        <f t="shared" si="10"/>
        <v>-60238</v>
      </c>
      <c r="Y19" s="2"/>
      <c r="Z19" s="19">
        <f t="shared" si="11"/>
        <v>-1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4521.12</v>
      </c>
      <c r="E20" s="2"/>
      <c r="F20" s="19">
        <f t="shared" si="4"/>
        <v>0.9366198058445514</v>
      </c>
      <c r="G20" s="2"/>
      <c r="H20" s="2"/>
      <c r="I20" s="2"/>
      <c r="J20" s="19">
        <f t="shared" si="5"/>
        <v>0</v>
      </c>
      <c r="K20" s="2"/>
      <c r="L20" s="2">
        <f t="shared" si="6"/>
        <v>4521.12</v>
      </c>
      <c r="M20" s="2"/>
      <c r="N20" s="19">
        <f t="shared" si="7"/>
        <v>0</v>
      </c>
      <c r="O20" s="11"/>
      <c r="P20" s="2">
        <v>119053.78</v>
      </c>
      <c r="Q20" s="2"/>
      <c r="R20" s="19">
        <f t="shared" si="8"/>
        <v>0.37263028124445613</v>
      </c>
      <c r="S20" s="2"/>
      <c r="T20" s="2"/>
      <c r="U20" s="2"/>
      <c r="V20" s="19">
        <f t="shared" si="9"/>
        <v>0</v>
      </c>
      <c r="W20" s="2"/>
      <c r="X20" s="2">
        <f t="shared" si="10"/>
        <v>119053.78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-2703.48</v>
      </c>
      <c r="E21" s="2"/>
      <c r="F21" s="19">
        <f t="shared" si="4"/>
        <v>-0.56006761879902056</v>
      </c>
      <c r="G21" s="2"/>
      <c r="H21" s="2"/>
      <c r="I21" s="2"/>
      <c r="J21" s="19">
        <f t="shared" si="5"/>
        <v>0</v>
      </c>
      <c r="K21" s="2"/>
      <c r="L21" s="2">
        <f t="shared" si="6"/>
        <v>-2703.48</v>
      </c>
      <c r="M21" s="2"/>
      <c r="N21" s="19">
        <f t="shared" si="7"/>
        <v>0</v>
      </c>
      <c r="O21" s="11"/>
      <c r="P21" s="2">
        <v>-4200.99</v>
      </c>
      <c r="Q21" s="2"/>
      <c r="R21" s="19">
        <f t="shared" si="8"/>
        <v>-1.3148814638268081E-2</v>
      </c>
      <c r="S21" s="2"/>
      <c r="T21" s="2"/>
      <c r="U21" s="2"/>
      <c r="V21" s="19">
        <f t="shared" si="9"/>
        <v>0</v>
      </c>
      <c r="W21" s="2"/>
      <c r="X21" s="2">
        <f t="shared" si="10"/>
        <v>-4200.99</v>
      </c>
      <c r="Y21" s="2"/>
      <c r="Z21" s="19">
        <f t="shared" si="11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1">
        <f>D12-D18</f>
        <v>3009.4199999999996</v>
      </c>
      <c r="E23" s="13"/>
      <c r="F23" s="22">
        <f>IF(D$12=0,0,D23/D$12)</f>
        <v>0.62344781295446916</v>
      </c>
      <c r="G23" s="13"/>
      <c r="H23" s="21">
        <f>H12-H18</f>
        <v>31260</v>
      </c>
      <c r="I23" s="13"/>
      <c r="J23" s="22">
        <f>IF(H$12=0,0,H23/H$12)</f>
        <v>0.69000529754547058</v>
      </c>
      <c r="K23" s="15"/>
      <c r="L23" s="21">
        <f>+D23-H23</f>
        <v>-28250.58</v>
      </c>
      <c r="M23" s="15"/>
      <c r="N23" s="22">
        <f>IF(H23=0,0,L23/H23)</f>
        <v>-0.90372936660268721</v>
      </c>
      <c r="O23" s="25"/>
      <c r="P23" s="21">
        <f>P12-P18</f>
        <v>204642.93</v>
      </c>
      <c r="Q23" s="13"/>
      <c r="R23" s="22">
        <f>IF(P$12=0,0,P23/P$12)</f>
        <v>0.64051853339381204</v>
      </c>
      <c r="S23" s="13"/>
      <c r="T23" s="21">
        <f>T12-T18</f>
        <v>126546</v>
      </c>
      <c r="U23" s="13"/>
      <c r="V23" s="22">
        <f>IF(T$12=0,0,T23/T$12)</f>
        <v>0.67749914339557993</v>
      </c>
      <c r="W23" s="15"/>
      <c r="X23" s="21">
        <f>+P23-T23</f>
        <v>78096.929999999993</v>
      </c>
      <c r="Y23" s="15"/>
      <c r="Z23" s="22">
        <f>IF(T23=0,0,X23/T23)</f>
        <v>0.61714262007491338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0">
        <f>SUM(OSRRefD22x_0)</f>
        <v>60009.419999999991</v>
      </c>
      <c r="E25" s="20"/>
      <c r="F25" s="33">
        <f t="shared" ref="F25:F35" si="12">IF(D$12=0,0,D25/D$12)</f>
        <v>12.431877788964711</v>
      </c>
      <c r="G25" s="20"/>
      <c r="H25" s="20">
        <f>SUM(OSRRefH22x_0)</f>
        <v>57697.079368147155</v>
      </c>
      <c r="I25" s="20"/>
      <c r="J25" s="33">
        <f t="shared" ref="J25:J35" si="13">IF(H$12=0,0,H25/H$12)</f>
        <v>1.2735537561395718</v>
      </c>
      <c r="K25" s="4"/>
      <c r="L25" s="20">
        <f t="shared" ref="L25:L35" si="14">+D25-H25</f>
        <v>2312.3406318528359</v>
      </c>
      <c r="M25" s="4"/>
      <c r="N25" s="33">
        <f t="shared" ref="N25:N35" si="15">IF(H25=0,0,L25/H25)</f>
        <v>4.0077256200413684E-2</v>
      </c>
      <c r="O25" s="10"/>
      <c r="P25" s="20">
        <f>SUM(OSRRefP22x_0)</f>
        <v>515115.00999999989</v>
      </c>
      <c r="Q25" s="20"/>
      <c r="R25" s="33">
        <f t="shared" ref="R25:R35" si="16">IF(P$12=0,0,P25/P$12)</f>
        <v>1.6122751503525616</v>
      </c>
      <c r="S25" s="20"/>
      <c r="T25" s="20">
        <f>SUM(OSRRefT22x_0)</f>
        <v>391669.40694204421</v>
      </c>
      <c r="U25" s="20"/>
      <c r="V25" s="33">
        <f t="shared" ref="V25:V35" si="17">IF(T$12=0,0,T25/T$12)</f>
        <v>2.0969109074762518</v>
      </c>
      <c r="W25" s="4"/>
      <c r="X25" s="20">
        <f t="shared" ref="X25:X35" si="18">+P25-T25</f>
        <v>123445.60305795568</v>
      </c>
      <c r="Y25" s="4"/>
      <c r="Z25" s="33">
        <f t="shared" ref="Z25:Z35" si="19">IF(T25=0,0,X25/T25)</f>
        <v>0.31517805799987353</v>
      </c>
    </row>
    <row r="26" spans="1:26" s="28" customFormat="1" outlineLevel="1" collapsed="1" x14ac:dyDescent="0.3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12905.89</v>
      </c>
      <c r="E26" s="1"/>
      <c r="F26" s="5">
        <f t="shared" si="12"/>
        <v>2.6736543568963302</v>
      </c>
      <c r="G26" s="1"/>
      <c r="H26" s="1">
        <f>SUM(OSRRefH22_0x_0)</f>
        <v>6247.3997531471505</v>
      </c>
      <c r="I26" s="1"/>
      <c r="J26" s="5">
        <f t="shared" si="13"/>
        <v>0.1378995177720985</v>
      </c>
      <c r="K26" s="1"/>
      <c r="L26" s="1">
        <f t="shared" si="14"/>
        <v>6658.4902468528489</v>
      </c>
      <c r="M26" s="1"/>
      <c r="N26" s="5">
        <f t="shared" si="15"/>
        <v>1.0658018551635999</v>
      </c>
      <c r="O26" s="14"/>
      <c r="P26" s="1">
        <f>SUM(OSRRefP22_0x_0)</f>
        <v>89671.93</v>
      </c>
      <c r="Q26" s="1"/>
      <c r="R26" s="5">
        <f t="shared" si="16"/>
        <v>0.28066707748072495</v>
      </c>
      <c r="S26" s="1"/>
      <c r="T26" s="1">
        <f>SUM(OSRRefT22_0x_0)</f>
        <v>44953.382817044214</v>
      </c>
      <c r="U26" s="1"/>
      <c r="V26" s="5">
        <f t="shared" si="17"/>
        <v>0.24067041511609247</v>
      </c>
      <c r="W26" s="1"/>
      <c r="X26" s="1">
        <f t="shared" si="18"/>
        <v>44718.547182955779</v>
      </c>
      <c r="Y26" s="1"/>
      <c r="Z26" s="5">
        <f t="shared" si="19"/>
        <v>0.99477601863592358</v>
      </c>
    </row>
    <row r="27" spans="1:26" s="24" customFormat="1" hidden="1" outlineLevel="2" x14ac:dyDescent="0.3">
      <c r="A27" s="27"/>
      <c r="B27" s="11" t="str">
        <f>CONCATENATE("          ", "6111", " - ", "F.I.C.A.")</f>
        <v xml:space="preserve">          6111 - F.I.C.A.</v>
      </c>
      <c r="C27" s="11"/>
      <c r="D27" s="7">
        <v>1244.26</v>
      </c>
      <c r="E27" s="2"/>
      <c r="F27" s="6">
        <f t="shared" si="12"/>
        <v>0.25776766810439483</v>
      </c>
      <c r="G27" s="2"/>
      <c r="H27" s="7">
        <v>889.35832130100005</v>
      </c>
      <c r="I27" s="2"/>
      <c r="J27" s="6">
        <f t="shared" si="13"/>
        <v>1.9630900611447115E-2</v>
      </c>
      <c r="K27" s="2"/>
      <c r="L27" s="7">
        <f t="shared" si="14"/>
        <v>354.90167869899994</v>
      </c>
      <c r="M27" s="2"/>
      <c r="N27" s="6">
        <f t="shared" si="15"/>
        <v>0.39905364373251845</v>
      </c>
      <c r="O27" s="11"/>
      <c r="P27" s="7">
        <v>11803.53</v>
      </c>
      <c r="Q27" s="2"/>
      <c r="R27" s="6">
        <f t="shared" si="16"/>
        <v>3.6944250771184045E-2</v>
      </c>
      <c r="S27" s="2"/>
      <c r="T27" s="7">
        <v>6413.8964562749998</v>
      </c>
      <c r="U27" s="2"/>
      <c r="V27" s="6">
        <f t="shared" si="17"/>
        <v>3.4338575339831034E-2</v>
      </c>
      <c r="W27" s="2"/>
      <c r="X27" s="7">
        <f t="shared" si="18"/>
        <v>5389.6335437250009</v>
      </c>
      <c r="Y27" s="2"/>
      <c r="Z27" s="6">
        <f t="shared" si="19"/>
        <v>0.84030566761832937</v>
      </c>
    </row>
    <row r="28" spans="1:26" s="24" customFormat="1" hidden="1" outlineLevel="2" x14ac:dyDescent="0.3">
      <c r="A28" s="27"/>
      <c r="B28" s="11" t="str">
        <f>CONCATENATE("          ", "6112", " - ", "COMPENSATION INSURANCE")</f>
        <v xml:space="preserve">          6112 - COMPENSATION INSURANCE</v>
      </c>
      <c r="C28" s="11"/>
      <c r="D28" s="7">
        <v>591.66</v>
      </c>
      <c r="E28" s="2"/>
      <c r="F28" s="6">
        <f t="shared" si="12"/>
        <v>0.12257150315098632</v>
      </c>
      <c r="G28" s="2"/>
      <c r="H28" s="7">
        <v>692.85962892999999</v>
      </c>
      <c r="I28" s="2"/>
      <c r="J28" s="6">
        <f t="shared" si="13"/>
        <v>1.5293564120828183E-2</v>
      </c>
      <c r="K28" s="2"/>
      <c r="L28" s="7">
        <f t="shared" si="14"/>
        <v>-101.19962893000002</v>
      </c>
      <c r="M28" s="2"/>
      <c r="N28" s="6">
        <f t="shared" si="15"/>
        <v>-0.14606079601763647</v>
      </c>
      <c r="O28" s="11"/>
      <c r="P28" s="7">
        <v>6490.12</v>
      </c>
      <c r="Q28" s="2"/>
      <c r="R28" s="6">
        <f t="shared" si="16"/>
        <v>2.0313636752317059E-2</v>
      </c>
      <c r="S28" s="2"/>
      <c r="T28" s="7">
        <v>4230.42197175</v>
      </c>
      <c r="U28" s="2"/>
      <c r="V28" s="6">
        <f t="shared" si="17"/>
        <v>2.2648738498747215E-2</v>
      </c>
      <c r="W28" s="2"/>
      <c r="X28" s="7">
        <f t="shared" si="18"/>
        <v>2259.6980282499999</v>
      </c>
      <c r="Y28" s="2"/>
      <c r="Z28" s="6">
        <f t="shared" si="19"/>
        <v>0.53415428610664806</v>
      </c>
    </row>
    <row r="29" spans="1:26" s="24" customFormat="1" hidden="1" outlineLevel="2" x14ac:dyDescent="0.3">
      <c r="A29" s="27"/>
      <c r="B29" s="11" t="str">
        <f>CONCATENATE("          ", "6113", " - ", "GROUP INSURANCE")</f>
        <v xml:space="preserve">          6113 - GROUP INSURANCE</v>
      </c>
      <c r="C29" s="11"/>
      <c r="D29" s="7">
        <v>6152.38</v>
      </c>
      <c r="E29" s="2"/>
      <c r="F29" s="6">
        <f t="shared" si="12"/>
        <v>1.2745604985229106</v>
      </c>
      <c r="G29" s="2"/>
      <c r="H29" s="7">
        <v>3254.4461538461501</v>
      </c>
      <c r="I29" s="2"/>
      <c r="J29" s="6">
        <f t="shared" si="13"/>
        <v>7.1835735340061588E-2</v>
      </c>
      <c r="K29" s="2"/>
      <c r="L29" s="7">
        <f t="shared" si="14"/>
        <v>2897.93384615385</v>
      </c>
      <c r="M29" s="2"/>
      <c r="N29" s="6">
        <f t="shared" si="15"/>
        <v>0.89045376975404289</v>
      </c>
      <c r="O29" s="11"/>
      <c r="P29" s="7">
        <v>43457.94</v>
      </c>
      <c r="Q29" s="2"/>
      <c r="R29" s="6">
        <f t="shared" si="16"/>
        <v>0.13602041366939127</v>
      </c>
      <c r="S29" s="2"/>
      <c r="T29" s="7">
        <v>25244.769230769201</v>
      </c>
      <c r="U29" s="2"/>
      <c r="V29" s="6">
        <f t="shared" si="17"/>
        <v>0.13515488066841486</v>
      </c>
      <c r="W29" s="2"/>
      <c r="X29" s="7">
        <f t="shared" si="18"/>
        <v>18213.170769230801</v>
      </c>
      <c r="Y29" s="2"/>
      <c r="Z29" s="6">
        <f t="shared" si="19"/>
        <v>0.72146315154396246</v>
      </c>
    </row>
    <row r="30" spans="1:26" s="24" customFormat="1" hidden="1" outlineLevel="2" x14ac:dyDescent="0.3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7">
        <v>42.73</v>
      </c>
      <c r="E30" s="2"/>
      <c r="F30" s="6">
        <f t="shared" si="12"/>
        <v>8.852179173244169E-3</v>
      </c>
      <c r="G30" s="2"/>
      <c r="H30" s="7">
        <v>38.390639069999999</v>
      </c>
      <c r="I30" s="2"/>
      <c r="J30" s="6">
        <f t="shared" si="13"/>
        <v>8.474006504944375E-4</v>
      </c>
      <c r="K30" s="2"/>
      <c r="L30" s="7">
        <f t="shared" si="14"/>
        <v>4.339360929999998</v>
      </c>
      <c r="M30" s="2"/>
      <c r="N30" s="6">
        <f t="shared" si="15"/>
        <v>0.11303174511077495</v>
      </c>
      <c r="O30" s="11"/>
      <c r="P30" s="7">
        <v>468.74</v>
      </c>
      <c r="Q30" s="2"/>
      <c r="R30" s="6">
        <f t="shared" si="16"/>
        <v>1.4671245048290477E-3</v>
      </c>
      <c r="S30" s="2"/>
      <c r="T30" s="7">
        <v>234.40332824999999</v>
      </c>
      <c r="U30" s="2"/>
      <c r="V30" s="6">
        <f t="shared" si="17"/>
        <v>1.2549432941258351E-3</v>
      </c>
      <c r="W30" s="2"/>
      <c r="X30" s="7">
        <f t="shared" si="18"/>
        <v>234.33667175000002</v>
      </c>
      <c r="Y30" s="2"/>
      <c r="Z30" s="6">
        <f t="shared" si="19"/>
        <v>0.99971563330393975</v>
      </c>
    </row>
    <row r="31" spans="1:26" s="24" customFormat="1" hidden="1" outlineLevel="2" x14ac:dyDescent="0.3">
      <c r="A31" s="27"/>
      <c r="B31" s="11" t="str">
        <f>CONCATENATE("          ", "6115", " - ", "P.E.R.S.")</f>
        <v xml:space="preserve">          6115 - P.E.R.S.</v>
      </c>
      <c r="C31" s="11"/>
      <c r="D31" s="7">
        <v>398.51</v>
      </c>
      <c r="E31" s="2"/>
      <c r="F31" s="6">
        <f t="shared" si="12"/>
        <v>8.255749876736565E-2</v>
      </c>
      <c r="G31" s="2"/>
      <c r="H31" s="7">
        <v>546.87077499999998</v>
      </c>
      <c r="I31" s="2"/>
      <c r="J31" s="6">
        <f t="shared" si="13"/>
        <v>1.2071136654600035E-2</v>
      </c>
      <c r="K31" s="2"/>
      <c r="L31" s="7">
        <f t="shared" si="14"/>
        <v>-148.36077499999999</v>
      </c>
      <c r="M31" s="2"/>
      <c r="N31" s="6">
        <f t="shared" si="15"/>
        <v>-0.27129037019760288</v>
      </c>
      <c r="O31" s="11"/>
      <c r="P31" s="7">
        <v>6127.12</v>
      </c>
      <c r="Q31" s="2"/>
      <c r="R31" s="6">
        <f t="shared" si="16"/>
        <v>1.9177471297581076E-2</v>
      </c>
      <c r="S31" s="2"/>
      <c r="T31" s="7">
        <v>3390.5988050000001</v>
      </c>
      <c r="U31" s="2"/>
      <c r="V31" s="6">
        <f t="shared" si="17"/>
        <v>1.8152512019230769E-2</v>
      </c>
      <c r="W31" s="2"/>
      <c r="X31" s="7">
        <f t="shared" si="18"/>
        <v>2736.5211949999998</v>
      </c>
      <c r="Y31" s="2"/>
      <c r="Z31" s="6">
        <f t="shared" si="19"/>
        <v>0.807090827426868</v>
      </c>
    </row>
    <row r="32" spans="1:26" s="24" customFormat="1" hidden="1" outlineLevel="2" x14ac:dyDescent="0.3">
      <c r="A32" s="27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3">
      <c r="A33" s="27"/>
      <c r="B33" s="11" t="str">
        <f>CONCATENATE("          ", "6118", " - ", "VACATION")</f>
        <v xml:space="preserve">          6118 - VACATION</v>
      </c>
      <c r="C33" s="11"/>
      <c r="D33" s="7">
        <v>1798.35</v>
      </c>
      <c r="E33" s="2"/>
      <c r="F33" s="6">
        <f t="shared" si="12"/>
        <v>0.37255596574312316</v>
      </c>
      <c r="G33" s="2"/>
      <c r="H33" s="7">
        <v>260.74625099999997</v>
      </c>
      <c r="I33" s="2"/>
      <c r="J33" s="6">
        <f t="shared" si="13"/>
        <v>5.7554796706692562E-3</v>
      </c>
      <c r="K33" s="2"/>
      <c r="L33" s="7">
        <f t="shared" si="14"/>
        <v>1537.6037489999999</v>
      </c>
      <c r="M33" s="2"/>
      <c r="N33" s="6">
        <f t="shared" si="15"/>
        <v>5.8969352123110683</v>
      </c>
      <c r="O33" s="11"/>
      <c r="P33" s="7">
        <v>8925.92</v>
      </c>
      <c r="Q33" s="2"/>
      <c r="R33" s="6">
        <f t="shared" si="16"/>
        <v>2.7937526048862252E-2</v>
      </c>
      <c r="S33" s="2"/>
      <c r="T33" s="7">
        <v>1807.5650250000001</v>
      </c>
      <c r="U33" s="2"/>
      <c r="V33" s="6">
        <f t="shared" si="17"/>
        <v>9.6773011874678773E-3</v>
      </c>
      <c r="W33" s="2"/>
      <c r="X33" s="7">
        <f t="shared" si="18"/>
        <v>7118.3549750000002</v>
      </c>
      <c r="Y33" s="2"/>
      <c r="Z33" s="6">
        <f t="shared" si="19"/>
        <v>3.9380906780933094</v>
      </c>
    </row>
    <row r="34" spans="1:26" s="24" customFormat="1" hidden="1" outlineLevel="2" x14ac:dyDescent="0.3">
      <c r="A34" s="27"/>
      <c r="B34" s="11" t="str">
        <f>CONCATENATE("          ", "6119", " - ", "SICK LEAVE")</f>
        <v xml:space="preserve">          6119 - SICK LEAVE</v>
      </c>
      <c r="C34" s="11"/>
      <c r="D34" s="7">
        <v>2023.24</v>
      </c>
      <c r="E34" s="2"/>
      <c r="F34" s="6">
        <f t="shared" si="12"/>
        <v>0.41914540113443799</v>
      </c>
      <c r="G34" s="2"/>
      <c r="H34" s="7">
        <v>269.72798399999999</v>
      </c>
      <c r="I34" s="2"/>
      <c r="J34" s="6">
        <f t="shared" si="13"/>
        <v>5.9537344163870737E-3</v>
      </c>
      <c r="K34" s="2"/>
      <c r="L34" s="7">
        <f t="shared" si="14"/>
        <v>1753.5120160000001</v>
      </c>
      <c r="M34" s="2"/>
      <c r="N34" s="6">
        <f t="shared" si="15"/>
        <v>6.501038527763586</v>
      </c>
      <c r="O34" s="11"/>
      <c r="P34" s="7">
        <v>7471.61</v>
      </c>
      <c r="Q34" s="2"/>
      <c r="R34" s="6">
        <f t="shared" si="16"/>
        <v>2.3385634086115457E-2</v>
      </c>
      <c r="S34" s="2"/>
      <c r="T34" s="7">
        <v>1718.7280000000001</v>
      </c>
      <c r="U34" s="2"/>
      <c r="V34" s="6">
        <f t="shared" si="17"/>
        <v>9.2016875107075562E-3</v>
      </c>
      <c r="W34" s="2"/>
      <c r="X34" s="7">
        <f t="shared" si="18"/>
        <v>5752.8819999999996</v>
      </c>
      <c r="Y34" s="2"/>
      <c r="Z34" s="6">
        <f t="shared" si="19"/>
        <v>3.3471741892841678</v>
      </c>
    </row>
    <row r="35" spans="1:26" s="24" customFormat="1" hidden="1" outlineLevel="2" x14ac:dyDescent="0.3">
      <c r="A35" s="27"/>
      <c r="B35" s="11" t="str">
        <f>CONCATENATE("          ", "6156", " - ", "EMPLOYEE MEALS")</f>
        <v xml:space="preserve">          6156 - EMPLOYEE MEALS</v>
      </c>
      <c r="C35" s="11"/>
      <c r="D35" s="7">
        <v>654.76</v>
      </c>
      <c r="E35" s="2"/>
      <c r="F35" s="6">
        <f t="shared" si="12"/>
        <v>0.13564364229986783</v>
      </c>
      <c r="G35" s="2"/>
      <c r="H35" s="7">
        <v>295</v>
      </c>
      <c r="I35" s="2"/>
      <c r="J35" s="6">
        <f t="shared" si="13"/>
        <v>6.5115663076108074E-3</v>
      </c>
      <c r="K35" s="2"/>
      <c r="L35" s="7">
        <f t="shared" si="14"/>
        <v>359.76</v>
      </c>
      <c r="M35" s="2"/>
      <c r="N35" s="6">
        <f t="shared" si="15"/>
        <v>1.2195254237288136</v>
      </c>
      <c r="O35" s="11"/>
      <c r="P35" s="7">
        <v>4926.95</v>
      </c>
      <c r="Q35" s="2"/>
      <c r="R35" s="6">
        <f t="shared" si="16"/>
        <v>1.5421020350444757E-2</v>
      </c>
      <c r="S35" s="2"/>
      <c r="T35" s="7">
        <v>1913</v>
      </c>
      <c r="U35" s="2"/>
      <c r="V35" s="6">
        <f t="shared" si="17"/>
        <v>1.0241776597567243E-2</v>
      </c>
      <c r="W35" s="2"/>
      <c r="X35" s="7">
        <f t="shared" si="18"/>
        <v>3013.95</v>
      </c>
      <c r="Y35" s="2"/>
      <c r="Z35" s="6">
        <f t="shared" si="19"/>
        <v>1.5755096706743335</v>
      </c>
    </row>
    <row r="36" spans="1:26" s="28" customFormat="1" outlineLevel="1" collapsed="1" x14ac:dyDescent="0.3">
      <c r="A36" s="29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16728.059999999998</v>
      </c>
      <c r="E36" s="1"/>
      <c r="F36" s="5">
        <f t="shared" ref="F36:F46" si="20">IF(D$12=0,0,D36/D$12)</f>
        <v>3.4654758797280332</v>
      </c>
      <c r="G36" s="1"/>
      <c r="H36" s="1">
        <f>SUM(OSRRefH22_1x_0)</f>
        <v>17846.679615000001</v>
      </c>
      <c r="I36" s="1"/>
      <c r="J36" s="5">
        <f t="shared" ref="J36:J46" si="21">IF(H$12=0,0,H36/H$12)</f>
        <v>0.39393165316528345</v>
      </c>
      <c r="K36" s="1"/>
      <c r="L36" s="1">
        <f t="shared" ref="L36:L46" si="22">+D36-H36</f>
        <v>-1118.6196150000033</v>
      </c>
      <c r="M36" s="1"/>
      <c r="N36" s="5">
        <f t="shared" ref="N36:N46" si="23">IF(H36=0,0,L36/H36)</f>
        <v>-6.2679424920017712E-2</v>
      </c>
      <c r="O36" s="14"/>
      <c r="P36" s="1">
        <f>SUM(OSRRefP22_1x_0)</f>
        <v>171267.05</v>
      </c>
      <c r="Q36" s="1"/>
      <c r="R36" s="5">
        <f t="shared" ref="R36:R46" si="24">IF(P$12=0,0,P36/P$12)</f>
        <v>0.53605428579763137</v>
      </c>
      <c r="S36" s="1"/>
      <c r="T36" s="1">
        <f>SUM(OSRRefT22_1x_0)</f>
        <v>108608.024125</v>
      </c>
      <c r="U36" s="1"/>
      <c r="V36" s="5">
        <f t="shared" ref="V36:V46" si="25">IF(T$12=0,0,T36/T$12)</f>
        <v>0.5814632095093798</v>
      </c>
      <c r="W36" s="1"/>
      <c r="X36" s="1">
        <f t="shared" ref="X36:X46" si="26">+P36-T36</f>
        <v>62659.025874999992</v>
      </c>
      <c r="Y36" s="1"/>
      <c r="Z36" s="5">
        <f t="shared" ref="Z36:Z46" si="27">IF(T36=0,0,X36/T36)</f>
        <v>0.57692814485681077</v>
      </c>
    </row>
    <row r="37" spans="1:26" s="24" customFormat="1" hidden="1" outlineLevel="2" x14ac:dyDescent="0.3">
      <c r="A37" s="27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3">
      <c r="A38" s="27"/>
      <c r="B38" s="11" t="str">
        <f>CONCATENATE("          ", "6002", " - ", "STAFF SALARIES")</f>
        <v xml:space="preserve">          6002 - STAFF SALARIES</v>
      </c>
      <c r="C38" s="11"/>
      <c r="D38" s="7">
        <v>4561.76</v>
      </c>
      <c r="E38" s="2"/>
      <c r="F38" s="6">
        <f t="shared" si="20"/>
        <v>0.94503900925200857</v>
      </c>
      <c r="G38" s="2"/>
      <c r="H38" s="7">
        <v>6041.0143749999997</v>
      </c>
      <c r="I38" s="2"/>
      <c r="J38" s="6">
        <f t="shared" si="21"/>
        <v>0.1333439514170934</v>
      </c>
      <c r="K38" s="2"/>
      <c r="L38" s="7">
        <f t="shared" si="22"/>
        <v>-1479.2543749999995</v>
      </c>
      <c r="M38" s="2"/>
      <c r="N38" s="6">
        <f t="shared" si="23"/>
        <v>-0.24486854080694015</v>
      </c>
      <c r="O38" s="11"/>
      <c r="P38" s="7">
        <v>64130.16</v>
      </c>
      <c r="Q38" s="2"/>
      <c r="R38" s="6">
        <f t="shared" si="24"/>
        <v>0.20072306445920468</v>
      </c>
      <c r="S38" s="2"/>
      <c r="T38" s="7">
        <v>37454.289125000003</v>
      </c>
      <c r="U38" s="2"/>
      <c r="V38" s="6">
        <f t="shared" si="25"/>
        <v>0.20052193509615387</v>
      </c>
      <c r="W38" s="2"/>
      <c r="X38" s="7">
        <f t="shared" si="26"/>
        <v>26675.870875000001</v>
      </c>
      <c r="Y38" s="2"/>
      <c r="Z38" s="6">
        <f t="shared" si="27"/>
        <v>0.7122247277467183</v>
      </c>
    </row>
    <row r="39" spans="1:26" s="24" customFormat="1" hidden="1" outlineLevel="2" x14ac:dyDescent="0.3">
      <c r="A39" s="27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3">
      <c r="A40" s="27"/>
      <c r="B40" s="11" t="str">
        <f>CONCATENATE("          ", "6004", " - ", "STAFF HOURLY")</f>
        <v xml:space="preserve">          6004 - STAFF HOURLY</v>
      </c>
      <c r="C40" s="11"/>
      <c r="D40" s="7">
        <v>7843.79</v>
      </c>
      <c r="E40" s="2"/>
      <c r="F40" s="6">
        <f t="shared" si="20"/>
        <v>1.624962192307533</v>
      </c>
      <c r="G40" s="2"/>
      <c r="H40" s="7">
        <v>5145.4502400000001</v>
      </c>
      <c r="I40" s="2"/>
      <c r="J40" s="6">
        <f t="shared" si="21"/>
        <v>0.11357606922126082</v>
      </c>
      <c r="K40" s="2"/>
      <c r="L40" s="7">
        <f t="shared" si="22"/>
        <v>2698.3397599999998</v>
      </c>
      <c r="M40" s="2"/>
      <c r="N40" s="6">
        <f t="shared" si="23"/>
        <v>0.52441275964996992</v>
      </c>
      <c r="O40" s="11"/>
      <c r="P40" s="7">
        <v>36599.96</v>
      </c>
      <c r="Q40" s="2"/>
      <c r="R40" s="6">
        <f t="shared" si="24"/>
        <v>0.11455539999096076</v>
      </c>
      <c r="S40" s="2"/>
      <c r="T40" s="7">
        <v>42544.02</v>
      </c>
      <c r="U40" s="2"/>
      <c r="V40" s="6">
        <f t="shared" si="25"/>
        <v>0.22777122237450745</v>
      </c>
      <c r="W40" s="2"/>
      <c r="X40" s="7">
        <f t="shared" si="26"/>
        <v>-5944.0599999999977</v>
      </c>
      <c r="Y40" s="2"/>
      <c r="Z40" s="6">
        <f t="shared" si="27"/>
        <v>-0.13971552288664771</v>
      </c>
    </row>
    <row r="41" spans="1:26" s="24" customFormat="1" hidden="1" outlineLevel="2" x14ac:dyDescent="0.3">
      <c r="A41" s="27"/>
      <c r="B41" s="11" t="str">
        <f>CONCATENATE("          ", "6005", " - ", "TEMPORARY WAGES-HOURLY")</f>
        <v xml:space="preserve">          6005 - TEMPORARY WAGES-HOURLY</v>
      </c>
      <c r="C41" s="11"/>
      <c r="D41" s="7">
        <v>878.51</v>
      </c>
      <c r="E41" s="2"/>
      <c r="F41" s="6">
        <f t="shared" si="20"/>
        <v>0.18199690909166244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878.51</v>
      </c>
      <c r="M41" s="2"/>
      <c r="N41" s="6">
        <f t="shared" si="23"/>
        <v>0</v>
      </c>
      <c r="O41" s="11"/>
      <c r="P41" s="7">
        <v>41517.35</v>
      </c>
      <c r="Q41" s="2"/>
      <c r="R41" s="6">
        <f t="shared" si="24"/>
        <v>0.12994649818783174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41517.35</v>
      </c>
      <c r="Y41" s="2"/>
      <c r="Z41" s="6">
        <f t="shared" si="27"/>
        <v>0</v>
      </c>
    </row>
    <row r="42" spans="1:26" s="24" customFormat="1" hidden="1" outlineLevel="2" x14ac:dyDescent="0.3">
      <c r="A42" s="27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3">
      <c r="A43" s="27"/>
      <c r="B43" s="11" t="str">
        <f>CONCATENATE("          ", "6007", " - ", "STUDENT HOURLY")</f>
        <v xml:space="preserve">          6007 - STUDENT HOURLY</v>
      </c>
      <c r="C43" s="11"/>
      <c r="D43" s="7">
        <v>3444</v>
      </c>
      <c r="E43" s="2"/>
      <c r="F43" s="6">
        <f t="shared" si="20"/>
        <v>0.71347776907682947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3444</v>
      </c>
      <c r="M43" s="2"/>
      <c r="N43" s="6">
        <f t="shared" si="23"/>
        <v>0</v>
      </c>
      <c r="O43" s="11"/>
      <c r="P43" s="7">
        <v>29019.58</v>
      </c>
      <c r="Q43" s="2"/>
      <c r="R43" s="6">
        <f t="shared" si="24"/>
        <v>9.0829323159634198E-2</v>
      </c>
      <c r="S43" s="2"/>
      <c r="T43" s="7">
        <v>798</v>
      </c>
      <c r="U43" s="2"/>
      <c r="V43" s="6">
        <f t="shared" si="25"/>
        <v>4.2723145451430532E-3</v>
      </c>
      <c r="W43" s="2"/>
      <c r="X43" s="7">
        <f t="shared" si="26"/>
        <v>28221.58</v>
      </c>
      <c r="Y43" s="2"/>
      <c r="Z43" s="6">
        <f t="shared" si="27"/>
        <v>35.365388471177944</v>
      </c>
    </row>
    <row r="44" spans="1:26" s="24" customFormat="1" hidden="1" outlineLevel="2" x14ac:dyDescent="0.3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0"/>
        <v>0</v>
      </c>
      <c r="G44" s="2"/>
      <c r="H44" s="7">
        <v>6660.2150000000001</v>
      </c>
      <c r="I44" s="2"/>
      <c r="J44" s="6">
        <f t="shared" si="21"/>
        <v>0.1470116325269292</v>
      </c>
      <c r="K44" s="2"/>
      <c r="L44" s="7">
        <f t="shared" si="22"/>
        <v>-6660.2150000000001</v>
      </c>
      <c r="M44" s="2"/>
      <c r="N44" s="6">
        <f t="shared" si="23"/>
        <v>-1</v>
      </c>
      <c r="O44" s="11"/>
      <c r="P44" s="7"/>
      <c r="Q44" s="2"/>
      <c r="R44" s="6">
        <f t="shared" si="24"/>
        <v>0</v>
      </c>
      <c r="S44" s="2"/>
      <c r="T44" s="7">
        <v>27811.715</v>
      </c>
      <c r="U44" s="2"/>
      <c r="V44" s="6">
        <f t="shared" si="25"/>
        <v>0.14889773749357546</v>
      </c>
      <c r="W44" s="2"/>
      <c r="X44" s="7">
        <f t="shared" si="26"/>
        <v>-27811.715</v>
      </c>
      <c r="Y44" s="2"/>
      <c r="Z44" s="6">
        <f t="shared" si="27"/>
        <v>-1</v>
      </c>
    </row>
    <row r="45" spans="1:26" s="24" customFormat="1" hidden="1" outlineLevel="2" x14ac:dyDescent="0.3">
      <c r="A45" s="27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3">
      <c r="A46" s="27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8" customFormat="1" outlineLevel="1" collapsed="1" x14ac:dyDescent="0.3">
      <c r="A47" s="29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239.22</v>
      </c>
      <c r="E47" s="1"/>
      <c r="F47" s="5">
        <f t="shared" ref="F47:F55" si="28">IF(D$12=0,0,D47/D$12)</f>
        <v>4.9558116120371414E-2</v>
      </c>
      <c r="G47" s="1"/>
      <c r="H47" s="1">
        <f>SUM(OSRRefH22_2x_0)</f>
        <v>0</v>
      </c>
      <c r="I47" s="1"/>
      <c r="J47" s="5">
        <f t="shared" ref="J47:J55" si="29">IF(H$12=0,0,H47/H$12)</f>
        <v>0</v>
      </c>
      <c r="K47" s="1"/>
      <c r="L47" s="1">
        <f t="shared" ref="L47:L55" si="30">+D47-H47</f>
        <v>239.22</v>
      </c>
      <c r="M47" s="1"/>
      <c r="N47" s="5">
        <f t="shared" ref="N47:N55" si="31">IF(H47=0,0,L47/H47)</f>
        <v>0</v>
      </c>
      <c r="O47" s="14"/>
      <c r="P47" s="1">
        <f>SUM(OSRRefP22_2x_0)</f>
        <v>670.74</v>
      </c>
      <c r="Q47" s="1"/>
      <c r="R47" s="5">
        <f t="shared" ref="R47:R55" si="32">IF(P$12=0,0,P47/P$12)</f>
        <v>2.0993708460319907E-3</v>
      </c>
      <c r="S47" s="1"/>
      <c r="T47" s="1">
        <f>SUM(OSRRefT22_2x_0)</f>
        <v>0</v>
      </c>
      <c r="U47" s="1"/>
      <c r="V47" s="5">
        <f t="shared" ref="V47:V55" si="33">IF(T$12=0,0,T47/T$12)</f>
        <v>0</v>
      </c>
      <c r="W47" s="1"/>
      <c r="X47" s="1">
        <f t="shared" ref="X47:X55" si="34">+P47-T47</f>
        <v>670.74</v>
      </c>
      <c r="Y47" s="1"/>
      <c r="Z47" s="5">
        <f t="shared" ref="Z47:Z55" si="35">IF(T47=0,0,X47/T47)</f>
        <v>0</v>
      </c>
    </row>
    <row r="48" spans="1:26" s="24" customFormat="1" hidden="1" outlineLevel="2" x14ac:dyDescent="0.3">
      <c r="A48" s="27"/>
      <c r="B48" s="11" t="str">
        <f>CONCATENATE("          ", "6362", " - ", "ADVERTISING EXPENSE")</f>
        <v xml:space="preserve">          6362 - ADVERTISING EXPENSE</v>
      </c>
      <c r="C48" s="11"/>
      <c r="D48" s="7">
        <v>239.22</v>
      </c>
      <c r="E48" s="2"/>
      <c r="F48" s="6">
        <f t="shared" si="28"/>
        <v>4.9558116120371414E-2</v>
      </c>
      <c r="G48" s="2"/>
      <c r="H48" s="7"/>
      <c r="I48" s="2"/>
      <c r="J48" s="6">
        <f t="shared" si="29"/>
        <v>0</v>
      </c>
      <c r="K48" s="2"/>
      <c r="L48" s="7">
        <f t="shared" si="30"/>
        <v>239.22</v>
      </c>
      <c r="M48" s="2"/>
      <c r="N48" s="6">
        <f t="shared" si="31"/>
        <v>0</v>
      </c>
      <c r="O48" s="11"/>
      <c r="P48" s="7">
        <v>670.74</v>
      </c>
      <c r="Q48" s="2"/>
      <c r="R48" s="6">
        <f t="shared" si="32"/>
        <v>2.0993708460319907E-3</v>
      </c>
      <c r="S48" s="2"/>
      <c r="T48" s="7"/>
      <c r="U48" s="2"/>
      <c r="V48" s="6">
        <f t="shared" si="33"/>
        <v>0</v>
      </c>
      <c r="W48" s="2"/>
      <c r="X48" s="7">
        <f t="shared" si="34"/>
        <v>670.74</v>
      </c>
      <c r="Y48" s="2"/>
      <c r="Z48" s="6">
        <f t="shared" si="35"/>
        <v>0</v>
      </c>
    </row>
    <row r="49" spans="1:26" s="28" customFormat="1" outlineLevel="1" collapsed="1" x14ac:dyDescent="0.3">
      <c r="A49" s="29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-0.49</v>
      </c>
      <c r="E49" s="1"/>
      <c r="F49" s="5">
        <f t="shared" si="28"/>
        <v>-1.0151106470605297E-4</v>
      </c>
      <c r="G49" s="1"/>
      <c r="H49" s="1">
        <f>SUM(OSRRefH22_3x_0)</f>
        <v>0</v>
      </c>
      <c r="I49" s="1"/>
      <c r="J49" s="5">
        <f t="shared" si="29"/>
        <v>0</v>
      </c>
      <c r="K49" s="1"/>
      <c r="L49" s="1">
        <f t="shared" si="30"/>
        <v>-0.49</v>
      </c>
      <c r="M49" s="1"/>
      <c r="N49" s="5">
        <f t="shared" si="31"/>
        <v>0</v>
      </c>
      <c r="O49" s="14"/>
      <c r="P49" s="1">
        <f>SUM(OSRRefP22_3x_0)</f>
        <v>1.26</v>
      </c>
      <c r="Q49" s="1"/>
      <c r="R49" s="5">
        <f t="shared" si="32"/>
        <v>3.9437148015629134E-6</v>
      </c>
      <c r="S49" s="1"/>
      <c r="T49" s="1">
        <f>SUM(OSRRefT22_3x_0)</f>
        <v>50</v>
      </c>
      <c r="U49" s="1"/>
      <c r="V49" s="5">
        <f t="shared" si="33"/>
        <v>2.6768888127462736E-4</v>
      </c>
      <c r="W49" s="1"/>
      <c r="X49" s="1">
        <f t="shared" si="34"/>
        <v>-48.74</v>
      </c>
      <c r="Y49" s="1"/>
      <c r="Z49" s="5">
        <f t="shared" si="35"/>
        <v>-0.9748</v>
      </c>
    </row>
    <row r="50" spans="1:26" s="24" customFormat="1" hidden="1" outlineLevel="2" x14ac:dyDescent="0.3">
      <c r="A50" s="27"/>
      <c r="B50" s="11" t="str">
        <f>CONCATENATE("          ", "6272", " - ", "CASH (OVER/SHORT)")</f>
        <v xml:space="preserve">          6272 - CASH (OVER/SHORT)</v>
      </c>
      <c r="C50" s="11"/>
      <c r="D50" s="7">
        <v>-0.49</v>
      </c>
      <c r="E50" s="2"/>
      <c r="F50" s="6">
        <f t="shared" si="28"/>
        <v>-1.0151106470605297E-4</v>
      </c>
      <c r="G50" s="2"/>
      <c r="H50" s="7"/>
      <c r="I50" s="2"/>
      <c r="J50" s="6">
        <f t="shared" si="29"/>
        <v>0</v>
      </c>
      <c r="K50" s="2"/>
      <c r="L50" s="7">
        <f t="shared" si="30"/>
        <v>-0.49</v>
      </c>
      <c r="M50" s="2"/>
      <c r="N50" s="6">
        <f t="shared" si="31"/>
        <v>0</v>
      </c>
      <c r="O50" s="11"/>
      <c r="P50" s="7">
        <v>1.26</v>
      </c>
      <c r="Q50" s="2"/>
      <c r="R50" s="6">
        <f t="shared" si="32"/>
        <v>3.9437148015629134E-6</v>
      </c>
      <c r="S50" s="2"/>
      <c r="T50" s="7">
        <v>50</v>
      </c>
      <c r="U50" s="2"/>
      <c r="V50" s="6">
        <f t="shared" si="33"/>
        <v>2.6768888127462736E-4</v>
      </c>
      <c r="W50" s="2"/>
      <c r="X50" s="7">
        <f t="shared" si="34"/>
        <v>-48.74</v>
      </c>
      <c r="Y50" s="2"/>
      <c r="Z50" s="6">
        <f t="shared" si="35"/>
        <v>-0.9748</v>
      </c>
    </row>
    <row r="51" spans="1:26" s="28" customFormat="1" outlineLevel="1" collapsed="1" x14ac:dyDescent="0.3">
      <c r="A51" s="29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152.91</v>
      </c>
      <c r="E51" s="1"/>
      <c r="F51" s="5">
        <f t="shared" si="28"/>
        <v>3.1677667151433796E-2</v>
      </c>
      <c r="G51" s="1"/>
      <c r="H51" s="1">
        <f>SUM(OSRRefH22_4x_0)</f>
        <v>2272</v>
      </c>
      <c r="I51" s="1"/>
      <c r="J51" s="5">
        <f t="shared" si="29"/>
        <v>5.0150097121666959E-2</v>
      </c>
      <c r="K51" s="1"/>
      <c r="L51" s="1">
        <f t="shared" si="30"/>
        <v>-2119.09</v>
      </c>
      <c r="M51" s="1"/>
      <c r="N51" s="5">
        <f t="shared" si="31"/>
        <v>-0.93269806338028172</v>
      </c>
      <c r="O51" s="14"/>
      <c r="P51" s="1">
        <f>SUM(OSRRefP22_4x_0)</f>
        <v>11447.91</v>
      </c>
      <c r="Q51" s="1"/>
      <c r="R51" s="5">
        <f t="shared" si="32"/>
        <v>3.583118421742864E-2</v>
      </c>
      <c r="S51" s="1"/>
      <c r="T51" s="1">
        <f>SUM(OSRRefT22_4x_0)</f>
        <v>9367</v>
      </c>
      <c r="U51" s="1"/>
      <c r="V51" s="5">
        <f t="shared" si="33"/>
        <v>5.014883501798869E-2</v>
      </c>
      <c r="W51" s="1"/>
      <c r="X51" s="1">
        <f t="shared" si="34"/>
        <v>2080.91</v>
      </c>
      <c r="Y51" s="1"/>
      <c r="Z51" s="5">
        <f t="shared" si="35"/>
        <v>0.2221533041528771</v>
      </c>
    </row>
    <row r="52" spans="1:26" s="24" customFormat="1" hidden="1" outlineLevel="2" x14ac:dyDescent="0.3">
      <c r="A52" s="27"/>
      <c r="B52" s="11" t="str">
        <f>CONCATENATE("          ", "6381", " - ", "BANK/CREDIT CARD FEES")</f>
        <v xml:space="preserve">          6381 - BANK/CREDIT CARD FEES</v>
      </c>
      <c r="C52" s="11"/>
      <c r="D52" s="7">
        <v>152.91</v>
      </c>
      <c r="E52" s="2"/>
      <c r="F52" s="6">
        <f t="shared" si="28"/>
        <v>3.1677667151433796E-2</v>
      </c>
      <c r="G52" s="2"/>
      <c r="H52" s="7">
        <v>2272</v>
      </c>
      <c r="I52" s="2"/>
      <c r="J52" s="6">
        <f t="shared" si="29"/>
        <v>5.0150097121666959E-2</v>
      </c>
      <c r="K52" s="2"/>
      <c r="L52" s="7">
        <f t="shared" si="30"/>
        <v>-2119.09</v>
      </c>
      <c r="M52" s="2"/>
      <c r="N52" s="6">
        <f t="shared" si="31"/>
        <v>-0.93269806338028172</v>
      </c>
      <c r="O52" s="11"/>
      <c r="P52" s="7">
        <v>11447.91</v>
      </c>
      <c r="Q52" s="2"/>
      <c r="R52" s="6">
        <f t="shared" si="32"/>
        <v>3.583118421742864E-2</v>
      </c>
      <c r="S52" s="2"/>
      <c r="T52" s="7">
        <v>9367</v>
      </c>
      <c r="U52" s="2"/>
      <c r="V52" s="6">
        <f t="shared" si="33"/>
        <v>5.014883501798869E-2</v>
      </c>
      <c r="W52" s="2"/>
      <c r="X52" s="7">
        <f t="shared" si="34"/>
        <v>2080.91</v>
      </c>
      <c r="Y52" s="2"/>
      <c r="Z52" s="6">
        <f t="shared" si="35"/>
        <v>0.2221533041528771</v>
      </c>
    </row>
    <row r="53" spans="1:26" s="28" customFormat="1" outlineLevel="1" collapsed="1" x14ac:dyDescent="0.3">
      <c r="A53" s="29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14007.34</v>
      </c>
      <c r="E53" s="1"/>
      <c r="F53" s="5">
        <f t="shared" si="28"/>
        <v>2.9018367287748652</v>
      </c>
      <c r="G53" s="1"/>
      <c r="H53" s="1">
        <f>SUM(OSRRefH22_5x_0)</f>
        <v>13902</v>
      </c>
      <c r="I53" s="1"/>
      <c r="J53" s="5">
        <f t="shared" si="29"/>
        <v>0.30686032138442521</v>
      </c>
      <c r="K53" s="1"/>
      <c r="L53" s="1">
        <f t="shared" si="30"/>
        <v>105.34000000000015</v>
      </c>
      <c r="M53" s="1"/>
      <c r="N53" s="5">
        <f t="shared" si="31"/>
        <v>7.577327003308887E-3</v>
      </c>
      <c r="O53" s="14"/>
      <c r="P53" s="1">
        <f>SUM(OSRRefP22_5x_0)</f>
        <v>98051.38</v>
      </c>
      <c r="Q53" s="1"/>
      <c r="R53" s="5">
        <f t="shared" si="32"/>
        <v>0.30689418938069035</v>
      </c>
      <c r="S53" s="1"/>
      <c r="T53" s="1">
        <f>SUM(OSRRefT22_5x_0)</f>
        <v>97314</v>
      </c>
      <c r="U53" s="1"/>
      <c r="V53" s="5">
        <f t="shared" si="33"/>
        <v>0.52099751584718179</v>
      </c>
      <c r="W53" s="1"/>
      <c r="X53" s="1">
        <f t="shared" si="34"/>
        <v>737.38000000000466</v>
      </c>
      <c r="Y53" s="1"/>
      <c r="Z53" s="5">
        <f t="shared" si="35"/>
        <v>7.5773270033089243E-3</v>
      </c>
    </row>
    <row r="54" spans="1:26" s="24" customFormat="1" hidden="1" outlineLevel="2" x14ac:dyDescent="0.3">
      <c r="A54" s="27"/>
      <c r="B54" s="11" t="str">
        <f>CONCATENATE("          ", "6321", " - ", "BUILDING DEPRECIATION")</f>
        <v xml:space="preserve">          6321 - BUILDING DEPRECIATION</v>
      </c>
      <c r="C54" s="11"/>
      <c r="D54" s="7">
        <v>10597.26</v>
      </c>
      <c r="E54" s="2"/>
      <c r="F54" s="6">
        <f t="shared" si="28"/>
        <v>2.1953860113609531</v>
      </c>
      <c r="G54" s="2"/>
      <c r="H54" s="7"/>
      <c r="I54" s="2"/>
      <c r="J54" s="6">
        <f t="shared" si="29"/>
        <v>0</v>
      </c>
      <c r="K54" s="2"/>
      <c r="L54" s="7">
        <f t="shared" si="30"/>
        <v>10597.26</v>
      </c>
      <c r="M54" s="2"/>
      <c r="N54" s="6">
        <f t="shared" si="31"/>
        <v>0</v>
      </c>
      <c r="O54" s="11"/>
      <c r="P54" s="7">
        <v>74180.820000000007</v>
      </c>
      <c r="Q54" s="2"/>
      <c r="R54" s="6">
        <f t="shared" si="32"/>
        <v>0.23218095065561445</v>
      </c>
      <c r="S54" s="2"/>
      <c r="T54" s="7"/>
      <c r="U54" s="2"/>
      <c r="V54" s="6">
        <f t="shared" si="33"/>
        <v>0</v>
      </c>
      <c r="W54" s="2"/>
      <c r="X54" s="7">
        <f t="shared" si="34"/>
        <v>74180.820000000007</v>
      </c>
      <c r="Y54" s="2"/>
      <c r="Z54" s="6">
        <f t="shared" si="35"/>
        <v>0</v>
      </c>
    </row>
    <row r="55" spans="1:26" s="24" customFormat="1" hidden="1" outlineLevel="2" x14ac:dyDescent="0.3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3410.08</v>
      </c>
      <c r="E55" s="2"/>
      <c r="F55" s="6">
        <f t="shared" si="28"/>
        <v>0.70645071741391241</v>
      </c>
      <c r="G55" s="2"/>
      <c r="H55" s="7">
        <v>13902</v>
      </c>
      <c r="I55" s="2"/>
      <c r="J55" s="6">
        <f t="shared" si="29"/>
        <v>0.30686032138442521</v>
      </c>
      <c r="K55" s="2"/>
      <c r="L55" s="7">
        <f t="shared" si="30"/>
        <v>-10491.92</v>
      </c>
      <c r="M55" s="2"/>
      <c r="N55" s="6">
        <f t="shared" si="31"/>
        <v>-0.75470579772694579</v>
      </c>
      <c r="O55" s="11"/>
      <c r="P55" s="7">
        <v>23870.560000000001</v>
      </c>
      <c r="Q55" s="2"/>
      <c r="R55" s="6">
        <f t="shared" si="32"/>
        <v>7.4713238725075889E-2</v>
      </c>
      <c r="S55" s="2"/>
      <c r="T55" s="7">
        <v>97314</v>
      </c>
      <c r="U55" s="2"/>
      <c r="V55" s="6">
        <f t="shared" si="33"/>
        <v>0.52099751584718179</v>
      </c>
      <c r="W55" s="2"/>
      <c r="X55" s="7">
        <f t="shared" si="34"/>
        <v>-73443.44</v>
      </c>
      <c r="Y55" s="2"/>
      <c r="Z55" s="6">
        <f t="shared" si="35"/>
        <v>-0.75470579772694579</v>
      </c>
    </row>
    <row r="56" spans="1:26" s="28" customFormat="1" outlineLevel="1" collapsed="1" x14ac:dyDescent="0.3">
      <c r="A56" s="29"/>
      <c r="B56" s="14" t="str">
        <f>CONCATENATE("     ","Employees' Appreciation                           ")</f>
        <v xml:space="preserve">     Employees' Appreciation                           </v>
      </c>
      <c r="C56" s="14"/>
      <c r="D56" s="1">
        <f>SUM(OSRRefD22_6x_0)</f>
        <v>0</v>
      </c>
      <c r="E56" s="1"/>
      <c r="F56" s="5">
        <f t="shared" ref="F56:F68" si="36">IF(D$12=0,0,D56/D$12)</f>
        <v>0</v>
      </c>
      <c r="G56" s="1"/>
      <c r="H56" s="1">
        <f>SUM(OSRRefH22_6x_0)</f>
        <v>0</v>
      </c>
      <c r="I56" s="1"/>
      <c r="J56" s="5">
        <f t="shared" ref="J56:J68" si="37">IF(H$12=0,0,H56/H$12)</f>
        <v>0</v>
      </c>
      <c r="K56" s="1"/>
      <c r="L56" s="1">
        <f t="shared" ref="L56:L68" si="38">+D56-H56</f>
        <v>0</v>
      </c>
      <c r="M56" s="1"/>
      <c r="N56" s="5">
        <f t="shared" ref="N56:N68" si="39">IF(H56=0,0,L56/H56)</f>
        <v>0</v>
      </c>
      <c r="O56" s="14"/>
      <c r="P56" s="1">
        <f>SUM(OSRRefP22_6x_0)</f>
        <v>0</v>
      </c>
      <c r="Q56" s="1"/>
      <c r="R56" s="5">
        <f t="shared" ref="R56:R68" si="40">IF(P$12=0,0,P56/P$12)</f>
        <v>0</v>
      </c>
      <c r="S56" s="1"/>
      <c r="T56" s="1">
        <f>SUM(OSRRefT22_6x_0)</f>
        <v>50</v>
      </c>
      <c r="U56" s="1"/>
      <c r="V56" s="5">
        <f t="shared" ref="V56:V68" si="41">IF(T$12=0,0,T56/T$12)</f>
        <v>2.6768888127462736E-4</v>
      </c>
      <c r="W56" s="1"/>
      <c r="X56" s="1">
        <f t="shared" ref="X56:X68" si="42">+P56-T56</f>
        <v>-50</v>
      </c>
      <c r="Y56" s="1"/>
      <c r="Z56" s="5">
        <f t="shared" ref="Z56:Z68" si="43">IF(T56=0,0,X56/T56)</f>
        <v>-1</v>
      </c>
    </row>
    <row r="57" spans="1:26" s="24" customFormat="1" hidden="1" outlineLevel="2" x14ac:dyDescent="0.3">
      <c r="A57" s="27"/>
      <c r="B57" s="11" t="str">
        <f>CONCATENATE("          ", "6277", " - ", "EMPLOYEE APPRECIATION")</f>
        <v xml:space="preserve">          6277 - EMPLOYEE APPRECIATION</v>
      </c>
      <c r="C57" s="11"/>
      <c r="D57" s="7"/>
      <c r="E57" s="2"/>
      <c r="F57" s="6">
        <f t="shared" si="36"/>
        <v>0</v>
      </c>
      <c r="G57" s="2"/>
      <c r="H57" s="7"/>
      <c r="I57" s="2"/>
      <c r="J57" s="6">
        <f t="shared" si="37"/>
        <v>0</v>
      </c>
      <c r="K57" s="2"/>
      <c r="L57" s="7">
        <f t="shared" si="38"/>
        <v>0</v>
      </c>
      <c r="M57" s="2"/>
      <c r="N57" s="6">
        <f t="shared" si="39"/>
        <v>0</v>
      </c>
      <c r="O57" s="11"/>
      <c r="P57" s="7"/>
      <c r="Q57" s="2"/>
      <c r="R57" s="6">
        <f t="shared" si="40"/>
        <v>0</v>
      </c>
      <c r="S57" s="2"/>
      <c r="T57" s="7">
        <v>50</v>
      </c>
      <c r="U57" s="2"/>
      <c r="V57" s="6">
        <f t="shared" si="41"/>
        <v>2.6768888127462736E-4</v>
      </c>
      <c r="W57" s="2"/>
      <c r="X57" s="7">
        <f t="shared" si="42"/>
        <v>-50</v>
      </c>
      <c r="Y57" s="2"/>
      <c r="Z57" s="6">
        <f t="shared" si="43"/>
        <v>-1</v>
      </c>
    </row>
    <row r="58" spans="1:26" s="28" customFormat="1" outlineLevel="1" collapsed="1" x14ac:dyDescent="0.3">
      <c r="A58" s="29"/>
      <c r="B58" s="14" t="str">
        <f>CONCATENATE("     ","Equipment Rental                                  ")</f>
        <v xml:space="preserve">     Equipment Rental                                  </v>
      </c>
      <c r="C58" s="14"/>
      <c r="D58" s="1">
        <f>SUM(OSRRefD22_7x_0)</f>
        <v>225.29</v>
      </c>
      <c r="E58" s="1"/>
      <c r="F58" s="5">
        <f t="shared" si="36"/>
        <v>4.6672301566585049E-2</v>
      </c>
      <c r="G58" s="1"/>
      <c r="H58" s="1">
        <f>SUM(OSRRefH22_7x_0)</f>
        <v>275</v>
      </c>
      <c r="I58" s="1"/>
      <c r="J58" s="5">
        <f t="shared" si="37"/>
        <v>6.0701041850609221E-3</v>
      </c>
      <c r="K58" s="1"/>
      <c r="L58" s="1">
        <f t="shared" si="38"/>
        <v>-49.710000000000008</v>
      </c>
      <c r="M58" s="1"/>
      <c r="N58" s="5">
        <f t="shared" si="39"/>
        <v>-0.1807636363636364</v>
      </c>
      <c r="O58" s="14"/>
      <c r="P58" s="1">
        <f>SUM(OSRRefP22_7x_0)</f>
        <v>2010.05</v>
      </c>
      <c r="Q58" s="1"/>
      <c r="R58" s="5">
        <f t="shared" si="40"/>
        <v>6.2913205848266138E-3</v>
      </c>
      <c r="S58" s="1"/>
      <c r="T58" s="1">
        <f>SUM(OSRRefT22_7x_0)</f>
        <v>1925</v>
      </c>
      <c r="U58" s="1"/>
      <c r="V58" s="5">
        <f t="shared" si="41"/>
        <v>1.0306021929073154E-2</v>
      </c>
      <c r="W58" s="1"/>
      <c r="X58" s="1">
        <f t="shared" si="42"/>
        <v>85.049999999999955</v>
      </c>
      <c r="Y58" s="1"/>
      <c r="Z58" s="5">
        <f t="shared" si="43"/>
        <v>4.4181818181818155E-2</v>
      </c>
    </row>
    <row r="59" spans="1:26" s="24" customFormat="1" hidden="1" outlineLevel="2" x14ac:dyDescent="0.3">
      <c r="A59" s="27"/>
      <c r="B59" s="11" t="str">
        <f>CONCATENATE("          ", "6351", " - ", "EQUIPMENT RENTAL")</f>
        <v xml:space="preserve">          6351 - EQUIPMENT RENTAL</v>
      </c>
      <c r="C59" s="11"/>
      <c r="D59" s="7">
        <v>225.29</v>
      </c>
      <c r="E59" s="2"/>
      <c r="F59" s="6">
        <f t="shared" si="36"/>
        <v>4.6672301566585049E-2</v>
      </c>
      <c r="G59" s="2"/>
      <c r="H59" s="7">
        <v>275</v>
      </c>
      <c r="I59" s="2"/>
      <c r="J59" s="6">
        <f t="shared" si="37"/>
        <v>6.0701041850609221E-3</v>
      </c>
      <c r="K59" s="2"/>
      <c r="L59" s="7">
        <f t="shared" si="38"/>
        <v>-49.710000000000008</v>
      </c>
      <c r="M59" s="2"/>
      <c r="N59" s="6">
        <f t="shared" si="39"/>
        <v>-0.1807636363636364</v>
      </c>
      <c r="O59" s="11"/>
      <c r="P59" s="7">
        <v>2010.05</v>
      </c>
      <c r="Q59" s="2"/>
      <c r="R59" s="6">
        <f t="shared" si="40"/>
        <v>6.2913205848266138E-3</v>
      </c>
      <c r="S59" s="2"/>
      <c r="T59" s="7">
        <v>1925</v>
      </c>
      <c r="U59" s="2"/>
      <c r="V59" s="6">
        <f t="shared" si="41"/>
        <v>1.0306021929073154E-2</v>
      </c>
      <c r="W59" s="2"/>
      <c r="X59" s="7">
        <f t="shared" si="42"/>
        <v>85.049999999999955</v>
      </c>
      <c r="Y59" s="2"/>
      <c r="Z59" s="6">
        <f t="shared" si="43"/>
        <v>4.4181818181818155E-2</v>
      </c>
    </row>
    <row r="60" spans="1:26" s="28" customFormat="1" outlineLevel="1" collapsed="1" x14ac:dyDescent="0.3">
      <c r="A60" s="29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SUM(OSRRefD22_8x_0)</f>
        <v>0</v>
      </c>
      <c r="E60" s="1"/>
      <c r="F60" s="5">
        <f t="shared" si="36"/>
        <v>0</v>
      </c>
      <c r="G60" s="1"/>
      <c r="H60" s="1">
        <f>SUM(OSRRefH22_8x_0)</f>
        <v>0</v>
      </c>
      <c r="I60" s="1"/>
      <c r="J60" s="5">
        <f t="shared" si="37"/>
        <v>0</v>
      </c>
      <c r="K60" s="1"/>
      <c r="L60" s="1">
        <f t="shared" si="38"/>
        <v>0</v>
      </c>
      <c r="M60" s="1"/>
      <c r="N60" s="5">
        <f t="shared" si="39"/>
        <v>0</v>
      </c>
      <c r="O60" s="14"/>
      <c r="P60" s="1">
        <f>SUM(OSRRefP22_8x_0)</f>
        <v>1520.97</v>
      </c>
      <c r="Q60" s="1"/>
      <c r="R60" s="5">
        <f t="shared" si="40"/>
        <v>4.7605332553437652E-3</v>
      </c>
      <c r="S60" s="1"/>
      <c r="T60" s="1">
        <f>SUM(OSRRefT22_8x_0)</f>
        <v>1790</v>
      </c>
      <c r="U60" s="1"/>
      <c r="V60" s="5">
        <f t="shared" si="41"/>
        <v>9.5832619496316607E-3</v>
      </c>
      <c r="W60" s="1"/>
      <c r="X60" s="1">
        <f t="shared" si="42"/>
        <v>-269.02999999999997</v>
      </c>
      <c r="Y60" s="1"/>
      <c r="Z60" s="5">
        <f t="shared" si="43"/>
        <v>-0.15029608938547484</v>
      </c>
    </row>
    <row r="61" spans="1:26" s="24" customFormat="1" hidden="1" outlineLevel="2" x14ac:dyDescent="0.3">
      <c r="A61" s="27"/>
      <c r="B61" s="11" t="str">
        <f>CONCATENATE("          ", "6279", " - ", "GENERAL EXPENSE")</f>
        <v xml:space="preserve">          6279 - GENERAL EXPENSE</v>
      </c>
      <c r="C61" s="11"/>
      <c r="D61" s="7"/>
      <c r="E61" s="2"/>
      <c r="F61" s="6">
        <f t="shared" si="36"/>
        <v>0</v>
      </c>
      <c r="G61" s="2"/>
      <c r="H61" s="7"/>
      <c r="I61" s="2"/>
      <c r="J61" s="6">
        <f t="shared" si="37"/>
        <v>0</v>
      </c>
      <c r="K61" s="2"/>
      <c r="L61" s="7">
        <f t="shared" si="38"/>
        <v>0</v>
      </c>
      <c r="M61" s="2"/>
      <c r="N61" s="6">
        <f t="shared" si="39"/>
        <v>0</v>
      </c>
      <c r="O61" s="11"/>
      <c r="P61" s="7">
        <v>1520.97</v>
      </c>
      <c r="Q61" s="2"/>
      <c r="R61" s="6">
        <f t="shared" si="40"/>
        <v>4.7605332553437652E-3</v>
      </c>
      <c r="S61" s="2"/>
      <c r="T61" s="7">
        <v>1790</v>
      </c>
      <c r="U61" s="2"/>
      <c r="V61" s="6">
        <f t="shared" si="41"/>
        <v>9.5832619496316607E-3</v>
      </c>
      <c r="W61" s="2"/>
      <c r="X61" s="7">
        <f t="shared" si="42"/>
        <v>-269.02999999999997</v>
      </c>
      <c r="Y61" s="2"/>
      <c r="Z61" s="6">
        <f t="shared" si="43"/>
        <v>-0.15029608938547484</v>
      </c>
    </row>
    <row r="62" spans="1:26" s="28" customFormat="1" outlineLevel="1" collapsed="1" x14ac:dyDescent="0.3">
      <c r="A62" s="29"/>
      <c r="B62" s="14" t="str">
        <f>CONCATENATE("     ","Insurance                                         ")</f>
        <v xml:space="preserve">     Insurance                                         </v>
      </c>
      <c r="C62" s="14"/>
      <c r="D62" s="1">
        <f>SUM(OSRRefD22_9x_0)</f>
        <v>871.61</v>
      </c>
      <c r="E62" s="1"/>
      <c r="F62" s="5">
        <f t="shared" si="36"/>
        <v>0.18056746756825068</v>
      </c>
      <c r="G62" s="1"/>
      <c r="H62" s="1">
        <f>SUM(OSRRefH22_9x_0)</f>
        <v>850</v>
      </c>
      <c r="I62" s="1"/>
      <c r="J62" s="5">
        <f t="shared" si="37"/>
        <v>1.8762140208370123E-2</v>
      </c>
      <c r="K62" s="1"/>
      <c r="L62" s="1">
        <f t="shared" si="38"/>
        <v>21.610000000000014</v>
      </c>
      <c r="M62" s="1"/>
      <c r="N62" s="5">
        <f t="shared" si="39"/>
        <v>2.5423529411764723E-2</v>
      </c>
      <c r="O62" s="14"/>
      <c r="P62" s="1">
        <f>SUM(OSRRefP22_9x_0)</f>
        <v>6101.27</v>
      </c>
      <c r="Q62" s="1"/>
      <c r="R62" s="5">
        <f t="shared" si="40"/>
        <v>1.9096562545501395E-2</v>
      </c>
      <c r="S62" s="1"/>
      <c r="T62" s="1">
        <f>SUM(OSRRefT22_9x_0)</f>
        <v>5950</v>
      </c>
      <c r="U62" s="1"/>
      <c r="V62" s="5">
        <f t="shared" si="41"/>
        <v>3.1854976871680658E-2</v>
      </c>
      <c r="W62" s="1"/>
      <c r="X62" s="1">
        <f t="shared" si="42"/>
        <v>151.27000000000044</v>
      </c>
      <c r="Y62" s="1"/>
      <c r="Z62" s="5">
        <f t="shared" si="43"/>
        <v>2.5423529411764779E-2</v>
      </c>
    </row>
    <row r="63" spans="1:26" s="24" customFormat="1" hidden="1" outlineLevel="2" x14ac:dyDescent="0.3">
      <c r="A63" s="27"/>
      <c r="B63" s="11" t="str">
        <f>CONCATENATE("          ", "6314", " - ", "LIABILITY INSURANCE")</f>
        <v xml:space="preserve">          6314 - LIABILITY INSURANCE</v>
      </c>
      <c r="C63" s="11"/>
      <c r="D63" s="7">
        <v>871.61</v>
      </c>
      <c r="E63" s="2"/>
      <c r="F63" s="6">
        <f t="shared" si="36"/>
        <v>0.18056746756825068</v>
      </c>
      <c r="G63" s="2"/>
      <c r="H63" s="7">
        <v>850</v>
      </c>
      <c r="I63" s="2"/>
      <c r="J63" s="6">
        <f t="shared" si="37"/>
        <v>1.8762140208370123E-2</v>
      </c>
      <c r="K63" s="2"/>
      <c r="L63" s="7">
        <f t="shared" si="38"/>
        <v>21.610000000000014</v>
      </c>
      <c r="M63" s="2"/>
      <c r="N63" s="6">
        <f t="shared" si="39"/>
        <v>2.5423529411764723E-2</v>
      </c>
      <c r="O63" s="11"/>
      <c r="P63" s="7">
        <v>6101.27</v>
      </c>
      <c r="Q63" s="2"/>
      <c r="R63" s="6">
        <f t="shared" si="40"/>
        <v>1.9096562545501395E-2</v>
      </c>
      <c r="S63" s="2"/>
      <c r="T63" s="7">
        <v>5950</v>
      </c>
      <c r="U63" s="2"/>
      <c r="V63" s="6">
        <f t="shared" si="41"/>
        <v>3.1854976871680658E-2</v>
      </c>
      <c r="W63" s="2"/>
      <c r="X63" s="7">
        <f t="shared" si="42"/>
        <v>151.27000000000044</v>
      </c>
      <c r="Y63" s="2"/>
      <c r="Z63" s="6">
        <f t="shared" si="43"/>
        <v>2.5423529411764779E-2</v>
      </c>
    </row>
    <row r="64" spans="1:26" s="28" customFormat="1" outlineLevel="1" collapsed="1" x14ac:dyDescent="0.3">
      <c r="A64" s="29"/>
      <c r="B64" s="14" t="str">
        <f>CONCATENATE("     ","Interest                                          ")</f>
        <v xml:space="preserve">     Interest                                          </v>
      </c>
      <c r="C64" s="14"/>
      <c r="D64" s="1">
        <f>SUM(OSRRefD22_10x_0)</f>
        <v>7253</v>
      </c>
      <c r="E64" s="1"/>
      <c r="F64" s="5">
        <f t="shared" si="36"/>
        <v>1.5025709230877595</v>
      </c>
      <c r="G64" s="1"/>
      <c r="H64" s="1">
        <f>SUM(OSRRefH22_10x_0)</f>
        <v>7253</v>
      </c>
      <c r="I64" s="1"/>
      <c r="J64" s="5">
        <f t="shared" si="37"/>
        <v>0.16009623874271586</v>
      </c>
      <c r="K64" s="1"/>
      <c r="L64" s="1">
        <f t="shared" si="38"/>
        <v>0</v>
      </c>
      <c r="M64" s="1"/>
      <c r="N64" s="5">
        <f t="shared" si="39"/>
        <v>0</v>
      </c>
      <c r="O64" s="14"/>
      <c r="P64" s="1">
        <f>SUM(OSRRefP22_10x_0)</f>
        <v>50257</v>
      </c>
      <c r="Q64" s="1"/>
      <c r="R64" s="5">
        <f t="shared" si="40"/>
        <v>0.15730101173186295</v>
      </c>
      <c r="S64" s="1"/>
      <c r="T64" s="1">
        <f>SUM(OSRRefT22_10x_0)</f>
        <v>50771</v>
      </c>
      <c r="U64" s="1"/>
      <c r="V64" s="5">
        <f t="shared" si="41"/>
        <v>0.27181664382388215</v>
      </c>
      <c r="W64" s="1"/>
      <c r="X64" s="1">
        <f t="shared" si="42"/>
        <v>-514</v>
      </c>
      <c r="Y64" s="1"/>
      <c r="Z64" s="5">
        <f t="shared" si="43"/>
        <v>-1.0123889622028323E-2</v>
      </c>
    </row>
    <row r="65" spans="1:26" s="24" customFormat="1" hidden="1" outlineLevel="2" x14ac:dyDescent="0.3">
      <c r="A65" s="27"/>
      <c r="B65" s="11" t="str">
        <f>CONCATENATE("          ", "6401", " - ", "INTEREST EXPENSE")</f>
        <v xml:space="preserve">          6401 - INTEREST EXPENSE</v>
      </c>
      <c r="C65" s="11"/>
      <c r="D65" s="7">
        <v>7253</v>
      </c>
      <c r="E65" s="2"/>
      <c r="F65" s="6">
        <f t="shared" si="36"/>
        <v>1.5025709230877595</v>
      </c>
      <c r="G65" s="2"/>
      <c r="H65" s="7">
        <v>7253</v>
      </c>
      <c r="I65" s="2"/>
      <c r="J65" s="6">
        <f t="shared" si="37"/>
        <v>0.16009623874271586</v>
      </c>
      <c r="K65" s="2"/>
      <c r="L65" s="7">
        <f t="shared" si="38"/>
        <v>0</v>
      </c>
      <c r="M65" s="2"/>
      <c r="N65" s="6">
        <f t="shared" si="39"/>
        <v>0</v>
      </c>
      <c r="O65" s="11"/>
      <c r="P65" s="7">
        <v>50257</v>
      </c>
      <c r="Q65" s="2"/>
      <c r="R65" s="6">
        <f t="shared" si="40"/>
        <v>0.15730101173186295</v>
      </c>
      <c r="S65" s="2"/>
      <c r="T65" s="7">
        <v>50771</v>
      </c>
      <c r="U65" s="2"/>
      <c r="V65" s="6">
        <f t="shared" si="41"/>
        <v>0.27181664382388215</v>
      </c>
      <c r="W65" s="2"/>
      <c r="X65" s="7">
        <f t="shared" si="42"/>
        <v>-514</v>
      </c>
      <c r="Y65" s="2"/>
      <c r="Z65" s="6">
        <f t="shared" si="43"/>
        <v>-1.0123889622028323E-2</v>
      </c>
    </row>
    <row r="66" spans="1:26" s="28" customFormat="1" outlineLevel="1" collapsed="1" x14ac:dyDescent="0.3">
      <c r="A66" s="29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838.05</v>
      </c>
      <c r="E66" s="1"/>
      <c r="F66" s="5">
        <f t="shared" si="36"/>
        <v>0.1736149954630769</v>
      </c>
      <c r="G66" s="1"/>
      <c r="H66" s="1">
        <f>SUM(OSRRefH22_11x_0)</f>
        <v>880</v>
      </c>
      <c r="I66" s="1"/>
      <c r="J66" s="5">
        <f t="shared" si="37"/>
        <v>1.9424333392194949E-2</v>
      </c>
      <c r="K66" s="1"/>
      <c r="L66" s="1">
        <f t="shared" si="38"/>
        <v>-41.950000000000045</v>
      </c>
      <c r="M66" s="1"/>
      <c r="N66" s="5">
        <f t="shared" si="39"/>
        <v>-4.7670454545454599E-2</v>
      </c>
      <c r="O66" s="14"/>
      <c r="P66" s="1">
        <f>SUM(OSRRefP22_11x_0)</f>
        <v>22077.71</v>
      </c>
      <c r="Q66" s="1"/>
      <c r="R66" s="5">
        <f t="shared" si="40"/>
        <v>6.9101739453661548E-2</v>
      </c>
      <c r="S66" s="1"/>
      <c r="T66" s="1">
        <f>SUM(OSRRefT22_11x_0)</f>
        <v>7369</v>
      </c>
      <c r="U66" s="1"/>
      <c r="V66" s="5">
        <f t="shared" si="41"/>
        <v>3.9451987322254585E-2</v>
      </c>
      <c r="W66" s="1"/>
      <c r="X66" s="1">
        <f t="shared" si="42"/>
        <v>14708.71</v>
      </c>
      <c r="Y66" s="1"/>
      <c r="Z66" s="5">
        <f t="shared" si="43"/>
        <v>1.9960252408739312</v>
      </c>
    </row>
    <row r="67" spans="1:26" s="24" customFormat="1" hidden="1" outlineLevel="2" x14ac:dyDescent="0.3">
      <c r="A67" s="27"/>
      <c r="B67" s="11" t="str">
        <f>CONCATENATE("          ", "6373", " - ", "MAINTENANCE CONTRACTS")</f>
        <v xml:space="preserve">          6373 - MAINTENANCE CONTRACTS</v>
      </c>
      <c r="C67" s="11"/>
      <c r="D67" s="7">
        <v>441</v>
      </c>
      <c r="E67" s="2"/>
      <c r="F67" s="6">
        <f t="shared" si="36"/>
        <v>9.135995823544768E-2</v>
      </c>
      <c r="G67" s="2"/>
      <c r="H67" s="7">
        <v>380</v>
      </c>
      <c r="I67" s="2"/>
      <c r="J67" s="6">
        <f t="shared" si="37"/>
        <v>8.3877803284478185E-3</v>
      </c>
      <c r="K67" s="2"/>
      <c r="L67" s="7">
        <f t="shared" si="38"/>
        <v>61</v>
      </c>
      <c r="M67" s="2"/>
      <c r="N67" s="6">
        <f t="shared" si="39"/>
        <v>0.16052631578947368</v>
      </c>
      <c r="O67" s="11"/>
      <c r="P67" s="7">
        <v>3089.48</v>
      </c>
      <c r="Q67" s="2"/>
      <c r="R67" s="6">
        <f t="shared" si="40"/>
        <v>9.669863496136976E-3</v>
      </c>
      <c r="S67" s="2"/>
      <c r="T67" s="7">
        <v>2665</v>
      </c>
      <c r="U67" s="2"/>
      <c r="V67" s="6">
        <f t="shared" si="41"/>
        <v>1.4267817371937639E-2</v>
      </c>
      <c r="W67" s="2"/>
      <c r="X67" s="7">
        <f t="shared" si="42"/>
        <v>424.48</v>
      </c>
      <c r="Y67" s="2"/>
      <c r="Z67" s="6">
        <f t="shared" si="43"/>
        <v>0.15927954971857411</v>
      </c>
    </row>
    <row r="68" spans="1:26" s="24" customFormat="1" hidden="1" outlineLevel="2" x14ac:dyDescent="0.3">
      <c r="A68" s="27"/>
      <c r="B68" s="11" t="str">
        <f>CONCATENATE("          ", "6375", " - ", "OUTSIDE REPAIRS &amp; MAINTENANCE")</f>
        <v xml:space="preserve">          6375 - OUTSIDE REPAIRS &amp; MAINTENANCE</v>
      </c>
      <c r="C68" s="11"/>
      <c r="D68" s="7">
        <v>397.05</v>
      </c>
      <c r="E68" s="2"/>
      <c r="F68" s="6">
        <f t="shared" si="36"/>
        <v>8.2255037227629252E-2</v>
      </c>
      <c r="G68" s="2"/>
      <c r="H68" s="7">
        <v>500</v>
      </c>
      <c r="I68" s="2"/>
      <c r="J68" s="6">
        <f t="shared" si="37"/>
        <v>1.103655306374713E-2</v>
      </c>
      <c r="K68" s="2"/>
      <c r="L68" s="7">
        <f t="shared" si="38"/>
        <v>-102.94999999999999</v>
      </c>
      <c r="M68" s="2"/>
      <c r="N68" s="6">
        <f t="shared" si="39"/>
        <v>-0.20589999999999997</v>
      </c>
      <c r="O68" s="11"/>
      <c r="P68" s="7">
        <v>18988.23</v>
      </c>
      <c r="Q68" s="2"/>
      <c r="R68" s="6">
        <f t="shared" si="40"/>
        <v>5.9431875957524569E-2</v>
      </c>
      <c r="S68" s="2"/>
      <c r="T68" s="7">
        <v>4704</v>
      </c>
      <c r="U68" s="2"/>
      <c r="V68" s="6">
        <f t="shared" si="41"/>
        <v>2.5184169950316942E-2</v>
      </c>
      <c r="W68" s="2"/>
      <c r="X68" s="7">
        <f t="shared" si="42"/>
        <v>14284.23</v>
      </c>
      <c r="Y68" s="2"/>
      <c r="Z68" s="6">
        <f t="shared" si="43"/>
        <v>3.0366135204081632</v>
      </c>
    </row>
    <row r="69" spans="1:26" s="28" customFormat="1" outlineLevel="1" collapsed="1" x14ac:dyDescent="0.3">
      <c r="A69" s="29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SUM(OSRRefD22_12x_0)</f>
        <v>3545.12</v>
      </c>
      <c r="E69" s="1"/>
      <c r="F69" s="5">
        <f t="shared" ref="F69:F73" si="44">IF(D$12=0,0,D69/D$12)</f>
        <v>0.73442633818514791</v>
      </c>
      <c r="G69" s="1"/>
      <c r="H69" s="1">
        <f>SUM(OSRRefH22_12x_0)</f>
        <v>4979</v>
      </c>
      <c r="I69" s="1"/>
      <c r="J69" s="5">
        <f t="shared" ref="J69:J73" si="45">IF(H$12=0,0,H69/H$12)</f>
        <v>0.10990199540879393</v>
      </c>
      <c r="K69" s="1"/>
      <c r="L69" s="1">
        <f t="shared" ref="L69:L73" si="46">+D69-H69</f>
        <v>-1433.88</v>
      </c>
      <c r="M69" s="1"/>
      <c r="N69" s="5">
        <f t="shared" ref="N69:N73" si="47">IF(H69=0,0,L69/H69)</f>
        <v>-0.28798553926491266</v>
      </c>
      <c r="O69" s="14"/>
      <c r="P69" s="1">
        <f>SUM(OSRRefP22_12x_0)</f>
        <v>32655.96</v>
      </c>
      <c r="Q69" s="1"/>
      <c r="R69" s="5">
        <f t="shared" ref="R69:R73" si="48">IF(P$12=0,0,P69/P$12)</f>
        <v>0.10221094667559241</v>
      </c>
      <c r="S69" s="1"/>
      <c r="T69" s="1">
        <f>SUM(OSRRefT22_12x_0)</f>
        <v>34365</v>
      </c>
      <c r="U69" s="1"/>
      <c r="V69" s="5">
        <f t="shared" ref="V69:V73" si="49">IF(T$12=0,0,T69/T$12)</f>
        <v>0.1839825681000514</v>
      </c>
      <c r="W69" s="1"/>
      <c r="X69" s="1">
        <f t="shared" ref="X69:X73" si="50">+P69-T69</f>
        <v>-1709.0400000000009</v>
      </c>
      <c r="Y69" s="1"/>
      <c r="Z69" s="5">
        <f t="shared" ref="Z69:Z73" si="51">IF(T69=0,0,X69/T69)</f>
        <v>-4.9731994762112638E-2</v>
      </c>
    </row>
    <row r="70" spans="1:26" s="24" customFormat="1" hidden="1" outlineLevel="2" x14ac:dyDescent="0.3">
      <c r="A70" s="27"/>
      <c r="B70" s="11" t="str">
        <f>CONCATENATE("          ", "6282", " - ", "JANITORIAL/EXTERMINATOR EXPENS")</f>
        <v xml:space="preserve">          6282 - JANITORIAL/EXTERMINATOR EXPENS</v>
      </c>
      <c r="C70" s="11"/>
      <c r="D70" s="7"/>
      <c r="E70" s="2"/>
      <c r="F70" s="6">
        <f t="shared" si="44"/>
        <v>0</v>
      </c>
      <c r="G70" s="2"/>
      <c r="H70" s="7">
        <v>328</v>
      </c>
      <c r="I70" s="2"/>
      <c r="J70" s="6">
        <f t="shared" si="45"/>
        <v>7.2399788098181173E-3</v>
      </c>
      <c r="K70" s="2"/>
      <c r="L70" s="7">
        <f t="shared" si="46"/>
        <v>-328</v>
      </c>
      <c r="M70" s="2"/>
      <c r="N70" s="6">
        <f t="shared" si="47"/>
        <v>-1</v>
      </c>
      <c r="O70" s="11"/>
      <c r="P70" s="7">
        <v>2109.3000000000002</v>
      </c>
      <c r="Q70" s="2"/>
      <c r="R70" s="6">
        <f t="shared" si="48"/>
        <v>6.6019663737592492E-3</v>
      </c>
      <c r="S70" s="2"/>
      <c r="T70" s="7">
        <v>2296</v>
      </c>
      <c r="U70" s="2"/>
      <c r="V70" s="6">
        <f t="shared" si="49"/>
        <v>1.229227342813089E-2</v>
      </c>
      <c r="W70" s="2"/>
      <c r="X70" s="7">
        <f t="shared" si="50"/>
        <v>-186.69999999999982</v>
      </c>
      <c r="Y70" s="2"/>
      <c r="Z70" s="6">
        <f t="shared" si="51"/>
        <v>-8.1315331010452879E-2</v>
      </c>
    </row>
    <row r="71" spans="1:26" s="24" customFormat="1" hidden="1" outlineLevel="2" x14ac:dyDescent="0.3">
      <c r="A71" s="27"/>
      <c r="B71" s="11" t="str">
        <f>CONCATENATE("          ", "6284", " - ", "TRASH REMOVAL EXPENSE")</f>
        <v xml:space="preserve">          6284 - TRASH REMOVAL EXPENSE</v>
      </c>
      <c r="C71" s="11"/>
      <c r="D71" s="7"/>
      <c r="E71" s="2"/>
      <c r="F71" s="6">
        <f t="shared" si="44"/>
        <v>0</v>
      </c>
      <c r="G71" s="2"/>
      <c r="H71" s="7">
        <v>1000</v>
      </c>
      <c r="I71" s="2"/>
      <c r="J71" s="6">
        <f t="shared" si="45"/>
        <v>2.207310612749426E-2</v>
      </c>
      <c r="K71" s="2"/>
      <c r="L71" s="7">
        <f t="shared" si="46"/>
        <v>-1000</v>
      </c>
      <c r="M71" s="2"/>
      <c r="N71" s="6">
        <f t="shared" si="47"/>
        <v>-1</v>
      </c>
      <c r="O71" s="11"/>
      <c r="P71" s="7"/>
      <c r="Q71" s="2"/>
      <c r="R71" s="6">
        <f t="shared" si="48"/>
        <v>0</v>
      </c>
      <c r="S71" s="2"/>
      <c r="T71" s="7">
        <v>7000</v>
      </c>
      <c r="U71" s="2"/>
      <c r="V71" s="6">
        <f t="shared" si="49"/>
        <v>3.7476443378447834E-2</v>
      </c>
      <c r="W71" s="2"/>
      <c r="X71" s="7">
        <f t="shared" si="50"/>
        <v>-7000</v>
      </c>
      <c r="Y71" s="2"/>
      <c r="Z71" s="6">
        <f t="shared" si="51"/>
        <v>-1</v>
      </c>
    </row>
    <row r="72" spans="1:26" s="24" customFormat="1" hidden="1" outlineLevel="2" x14ac:dyDescent="0.3">
      <c r="A72" s="27"/>
      <c r="B72" s="11" t="str">
        <f>CONCATENATE("          ", "6285", " - ", "JANITORIAL SERVICES")</f>
        <v xml:space="preserve">          6285 - JANITORIAL SERVICES</v>
      </c>
      <c r="C72" s="11"/>
      <c r="D72" s="7">
        <v>3385.52</v>
      </c>
      <c r="E72" s="2"/>
      <c r="F72" s="6">
        <f t="shared" si="44"/>
        <v>0.70136273425231932</v>
      </c>
      <c r="G72" s="2"/>
      <c r="H72" s="7">
        <v>3041</v>
      </c>
      <c r="I72" s="2"/>
      <c r="J72" s="6">
        <f t="shared" si="45"/>
        <v>6.7124315733710041E-2</v>
      </c>
      <c r="K72" s="2"/>
      <c r="L72" s="7">
        <f t="shared" si="46"/>
        <v>344.52</v>
      </c>
      <c r="M72" s="2"/>
      <c r="N72" s="6">
        <f t="shared" si="47"/>
        <v>0.1132916803682999</v>
      </c>
      <c r="O72" s="11"/>
      <c r="P72" s="7">
        <v>28739</v>
      </c>
      <c r="Q72" s="2"/>
      <c r="R72" s="6">
        <f t="shared" si="48"/>
        <v>8.995112673183854E-2</v>
      </c>
      <c r="S72" s="2"/>
      <c r="T72" s="7">
        <v>21287</v>
      </c>
      <c r="U72" s="2"/>
      <c r="V72" s="6">
        <f t="shared" si="49"/>
        <v>0.11396586431385985</v>
      </c>
      <c r="W72" s="2"/>
      <c r="X72" s="7">
        <f t="shared" si="50"/>
        <v>7452</v>
      </c>
      <c r="Y72" s="2"/>
      <c r="Z72" s="6">
        <f t="shared" si="51"/>
        <v>0.35007281439376148</v>
      </c>
    </row>
    <row r="73" spans="1:26" s="24" customFormat="1" hidden="1" outlineLevel="2" x14ac:dyDescent="0.3">
      <c r="A73" s="27"/>
      <c r="B73" s="11" t="str">
        <f>CONCATENATE("          ", "6286", " - ", "LAUNDRY EXPENSE")</f>
        <v xml:space="preserve">          6286 - LAUNDRY EXPENSE</v>
      </c>
      <c r="C73" s="11"/>
      <c r="D73" s="7">
        <v>159.6</v>
      </c>
      <c r="E73" s="2"/>
      <c r="F73" s="6">
        <f t="shared" si="44"/>
        <v>3.3063603932828679E-2</v>
      </c>
      <c r="G73" s="2"/>
      <c r="H73" s="7">
        <v>610</v>
      </c>
      <c r="I73" s="2"/>
      <c r="J73" s="6">
        <f t="shared" si="45"/>
        <v>1.34645947377715E-2</v>
      </c>
      <c r="K73" s="2"/>
      <c r="L73" s="7">
        <f t="shared" si="46"/>
        <v>-450.4</v>
      </c>
      <c r="M73" s="2"/>
      <c r="N73" s="6">
        <f t="shared" si="47"/>
        <v>-0.73836065573770493</v>
      </c>
      <c r="O73" s="11"/>
      <c r="P73" s="7">
        <v>1807.66</v>
      </c>
      <c r="Q73" s="2"/>
      <c r="R73" s="6">
        <f t="shared" si="48"/>
        <v>5.6578535699946158E-3</v>
      </c>
      <c r="S73" s="2"/>
      <c r="T73" s="7">
        <v>3782</v>
      </c>
      <c r="U73" s="2"/>
      <c r="V73" s="6">
        <f t="shared" si="49"/>
        <v>2.0247986979612814E-2</v>
      </c>
      <c r="W73" s="2"/>
      <c r="X73" s="7">
        <f t="shared" si="50"/>
        <v>-1974.34</v>
      </c>
      <c r="Y73" s="2"/>
      <c r="Z73" s="6">
        <f t="shared" si="51"/>
        <v>-0.52203595980962447</v>
      </c>
    </row>
    <row r="74" spans="1:26" s="28" customFormat="1" outlineLevel="1" collapsed="1" x14ac:dyDescent="0.3">
      <c r="A74" s="29"/>
      <c r="B74" s="14" t="str">
        <f>CONCATENATE("     ","Subscriptions &amp; Dues                              ")</f>
        <v xml:space="preserve">     Subscriptions &amp; Dues                              </v>
      </c>
      <c r="C74" s="14"/>
      <c r="D74" s="1">
        <f>SUM(OSRRefD22_13x_0)</f>
        <v>327.63</v>
      </c>
      <c r="E74" s="1"/>
      <c r="F74" s="5">
        <f t="shared" ref="F74:F83" si="52">IF(D$12=0,0,D74/D$12)</f>
        <v>6.7873612509477821E-2</v>
      </c>
      <c r="G74" s="1"/>
      <c r="H74" s="1">
        <f>SUM(OSRRefH22_13x_0)</f>
        <v>380</v>
      </c>
      <c r="I74" s="1"/>
      <c r="J74" s="5">
        <f t="shared" ref="J74:J83" si="53">IF(H$12=0,0,H74/H$12)</f>
        <v>8.3877803284478185E-3</v>
      </c>
      <c r="K74" s="1"/>
      <c r="L74" s="1">
        <f t="shared" ref="L74:L83" si="54">+D74-H74</f>
        <v>-52.370000000000005</v>
      </c>
      <c r="M74" s="1"/>
      <c r="N74" s="5">
        <f t="shared" ref="N74:N83" si="55">IF(H74=0,0,L74/H74)</f>
        <v>-0.13781578947368422</v>
      </c>
      <c r="O74" s="14"/>
      <c r="P74" s="1">
        <f>SUM(OSRRefP22_13x_0)</f>
        <v>2838.15</v>
      </c>
      <c r="Q74" s="1"/>
      <c r="R74" s="5">
        <f t="shared" ref="R74:R83" si="56">IF(P$12=0,0,P74/P$12)</f>
        <v>8.8832175905204629E-3</v>
      </c>
      <c r="S74" s="1"/>
      <c r="T74" s="1">
        <f>SUM(OSRRefT22_13x_0)</f>
        <v>2660</v>
      </c>
      <c r="U74" s="1"/>
      <c r="V74" s="5">
        <f t="shared" ref="V74:V83" si="57">IF(T$12=0,0,T74/T$12)</f>
        <v>1.4241048483810177E-2</v>
      </c>
      <c r="W74" s="1"/>
      <c r="X74" s="1">
        <f t="shared" ref="X74:X83" si="58">+P74-T74</f>
        <v>178.15000000000009</v>
      </c>
      <c r="Y74" s="1"/>
      <c r="Z74" s="5">
        <f t="shared" ref="Z74:Z83" si="59">IF(T74=0,0,X74/T74)</f>
        <v>6.6973684210526352E-2</v>
      </c>
    </row>
    <row r="75" spans="1:26" s="24" customFormat="1" hidden="1" outlineLevel="2" x14ac:dyDescent="0.3">
      <c r="A75" s="27"/>
      <c r="B75" s="11" t="str">
        <f>CONCATENATE("          ", "6275", " - ", "SUBSCRIPTIONS")</f>
        <v xml:space="preserve">          6275 - SUBSCRIPTIONS</v>
      </c>
      <c r="C75" s="11"/>
      <c r="D75" s="7">
        <v>327.63</v>
      </c>
      <c r="E75" s="2"/>
      <c r="F75" s="6">
        <f t="shared" si="52"/>
        <v>6.7873612509477821E-2</v>
      </c>
      <c r="G75" s="2"/>
      <c r="H75" s="7">
        <v>380</v>
      </c>
      <c r="I75" s="2"/>
      <c r="J75" s="6">
        <f t="shared" si="53"/>
        <v>8.3877803284478185E-3</v>
      </c>
      <c r="K75" s="2"/>
      <c r="L75" s="7">
        <f t="shared" si="54"/>
        <v>-52.370000000000005</v>
      </c>
      <c r="M75" s="2"/>
      <c r="N75" s="6">
        <f t="shared" si="55"/>
        <v>-0.13781578947368422</v>
      </c>
      <c r="O75" s="11"/>
      <c r="P75" s="7">
        <v>2838.15</v>
      </c>
      <c r="Q75" s="2"/>
      <c r="R75" s="6">
        <f t="shared" si="56"/>
        <v>8.8832175905204629E-3</v>
      </c>
      <c r="S75" s="2"/>
      <c r="T75" s="7">
        <v>2660</v>
      </c>
      <c r="U75" s="2"/>
      <c r="V75" s="6">
        <f t="shared" si="57"/>
        <v>1.4241048483810177E-2</v>
      </c>
      <c r="W75" s="2"/>
      <c r="X75" s="7">
        <f t="shared" si="58"/>
        <v>178.15000000000009</v>
      </c>
      <c r="Y75" s="2"/>
      <c r="Z75" s="6">
        <f t="shared" si="59"/>
        <v>6.6973684210526352E-2</v>
      </c>
    </row>
    <row r="76" spans="1:26" s="28" customFormat="1" outlineLevel="1" collapsed="1" x14ac:dyDescent="0.3">
      <c r="A76" s="29"/>
      <c r="B76" s="14" t="str">
        <f>CONCATENATE("     ","Supplies                                          ")</f>
        <v xml:space="preserve">     Supplies                                          </v>
      </c>
      <c r="C76" s="14"/>
      <c r="D76" s="1">
        <f>SUM(OSRRefD22_14x_0)</f>
        <v>334.53999999999996</v>
      </c>
      <c r="E76" s="1"/>
      <c r="F76" s="5">
        <f t="shared" si="52"/>
        <v>6.9305125687271346E-2</v>
      </c>
      <c r="G76" s="1"/>
      <c r="H76" s="1">
        <f>SUM(OSRRefH22_14x_0)</f>
        <v>200</v>
      </c>
      <c r="I76" s="1"/>
      <c r="J76" s="5">
        <f t="shared" si="53"/>
        <v>4.4146212254988519E-3</v>
      </c>
      <c r="K76" s="1"/>
      <c r="L76" s="1">
        <f t="shared" si="54"/>
        <v>134.53999999999996</v>
      </c>
      <c r="M76" s="1"/>
      <c r="N76" s="5">
        <f t="shared" si="55"/>
        <v>0.67269999999999985</v>
      </c>
      <c r="O76" s="14"/>
      <c r="P76" s="1">
        <f>SUM(OSRRefP22_14x_0)</f>
        <v>10405.449999999999</v>
      </c>
      <c r="Q76" s="1"/>
      <c r="R76" s="5">
        <f t="shared" si="56"/>
        <v>3.2568354906287948E-2</v>
      </c>
      <c r="S76" s="1"/>
      <c r="T76" s="1">
        <f>SUM(OSRRefT22_14x_0)</f>
        <v>8173</v>
      </c>
      <c r="U76" s="1"/>
      <c r="V76" s="5">
        <f t="shared" si="57"/>
        <v>4.3756424533150588E-2</v>
      </c>
      <c r="W76" s="1"/>
      <c r="X76" s="1">
        <f t="shared" si="58"/>
        <v>2232.4499999999989</v>
      </c>
      <c r="Y76" s="1"/>
      <c r="Z76" s="5">
        <f t="shared" si="59"/>
        <v>0.27314939434724078</v>
      </c>
    </row>
    <row r="77" spans="1:26" s="24" customFormat="1" hidden="1" outlineLevel="2" x14ac:dyDescent="0.3">
      <c r="A77" s="27"/>
      <c r="B77" s="11" t="str">
        <f>CONCATENATE("          ", "6234", " - ", "EXPENDABLE SUPPLIES &amp; EQUIPMEN")</f>
        <v xml:space="preserve">          6234 - EXPENDABLE SUPPLIES &amp; EQUIPMEN</v>
      </c>
      <c r="C77" s="11"/>
      <c r="D77" s="7">
        <v>57.77</v>
      </c>
      <c r="E77" s="2"/>
      <c r="F77" s="6">
        <f t="shared" si="52"/>
        <v>1.196794736340547E-2</v>
      </c>
      <c r="G77" s="2"/>
      <c r="H77" s="7"/>
      <c r="I77" s="2"/>
      <c r="J77" s="6">
        <f t="shared" si="53"/>
        <v>0</v>
      </c>
      <c r="K77" s="2"/>
      <c r="L77" s="7">
        <f t="shared" si="54"/>
        <v>57.77</v>
      </c>
      <c r="M77" s="2"/>
      <c r="N77" s="6">
        <f t="shared" si="55"/>
        <v>0</v>
      </c>
      <c r="O77" s="11"/>
      <c r="P77" s="7">
        <v>57.77</v>
      </c>
      <c r="Q77" s="2"/>
      <c r="R77" s="6">
        <f t="shared" si="56"/>
        <v>1.8081619371927739E-4</v>
      </c>
      <c r="S77" s="2"/>
      <c r="T77" s="7"/>
      <c r="U77" s="2"/>
      <c r="V77" s="6">
        <f t="shared" si="57"/>
        <v>0</v>
      </c>
      <c r="W77" s="2"/>
      <c r="X77" s="7">
        <f t="shared" si="58"/>
        <v>57.77</v>
      </c>
      <c r="Y77" s="2"/>
      <c r="Z77" s="6">
        <f t="shared" si="59"/>
        <v>0</v>
      </c>
    </row>
    <row r="78" spans="1:26" s="24" customFormat="1" hidden="1" outlineLevel="2" x14ac:dyDescent="0.3">
      <c r="A78" s="27"/>
      <c r="B78" s="11" t="str">
        <f>CONCATENATE("          ", "6237", " - ", "JANITORIAL SUPPLIES")</f>
        <v xml:space="preserve">          6237 - JANITORIAL SUPPLIES</v>
      </c>
      <c r="C78" s="11"/>
      <c r="D78" s="7"/>
      <c r="E78" s="2"/>
      <c r="F78" s="6">
        <f t="shared" si="52"/>
        <v>0</v>
      </c>
      <c r="G78" s="2"/>
      <c r="H78" s="7"/>
      <c r="I78" s="2"/>
      <c r="J78" s="6">
        <f t="shared" si="53"/>
        <v>0</v>
      </c>
      <c r="K78" s="2"/>
      <c r="L78" s="7">
        <f t="shared" si="54"/>
        <v>0</v>
      </c>
      <c r="M78" s="2"/>
      <c r="N78" s="6">
        <f t="shared" si="55"/>
        <v>0</v>
      </c>
      <c r="O78" s="11"/>
      <c r="P78" s="7">
        <v>5002.7299999999996</v>
      </c>
      <c r="Q78" s="2"/>
      <c r="R78" s="6">
        <f t="shared" si="56"/>
        <v>1.5658206626367327E-2</v>
      </c>
      <c r="S78" s="2"/>
      <c r="T78" s="7">
        <v>1503</v>
      </c>
      <c r="U78" s="2"/>
      <c r="V78" s="6">
        <f t="shared" si="57"/>
        <v>8.0467277711152984E-3</v>
      </c>
      <c r="W78" s="2"/>
      <c r="X78" s="7">
        <f t="shared" si="58"/>
        <v>3499.7299999999996</v>
      </c>
      <c r="Y78" s="2"/>
      <c r="Z78" s="6">
        <f t="shared" si="59"/>
        <v>2.3284963406520292</v>
      </c>
    </row>
    <row r="79" spans="1:26" s="24" customFormat="1" hidden="1" outlineLevel="2" x14ac:dyDescent="0.3">
      <c r="A79" s="27"/>
      <c r="B79" s="11" t="str">
        <f>CONCATENATE("          ", "6239", " - ", "KITCHEN SUPPLIES")</f>
        <v xml:space="preserve">          6239 - KITCHEN SUPPLIES</v>
      </c>
      <c r="C79" s="11"/>
      <c r="D79" s="7">
        <v>31.95</v>
      </c>
      <c r="E79" s="2"/>
      <c r="F79" s="6">
        <f t="shared" si="52"/>
        <v>6.6189357497110045E-3</v>
      </c>
      <c r="G79" s="2"/>
      <c r="H79" s="7"/>
      <c r="I79" s="2"/>
      <c r="J79" s="6">
        <f t="shared" si="53"/>
        <v>0</v>
      </c>
      <c r="K79" s="2"/>
      <c r="L79" s="7">
        <f t="shared" si="54"/>
        <v>31.95</v>
      </c>
      <c r="M79" s="2"/>
      <c r="N79" s="6">
        <f t="shared" si="55"/>
        <v>0</v>
      </c>
      <c r="O79" s="11"/>
      <c r="P79" s="7">
        <v>1371.33</v>
      </c>
      <c r="Q79" s="2"/>
      <c r="R79" s="6">
        <f t="shared" si="56"/>
        <v>4.2921701736724363E-3</v>
      </c>
      <c r="S79" s="2"/>
      <c r="T79" s="7">
        <v>149</v>
      </c>
      <c r="U79" s="2"/>
      <c r="V79" s="6">
        <f t="shared" si="57"/>
        <v>7.9771286619838961E-4</v>
      </c>
      <c r="W79" s="2"/>
      <c r="X79" s="7">
        <f t="shared" si="58"/>
        <v>1222.33</v>
      </c>
      <c r="Y79" s="2"/>
      <c r="Z79" s="6">
        <f t="shared" si="59"/>
        <v>8.2035570469798653</v>
      </c>
    </row>
    <row r="80" spans="1:26" s="24" customFormat="1" hidden="1" outlineLevel="2" x14ac:dyDescent="0.3">
      <c r="A80" s="27"/>
      <c r="B80" s="11" t="str">
        <f>CONCATENATE("          ", "6241", " - ", "OFFICE EXPENSE")</f>
        <v xml:space="preserve">          6241 - OFFICE EXPENSE</v>
      </c>
      <c r="C80" s="11"/>
      <c r="D80" s="7">
        <v>244.82</v>
      </c>
      <c r="E80" s="2"/>
      <c r="F80" s="6">
        <f t="shared" si="52"/>
        <v>5.0718242574154873E-2</v>
      </c>
      <c r="G80" s="2"/>
      <c r="H80" s="7"/>
      <c r="I80" s="2"/>
      <c r="J80" s="6">
        <f t="shared" si="53"/>
        <v>0</v>
      </c>
      <c r="K80" s="2"/>
      <c r="L80" s="7">
        <f t="shared" si="54"/>
        <v>244.82</v>
      </c>
      <c r="M80" s="2"/>
      <c r="N80" s="6">
        <f t="shared" si="55"/>
        <v>0</v>
      </c>
      <c r="O80" s="11"/>
      <c r="P80" s="7">
        <v>3487.39</v>
      </c>
      <c r="Q80" s="2"/>
      <c r="R80" s="6">
        <f t="shared" si="56"/>
        <v>1.0915294890335308E-2</v>
      </c>
      <c r="S80" s="2"/>
      <c r="T80" s="7">
        <v>2827</v>
      </c>
      <c r="U80" s="2"/>
      <c r="V80" s="6">
        <f t="shared" si="57"/>
        <v>1.5135129347267432E-2</v>
      </c>
      <c r="W80" s="2"/>
      <c r="X80" s="7">
        <f t="shared" si="58"/>
        <v>660.38999999999987</v>
      </c>
      <c r="Y80" s="2"/>
      <c r="Z80" s="6">
        <f t="shared" si="59"/>
        <v>0.23360099044923943</v>
      </c>
    </row>
    <row r="81" spans="1:26" s="24" customFormat="1" hidden="1" outlineLevel="2" x14ac:dyDescent="0.3">
      <c r="A81" s="27"/>
      <c r="B81" s="11" t="str">
        <f>CONCATENATE("          ", "6243", " - ", "PAPER SUPPLIES")</f>
        <v xml:space="preserve">          6243 - PAPER SUPPLIES</v>
      </c>
      <c r="C81" s="11"/>
      <c r="D81" s="7"/>
      <c r="E81" s="2"/>
      <c r="F81" s="6">
        <f t="shared" si="52"/>
        <v>0</v>
      </c>
      <c r="G81" s="2"/>
      <c r="H81" s="7">
        <v>200</v>
      </c>
      <c r="I81" s="2"/>
      <c r="J81" s="6">
        <f t="shared" si="53"/>
        <v>4.4146212254988519E-3</v>
      </c>
      <c r="K81" s="2"/>
      <c r="L81" s="7">
        <f t="shared" si="54"/>
        <v>-200</v>
      </c>
      <c r="M81" s="2"/>
      <c r="N81" s="6">
        <f t="shared" si="55"/>
        <v>-1</v>
      </c>
      <c r="O81" s="11"/>
      <c r="P81" s="7">
        <v>486.23</v>
      </c>
      <c r="Q81" s="2"/>
      <c r="R81" s="6">
        <f t="shared" si="56"/>
        <v>1.5218670221935995E-3</v>
      </c>
      <c r="S81" s="2"/>
      <c r="T81" s="7">
        <v>2283</v>
      </c>
      <c r="U81" s="2"/>
      <c r="V81" s="6">
        <f t="shared" si="57"/>
        <v>1.2222674318999486E-2</v>
      </c>
      <c r="W81" s="2"/>
      <c r="X81" s="7">
        <f t="shared" si="58"/>
        <v>-1796.77</v>
      </c>
      <c r="Y81" s="2"/>
      <c r="Z81" s="6">
        <f t="shared" si="59"/>
        <v>-0.78702146298729736</v>
      </c>
    </row>
    <row r="82" spans="1:26" s="24" customFormat="1" hidden="1" outlineLevel="2" x14ac:dyDescent="0.3">
      <c r="A82" s="27"/>
      <c r="B82" s="11" t="str">
        <f>CONCATENATE("          ", "6247", " - ", "STORE SUPPLIES")</f>
        <v xml:space="preserve">          6247 - STORE SUPPLIES</v>
      </c>
      <c r="C82" s="11"/>
      <c r="D82" s="7"/>
      <c r="E82" s="2"/>
      <c r="F82" s="6">
        <f t="shared" si="52"/>
        <v>0</v>
      </c>
      <c r="G82" s="2"/>
      <c r="H82" s="7"/>
      <c r="I82" s="2"/>
      <c r="J82" s="6">
        <f t="shared" si="53"/>
        <v>0</v>
      </c>
      <c r="K82" s="2"/>
      <c r="L82" s="7">
        <f t="shared" si="54"/>
        <v>0</v>
      </c>
      <c r="M82" s="2"/>
      <c r="N82" s="6">
        <f t="shared" si="55"/>
        <v>0</v>
      </c>
      <c r="O82" s="11"/>
      <c r="P82" s="7"/>
      <c r="Q82" s="2"/>
      <c r="R82" s="6">
        <f t="shared" si="56"/>
        <v>0</v>
      </c>
      <c r="S82" s="2"/>
      <c r="T82" s="7">
        <v>411</v>
      </c>
      <c r="U82" s="2"/>
      <c r="V82" s="6">
        <f t="shared" si="57"/>
        <v>2.2004026040774371E-3</v>
      </c>
      <c r="W82" s="2"/>
      <c r="X82" s="7">
        <f t="shared" si="58"/>
        <v>-411</v>
      </c>
      <c r="Y82" s="2"/>
      <c r="Z82" s="6">
        <f t="shared" si="59"/>
        <v>-1</v>
      </c>
    </row>
    <row r="83" spans="1:26" s="24" customFormat="1" hidden="1" outlineLevel="2" x14ac:dyDescent="0.3">
      <c r="A83" s="27"/>
      <c r="B83" s="11" t="str">
        <f>CONCATENATE("          ", "6248", " - ", "UNIFORMS")</f>
        <v xml:space="preserve">          6248 - UNIFORMS</v>
      </c>
      <c r="C83" s="11"/>
      <c r="D83" s="7"/>
      <c r="E83" s="2"/>
      <c r="F83" s="6">
        <f t="shared" si="52"/>
        <v>0</v>
      </c>
      <c r="G83" s="2"/>
      <c r="H83" s="7"/>
      <c r="I83" s="2"/>
      <c r="J83" s="6">
        <f t="shared" si="53"/>
        <v>0</v>
      </c>
      <c r="K83" s="2"/>
      <c r="L83" s="7">
        <f t="shared" si="54"/>
        <v>0</v>
      </c>
      <c r="M83" s="2"/>
      <c r="N83" s="6">
        <f t="shared" si="55"/>
        <v>0</v>
      </c>
      <c r="O83" s="11"/>
      <c r="P83" s="7"/>
      <c r="Q83" s="2"/>
      <c r="R83" s="6">
        <f t="shared" si="56"/>
        <v>0</v>
      </c>
      <c r="S83" s="2"/>
      <c r="T83" s="7">
        <v>1000</v>
      </c>
      <c r="U83" s="2"/>
      <c r="V83" s="6">
        <f t="shared" si="57"/>
        <v>5.3537776254925472E-3</v>
      </c>
      <c r="W83" s="2"/>
      <c r="X83" s="7">
        <f t="shared" si="58"/>
        <v>-1000</v>
      </c>
      <c r="Y83" s="2"/>
      <c r="Z83" s="6">
        <f t="shared" si="59"/>
        <v>-1</v>
      </c>
    </row>
    <row r="84" spans="1:26" s="28" customFormat="1" outlineLevel="1" collapsed="1" x14ac:dyDescent="0.3">
      <c r="A84" s="29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SUM(OSRRefD22_15x_0)</f>
        <v>181.25</v>
      </c>
      <c r="E84" s="1"/>
      <c r="F84" s="5">
        <f t="shared" ref="F84:F86" si="60">IF(D$12=0,0,D84/D$12)</f>
        <v>3.754873566933082E-2</v>
      </c>
      <c r="G84" s="1"/>
      <c r="H84" s="1">
        <f>SUM(OSRRefH22_15x_0)</f>
        <v>135</v>
      </c>
      <c r="I84" s="1"/>
      <c r="J84" s="5">
        <f t="shared" ref="J84:J86" si="61">IF(H$12=0,0,H84/H$12)</f>
        <v>2.9798693272117252E-3</v>
      </c>
      <c r="K84" s="1"/>
      <c r="L84" s="1">
        <f t="shared" ref="L84:L86" si="62">+D84-H84</f>
        <v>46.25</v>
      </c>
      <c r="M84" s="1"/>
      <c r="N84" s="5">
        <f t="shared" ref="N84:N86" si="63">IF(H84=0,0,L84/H84)</f>
        <v>0.34259259259259262</v>
      </c>
      <c r="O84" s="14"/>
      <c r="P84" s="1">
        <f>SUM(OSRRefP22_15x_0)</f>
        <v>1738.18</v>
      </c>
      <c r="Q84" s="1"/>
      <c r="R84" s="5">
        <f t="shared" ref="R84:R86" si="64">IF(P$12=0,0,P84/P$12)</f>
        <v>5.4403858680798613E-3</v>
      </c>
      <c r="S84" s="1"/>
      <c r="T84" s="1">
        <f>SUM(OSRRefT22_15x_0)</f>
        <v>945</v>
      </c>
      <c r="U84" s="1"/>
      <c r="V84" s="5">
        <f t="shared" ref="V84:V86" si="65">IF(T$12=0,0,T84/T$12)</f>
        <v>5.0593198560904577E-3</v>
      </c>
      <c r="W84" s="1"/>
      <c r="X84" s="1">
        <f t="shared" ref="X84:X86" si="66">+P84-T84</f>
        <v>793.18000000000006</v>
      </c>
      <c r="Y84" s="1"/>
      <c r="Z84" s="5">
        <f t="shared" ref="Z84:Z86" si="67">IF(T84=0,0,X84/T84)</f>
        <v>0.83934391534391539</v>
      </c>
    </row>
    <row r="85" spans="1:26" s="24" customFormat="1" hidden="1" outlineLevel="2" x14ac:dyDescent="0.3">
      <c r="A85" s="27"/>
      <c r="B85" s="11" t="str">
        <f>CONCATENATE("          ", "6303", " - ", "DATA PHONE LINES")</f>
        <v xml:space="preserve">          6303 - DATA PHONE LINES</v>
      </c>
      <c r="C85" s="11"/>
      <c r="D85" s="7"/>
      <c r="E85" s="2"/>
      <c r="F85" s="6">
        <f t="shared" si="60"/>
        <v>0</v>
      </c>
      <c r="G85" s="2"/>
      <c r="H85" s="7">
        <v>60</v>
      </c>
      <c r="I85" s="2"/>
      <c r="J85" s="6">
        <f t="shared" si="61"/>
        <v>1.3243863676496556E-3</v>
      </c>
      <c r="K85" s="2"/>
      <c r="L85" s="7">
        <f t="shared" si="62"/>
        <v>-60</v>
      </c>
      <c r="M85" s="2"/>
      <c r="N85" s="6">
        <f t="shared" si="63"/>
        <v>-1</v>
      </c>
      <c r="O85" s="11"/>
      <c r="P85" s="7"/>
      <c r="Q85" s="2"/>
      <c r="R85" s="6">
        <f t="shared" si="64"/>
        <v>0</v>
      </c>
      <c r="S85" s="2"/>
      <c r="T85" s="7">
        <v>420</v>
      </c>
      <c r="U85" s="2"/>
      <c r="V85" s="6">
        <f t="shared" si="65"/>
        <v>2.24858660270687E-3</v>
      </c>
      <c r="W85" s="2"/>
      <c r="X85" s="7">
        <f t="shared" si="66"/>
        <v>-420</v>
      </c>
      <c r="Y85" s="2"/>
      <c r="Z85" s="6">
        <f t="shared" si="67"/>
        <v>-1</v>
      </c>
    </row>
    <row r="86" spans="1:26" s="24" customFormat="1" hidden="1" outlineLevel="2" x14ac:dyDescent="0.3">
      <c r="A86" s="27"/>
      <c r="B86" s="11" t="str">
        <f>CONCATENATE("          ", "6309", " - ", "TELEPHONE")</f>
        <v xml:space="preserve">          6309 - TELEPHONE</v>
      </c>
      <c r="C86" s="11"/>
      <c r="D86" s="7">
        <v>181.25</v>
      </c>
      <c r="E86" s="2"/>
      <c r="F86" s="6">
        <f t="shared" si="60"/>
        <v>3.754873566933082E-2</v>
      </c>
      <c r="G86" s="2"/>
      <c r="H86" s="7">
        <v>75</v>
      </c>
      <c r="I86" s="2"/>
      <c r="J86" s="6">
        <f t="shared" si="61"/>
        <v>1.6554829595620696E-3</v>
      </c>
      <c r="K86" s="2"/>
      <c r="L86" s="7">
        <f t="shared" si="62"/>
        <v>106.25</v>
      </c>
      <c r="M86" s="2"/>
      <c r="N86" s="6">
        <f t="shared" si="63"/>
        <v>1.4166666666666667</v>
      </c>
      <c r="O86" s="11"/>
      <c r="P86" s="7">
        <v>1738.18</v>
      </c>
      <c r="Q86" s="2"/>
      <c r="R86" s="6">
        <f t="shared" si="64"/>
        <v>5.4403858680798613E-3</v>
      </c>
      <c r="S86" s="2"/>
      <c r="T86" s="7">
        <v>525</v>
      </c>
      <c r="U86" s="2"/>
      <c r="V86" s="6">
        <f t="shared" si="65"/>
        <v>2.8107332533835873E-3</v>
      </c>
      <c r="W86" s="2"/>
      <c r="X86" s="7">
        <f t="shared" si="66"/>
        <v>1213.18</v>
      </c>
      <c r="Y86" s="2"/>
      <c r="Z86" s="6">
        <f t="shared" si="67"/>
        <v>2.3108190476190478</v>
      </c>
    </row>
    <row r="87" spans="1:26" s="28" customFormat="1" outlineLevel="1" collapsed="1" x14ac:dyDescent="0.3">
      <c r="A87" s="29"/>
      <c r="B87" s="14" t="str">
        <f>CONCATENATE("     ","Training                                          ")</f>
        <v xml:space="preserve">     Training                                          </v>
      </c>
      <c r="C87" s="14"/>
      <c r="D87" s="1">
        <f>SUM(OSRRefD22_16x_0)</f>
        <v>0</v>
      </c>
      <c r="E87" s="1"/>
      <c r="F87" s="5">
        <f t="shared" ref="F87:F90" si="68">IF(D$12=0,0,D87/D$12)</f>
        <v>0</v>
      </c>
      <c r="G87" s="1"/>
      <c r="H87" s="1">
        <f>SUM(OSRRefH22_16x_0)</f>
        <v>60</v>
      </c>
      <c r="I87" s="1"/>
      <c r="J87" s="5">
        <f t="shared" ref="J87:J90" si="69">IF(H$12=0,0,H87/H$12)</f>
        <v>1.3243863676496556E-3</v>
      </c>
      <c r="K87" s="1"/>
      <c r="L87" s="1">
        <f t="shared" ref="L87:L90" si="70">+D87-H87</f>
        <v>-60</v>
      </c>
      <c r="M87" s="1"/>
      <c r="N87" s="5">
        <f t="shared" ref="N87:N90" si="71">IF(H87=0,0,L87/H87)</f>
        <v>-1</v>
      </c>
      <c r="O87" s="14"/>
      <c r="P87" s="1">
        <f>SUM(OSRRefP22_16x_0)</f>
        <v>0</v>
      </c>
      <c r="Q87" s="1"/>
      <c r="R87" s="5">
        <f t="shared" ref="R87:R90" si="72">IF(P$12=0,0,P87/P$12)</f>
        <v>0</v>
      </c>
      <c r="S87" s="1"/>
      <c r="T87" s="1">
        <f>SUM(OSRRefT22_16x_0)</f>
        <v>460</v>
      </c>
      <c r="U87" s="1"/>
      <c r="V87" s="5">
        <f t="shared" ref="V87:V90" si="73">IF(T$12=0,0,T87/T$12)</f>
        <v>2.4627377077265718E-3</v>
      </c>
      <c r="W87" s="1"/>
      <c r="X87" s="1">
        <f t="shared" ref="X87:X90" si="74">+P87-T87</f>
        <v>-460</v>
      </c>
      <c r="Y87" s="1"/>
      <c r="Z87" s="5">
        <f t="shared" ref="Z87:Z90" si="75">IF(T87=0,0,X87/T87)</f>
        <v>-1</v>
      </c>
    </row>
    <row r="88" spans="1:26" s="24" customFormat="1" hidden="1" outlineLevel="2" x14ac:dyDescent="0.3">
      <c r="A88" s="27"/>
      <c r="B88" s="11" t="str">
        <f>CONCATENATE("          ", "6376", " - ", "TRAINING")</f>
        <v xml:space="preserve">          6376 - TRAINING</v>
      </c>
      <c r="C88" s="11"/>
      <c r="D88" s="7"/>
      <c r="E88" s="2"/>
      <c r="F88" s="6">
        <f t="shared" si="68"/>
        <v>0</v>
      </c>
      <c r="G88" s="2"/>
      <c r="H88" s="7">
        <v>60</v>
      </c>
      <c r="I88" s="2"/>
      <c r="J88" s="6">
        <f t="shared" si="69"/>
        <v>1.3243863676496556E-3</v>
      </c>
      <c r="K88" s="2"/>
      <c r="L88" s="7">
        <f t="shared" si="70"/>
        <v>-60</v>
      </c>
      <c r="M88" s="2"/>
      <c r="N88" s="6">
        <f t="shared" si="71"/>
        <v>-1</v>
      </c>
      <c r="O88" s="11"/>
      <c r="P88" s="7"/>
      <c r="Q88" s="2"/>
      <c r="R88" s="6">
        <f t="shared" si="72"/>
        <v>0</v>
      </c>
      <c r="S88" s="2"/>
      <c r="T88" s="7">
        <v>460</v>
      </c>
      <c r="U88" s="2"/>
      <c r="V88" s="6">
        <f t="shared" si="73"/>
        <v>2.4627377077265718E-3</v>
      </c>
      <c r="W88" s="2"/>
      <c r="X88" s="7">
        <f t="shared" si="74"/>
        <v>-460</v>
      </c>
      <c r="Y88" s="2"/>
      <c r="Z88" s="6">
        <f t="shared" si="75"/>
        <v>-1</v>
      </c>
    </row>
    <row r="89" spans="1:26" s="28" customFormat="1" outlineLevel="1" collapsed="1" x14ac:dyDescent="0.3">
      <c r="A89" s="29"/>
      <c r="B89" s="14" t="str">
        <f>CONCATENATE("     ","Utilities                                         ")</f>
        <v xml:space="preserve">     Utilities                                         </v>
      </c>
      <c r="C89" s="14"/>
      <c r="D89" s="1">
        <f>SUM(OSRRefD22_17x_0)</f>
        <v>2400</v>
      </c>
      <c r="E89" s="1"/>
      <c r="F89" s="5">
        <f t="shared" si="68"/>
        <v>0.49719705162148392</v>
      </c>
      <c r="G89" s="1"/>
      <c r="H89" s="1">
        <f>SUM(OSRRefH22_17x_0)</f>
        <v>2417</v>
      </c>
      <c r="I89" s="1"/>
      <c r="J89" s="5">
        <f t="shared" si="69"/>
        <v>5.335069751015363E-2</v>
      </c>
      <c r="K89" s="1"/>
      <c r="L89" s="1">
        <f t="shared" si="70"/>
        <v>-17</v>
      </c>
      <c r="M89" s="1"/>
      <c r="N89" s="5">
        <f t="shared" si="71"/>
        <v>-7.0335126189491103E-3</v>
      </c>
      <c r="O89" s="14"/>
      <c r="P89" s="1">
        <f>SUM(OSRRefP22_17x_0)</f>
        <v>14400</v>
      </c>
      <c r="Q89" s="1"/>
      <c r="R89" s="5">
        <f t="shared" si="72"/>
        <v>4.507102630357615E-2</v>
      </c>
      <c r="S89" s="1"/>
      <c r="T89" s="1">
        <f>SUM(OSRRefT22_17x_0)</f>
        <v>16919</v>
      </c>
      <c r="U89" s="1"/>
      <c r="V89" s="5">
        <f t="shared" si="73"/>
        <v>9.0580563645708406E-2</v>
      </c>
      <c r="W89" s="1"/>
      <c r="X89" s="1">
        <f t="shared" si="74"/>
        <v>-2519</v>
      </c>
      <c r="Y89" s="1"/>
      <c r="Z89" s="5">
        <f t="shared" si="75"/>
        <v>-0.14888586795909925</v>
      </c>
    </row>
    <row r="90" spans="1:26" s="24" customFormat="1" hidden="1" outlineLevel="2" x14ac:dyDescent="0.3">
      <c r="A90" s="27"/>
      <c r="B90" s="11" t="str">
        <f>CONCATENATE("          ", "6274", " - ", "UTILITIES")</f>
        <v xml:space="preserve">          6274 - UTILITIES</v>
      </c>
      <c r="C90" s="11"/>
      <c r="D90" s="7">
        <v>2400</v>
      </c>
      <c r="E90" s="2"/>
      <c r="F90" s="6">
        <f t="shared" si="68"/>
        <v>0.49719705162148392</v>
      </c>
      <c r="G90" s="2"/>
      <c r="H90" s="7">
        <v>2417</v>
      </c>
      <c r="I90" s="2"/>
      <c r="J90" s="6">
        <f t="shared" si="69"/>
        <v>5.335069751015363E-2</v>
      </c>
      <c r="K90" s="2"/>
      <c r="L90" s="7">
        <f t="shared" si="70"/>
        <v>-17</v>
      </c>
      <c r="M90" s="2"/>
      <c r="N90" s="6">
        <f t="shared" si="71"/>
        <v>-7.0335126189491103E-3</v>
      </c>
      <c r="O90" s="11"/>
      <c r="P90" s="7">
        <v>14400</v>
      </c>
      <c r="Q90" s="2"/>
      <c r="R90" s="6">
        <f t="shared" si="72"/>
        <v>4.507102630357615E-2</v>
      </c>
      <c r="S90" s="2"/>
      <c r="T90" s="7">
        <v>16919</v>
      </c>
      <c r="U90" s="2"/>
      <c r="V90" s="6">
        <f t="shared" si="73"/>
        <v>9.0580563645708406E-2</v>
      </c>
      <c r="W90" s="2"/>
      <c r="X90" s="7">
        <f t="shared" si="74"/>
        <v>-2519</v>
      </c>
      <c r="Y90" s="2"/>
      <c r="Z90" s="6">
        <f t="shared" si="75"/>
        <v>-0.14888586795909925</v>
      </c>
    </row>
    <row r="91" spans="1:26" s="55" customFormat="1" x14ac:dyDescent="0.3">
      <c r="A91" s="36"/>
      <c r="B91" s="36"/>
      <c r="C91" s="36"/>
      <c r="D91" s="1"/>
      <c r="E91" s="1"/>
      <c r="F91" s="5"/>
      <c r="G91" s="1"/>
      <c r="H91" s="1"/>
      <c r="I91" s="1"/>
      <c r="J91" s="5"/>
      <c r="K91" s="1"/>
      <c r="L91" s="1"/>
      <c r="M91" s="1"/>
      <c r="N91" s="5"/>
      <c r="O91" s="36"/>
      <c r="P91" s="1"/>
      <c r="Q91" s="1"/>
      <c r="R91" s="5"/>
      <c r="S91" s="1"/>
      <c r="T91" s="1"/>
      <c r="U91" s="1"/>
      <c r="V91" s="5"/>
      <c r="W91" s="1"/>
      <c r="X91" s="1"/>
      <c r="Y91" s="1"/>
      <c r="Z91" s="5"/>
    </row>
    <row r="92" spans="1:26" s="23" customFormat="1" collapsed="1" x14ac:dyDescent="0.3">
      <c r="A92" s="10"/>
      <c r="B92" s="25" t="s">
        <v>293</v>
      </c>
      <c r="C92" s="10"/>
      <c r="D92" s="4">
        <f>SUM(OSRRefD25x_0)</f>
        <v>0</v>
      </c>
      <c r="E92" s="4"/>
      <c r="F92" s="12">
        <f t="shared" ref="F92:F93" si="76">IF(D$12=0,0,D92/D$12)</f>
        <v>0</v>
      </c>
      <c r="G92" s="4"/>
      <c r="H92" s="4">
        <f>SUM(OSRRefH25x_0)</f>
        <v>0</v>
      </c>
      <c r="I92" s="4"/>
      <c r="J92" s="12">
        <f t="shared" ref="J92:J93" si="77">IF(H$12=0,0,H92/H$12)</f>
        <v>0</v>
      </c>
      <c r="K92" s="4"/>
      <c r="L92" s="4">
        <f t="shared" ref="L92:L93" si="78">+D92-H92</f>
        <v>0</v>
      </c>
      <c r="M92" s="4"/>
      <c r="N92" s="12">
        <f t="shared" ref="N92:N93" si="79">IF(H92=0,0,L92/H92)</f>
        <v>0</v>
      </c>
      <c r="O92" s="10"/>
      <c r="P92" s="4">
        <f>SUM(OSRRefP25x_0)</f>
        <v>2.33</v>
      </c>
      <c r="Q92" s="4"/>
      <c r="R92" s="12">
        <f t="shared" ref="R92:R93" si="80">IF(P$12=0,0,P92/P$12)</f>
        <v>7.2927424505091974E-6</v>
      </c>
      <c r="S92" s="4"/>
      <c r="T92" s="4">
        <f>SUM(OSRRefT25x_0)</f>
        <v>0</v>
      </c>
      <c r="U92" s="4"/>
      <c r="V92" s="12">
        <f t="shared" ref="V92:V93" si="81">IF(T$12=0,0,T92/T$12)</f>
        <v>0</v>
      </c>
      <c r="W92" s="4"/>
      <c r="X92" s="4">
        <f t="shared" ref="X92:X93" si="82">+P92-T92</f>
        <v>2.33</v>
      </c>
      <c r="Y92" s="4"/>
      <c r="Z92" s="12">
        <f t="shared" ref="Z92:Z93" si="83">IF(T92=0,0,X92/T92)</f>
        <v>0</v>
      </c>
    </row>
    <row r="93" spans="1:26" s="24" customFormat="1" hidden="1" outlineLevel="1" x14ac:dyDescent="0.3">
      <c r="A93" s="44"/>
      <c r="B93" s="11" t="str">
        <f>CONCATENATE("          ", "9150", " - ", "MISC. INCOME")</f>
        <v xml:space="preserve">          9150 - MISC. INCOME</v>
      </c>
      <c r="C93" s="11"/>
      <c r="D93" s="2">
        <f>0</f>
        <v>0</v>
      </c>
      <c r="E93" s="2"/>
      <c r="F93" s="19">
        <f t="shared" si="76"/>
        <v>0</v>
      </c>
      <c r="G93" s="2"/>
      <c r="H93" s="2"/>
      <c r="I93" s="2"/>
      <c r="J93" s="19">
        <f t="shared" si="77"/>
        <v>0</v>
      </c>
      <c r="K93" s="2"/>
      <c r="L93" s="2">
        <f t="shared" si="78"/>
        <v>0</v>
      </c>
      <c r="M93" s="2"/>
      <c r="N93" s="19">
        <f t="shared" si="79"/>
        <v>0</v>
      </c>
      <c r="O93" s="11"/>
      <c r="P93" s="2">
        <f>--2.33</f>
        <v>2.33</v>
      </c>
      <c r="Q93" s="2"/>
      <c r="R93" s="19">
        <f t="shared" si="80"/>
        <v>7.2927424505091974E-6</v>
      </c>
      <c r="S93" s="2"/>
      <c r="T93" s="2"/>
      <c r="U93" s="2"/>
      <c r="V93" s="19">
        <f t="shared" si="81"/>
        <v>0</v>
      </c>
      <c r="W93" s="2"/>
      <c r="X93" s="2">
        <f t="shared" si="82"/>
        <v>2.33</v>
      </c>
      <c r="Y93" s="2"/>
      <c r="Z93" s="19">
        <f t="shared" si="83"/>
        <v>0</v>
      </c>
    </row>
    <row r="94" spans="1:26" x14ac:dyDescent="0.3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3">
      <c r="A95" s="10"/>
      <c r="B95" s="26" t="s">
        <v>277</v>
      </c>
      <c r="C95" s="26"/>
      <c r="D95" s="21">
        <f>+D23-D25+D92</f>
        <v>-56999.999999999993</v>
      </c>
      <c r="E95" s="13"/>
      <c r="F95" s="22">
        <f>IF(D$12=0,0,D95/D$12)</f>
        <v>-11.808429976010242</v>
      </c>
      <c r="G95" s="13"/>
      <c r="H95" s="21">
        <f>+H23-H25+H92</f>
        <v>-26437.079368147155</v>
      </c>
      <c r="I95" s="13"/>
      <c r="J95" s="22">
        <f>IF(H$12=0,0,H95/H$12)</f>
        <v>-0.58354845859410109</v>
      </c>
      <c r="K95" s="15"/>
      <c r="L95" s="21">
        <f>+D95-H95</f>
        <v>-30562.920631852838</v>
      </c>
      <c r="M95" s="15"/>
      <c r="N95" s="22">
        <f>IF(H95=0,0,L95/H95)</f>
        <v>1.1560626726671148</v>
      </c>
      <c r="O95" s="25"/>
      <c r="P95" s="21">
        <f>+P23-P25+P92</f>
        <v>-310469.74999999988</v>
      </c>
      <c r="Q95" s="13"/>
      <c r="R95" s="22">
        <f>IF(P$12=0,0,P95/P$12)</f>
        <v>-0.97174932421629912</v>
      </c>
      <c r="S95" s="13"/>
      <c r="T95" s="21">
        <f>+T23-T25+T92</f>
        <v>-265123.40694204421</v>
      </c>
      <c r="U95" s="13"/>
      <c r="V95" s="22">
        <f>IF(T$12=0,0,T95/T$12)</f>
        <v>-1.4194117640806718</v>
      </c>
      <c r="W95" s="15"/>
      <c r="X95" s="21">
        <f>+P95-T95</f>
        <v>-45346.343057955673</v>
      </c>
      <c r="Y95" s="15"/>
      <c r="Z95" s="22">
        <f>IF(T95=0,0,X95/T95)</f>
        <v>0.17103862529900407</v>
      </c>
    </row>
    <row r="96" spans="1:26" x14ac:dyDescent="0.3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3">
      <c r="A97" s="52"/>
      <c r="B97" s="10" t="s">
        <v>128</v>
      </c>
      <c r="C97" s="10"/>
      <c r="D97" s="4">
        <v>4413.8900000000003</v>
      </c>
      <c r="E97" s="4"/>
      <c r="F97" s="12">
        <f>IF(D$12=0,0,D97/D$12)</f>
        <v>0.91440545590897993</v>
      </c>
      <c r="G97" s="4"/>
      <c r="H97" s="4">
        <v>5086</v>
      </c>
      <c r="I97" s="4"/>
      <c r="J97" s="12">
        <f>IF(H$12=0,0,H97/H$12)</f>
        <v>0.11226381776443581</v>
      </c>
      <c r="K97" s="4"/>
      <c r="L97" s="4">
        <f>+D97-H97</f>
        <v>-672.10999999999967</v>
      </c>
      <c r="M97" s="4"/>
      <c r="N97" s="12">
        <f>IF(H97=0,0,L97/H97)</f>
        <v>-0.13214903657097909</v>
      </c>
      <c r="O97" s="10"/>
      <c r="P97" s="4">
        <v>42290.81</v>
      </c>
      <c r="Q97" s="4"/>
      <c r="R97" s="12">
        <f>IF(P$12=0,0,P97/P$12)</f>
        <v>0.13236737568816259</v>
      </c>
      <c r="S97" s="4"/>
      <c r="T97" s="4">
        <v>23404</v>
      </c>
      <c r="U97" s="4"/>
      <c r="V97" s="12">
        <f>IF(T$12=0,0,T97/T$12)</f>
        <v>0.12529981154702757</v>
      </c>
      <c r="W97" s="4"/>
      <c r="X97" s="4">
        <f>+P97-T97</f>
        <v>18886.809999999998</v>
      </c>
      <c r="Y97" s="4"/>
      <c r="Z97" s="12">
        <f>IF(T97=0,0,X97/T97)</f>
        <v>0.80699068535293106</v>
      </c>
    </row>
    <row r="98" spans="1:26" x14ac:dyDescent="0.3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" thickBot="1" x14ac:dyDescent="0.35">
      <c r="A99" s="10"/>
      <c r="B99" s="26" t="s">
        <v>126</v>
      </c>
      <c r="C99" s="26"/>
      <c r="D99" s="32">
        <f>+D95-D97</f>
        <v>-61413.889999999992</v>
      </c>
      <c r="E99" s="13"/>
      <c r="F99" s="31">
        <f>IF(D$12=0,0,D99/D$12)</f>
        <v>-12.722835431919222</v>
      </c>
      <c r="G99" s="13"/>
      <c r="H99" s="32">
        <f>+H95-H97</f>
        <v>-31523.079368147155</v>
      </c>
      <c r="I99" s="13"/>
      <c r="J99" s="31">
        <f>IF(H$12=0,0,H99/H$12)</f>
        <v>-0.69581227635853693</v>
      </c>
      <c r="K99" s="15"/>
      <c r="L99" s="32">
        <f>D99-H99</f>
        <v>-29890.810631852837</v>
      </c>
      <c r="M99" s="15"/>
      <c r="N99" s="31">
        <f>IF(H99=0,0,L99/H99)</f>
        <v>0.94821988305039573</v>
      </c>
      <c r="O99" s="25"/>
      <c r="P99" s="32">
        <f>+P95-P97</f>
        <v>-352760.55999999988</v>
      </c>
      <c r="Q99" s="13"/>
      <c r="R99" s="31">
        <f>IF(P$12=0,0,P99/P$12)</f>
        <v>-1.1041166999044616</v>
      </c>
      <c r="S99" s="13"/>
      <c r="T99" s="32">
        <f>+T95-T97</f>
        <v>-288527.40694204421</v>
      </c>
      <c r="U99" s="13"/>
      <c r="V99" s="31">
        <f>IF(T$12=0,0,T99/T$12)</f>
        <v>-1.5447115756276995</v>
      </c>
      <c r="W99" s="15"/>
      <c r="X99" s="32">
        <f>P99-T99</f>
        <v>-64233.153057955671</v>
      </c>
      <c r="Y99" s="15"/>
      <c r="Z99" s="31">
        <f>IF(T99=0,0,X99/T99)</f>
        <v>0.22262409570976399</v>
      </c>
    </row>
    <row r="100" spans="1:26" ht="15" thickTop="1" x14ac:dyDescent="0.3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3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" thickBot="1" x14ac:dyDescent="0.35">
      <c r="A102" s="10"/>
      <c r="B102" s="26" t="s">
        <v>294</v>
      </c>
      <c r="C102" s="26"/>
      <c r="D102" s="34">
        <f>SUM(D99:D101)</f>
        <v>-61413.889999999992</v>
      </c>
      <c r="E102" s="13"/>
      <c r="F102" s="35">
        <f>IF(D$12=0,0,D102/D$12)</f>
        <v>-12.722835431919222</v>
      </c>
      <c r="G102" s="13"/>
      <c r="H102" s="34">
        <f>SUM(H99:H101)</f>
        <v>-31523.079368147155</v>
      </c>
      <c r="I102" s="13"/>
      <c r="J102" s="35">
        <f>IF(H$12=0,0,H102/H$12)</f>
        <v>-0.69581227635853693</v>
      </c>
      <c r="K102" s="15"/>
      <c r="L102" s="34">
        <f>+D102-H102</f>
        <v>-29890.810631852837</v>
      </c>
      <c r="M102" s="15"/>
      <c r="N102" s="35">
        <f>IF(H102=0,0,L102/H102)</f>
        <v>0.94821988305039573</v>
      </c>
      <c r="O102" s="25"/>
      <c r="P102" s="34">
        <f>SUM(P99:P101)</f>
        <v>-352760.55999999988</v>
      </c>
      <c r="Q102" s="13"/>
      <c r="R102" s="35">
        <f>IF(P$12=0,0,P102/P$12)</f>
        <v>-1.1041166999044616</v>
      </c>
      <c r="S102" s="13"/>
      <c r="T102" s="34">
        <f>SUM(T99:T101)</f>
        <v>-288527.40694204421</v>
      </c>
      <c r="U102" s="13"/>
      <c r="V102" s="35">
        <f>IF(T$12=0,0,T102/T$12)</f>
        <v>-1.5447115756276995</v>
      </c>
      <c r="W102" s="15"/>
      <c r="X102" s="34">
        <f>+P102-T102</f>
        <v>-64233.153057955671</v>
      </c>
      <c r="Y102" s="15"/>
      <c r="Z102" s="35">
        <f>IF(T102=0,0,X102/T102)</f>
        <v>0.22262409570976399</v>
      </c>
    </row>
    <row r="103" spans="1:26" ht="15" thickTop="1" x14ac:dyDescent="0.3">
      <c r="A103" s="9"/>
      <c r="C103" s="9"/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3">
      <c r="A104" s="9"/>
      <c r="B104" s="53">
        <v>44604.019995405091</v>
      </c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3">
      <c r="A105" s="9"/>
      <c r="B105" s="63" t="s">
        <v>56</v>
      </c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  <row r="106" spans="1:26" x14ac:dyDescent="0.3">
      <c r="A106" s="9"/>
      <c r="B106" s="58"/>
      <c r="D106" s="17"/>
      <c r="E106" s="17"/>
      <c r="G106" s="17"/>
      <c r="H106" s="17"/>
      <c r="I106" s="17"/>
      <c r="J106" s="43"/>
      <c r="K106" s="17"/>
      <c r="L106" s="17"/>
      <c r="M106" s="17"/>
      <c r="P106" s="17"/>
      <c r="Q106" s="17"/>
      <c r="R106" s="43"/>
      <c r="S106" s="17"/>
      <c r="T106" s="17"/>
      <c r="U106" s="17"/>
      <c r="V106" s="43"/>
      <c r="W106" s="17"/>
      <c r="X106" s="17"/>
    </row>
    <row r="107" spans="1:26" x14ac:dyDescent="0.3"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92D050"/>
    <outlinePr summaryBelow="0" summaryRight="0"/>
  </sheetPr>
  <dimension ref="A2:Z10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","418", " - ", "Nugget")</f>
        <v>Department 418 - Nugget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75717</v>
      </c>
      <c r="I12" s="4"/>
      <c r="J12" s="12"/>
      <c r="K12" s="4"/>
      <c r="L12" s="4">
        <f t="shared" ref="L12:L14" si="0">+D12-H12</f>
        <v>-75717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296923</v>
      </c>
      <c r="U12" s="4"/>
      <c r="V12" s="12"/>
      <c r="W12" s="4"/>
      <c r="X12" s="4">
        <f t="shared" ref="X12:X14" si="2">+P12-T12</f>
        <v>-296923</v>
      </c>
      <c r="Y12" s="4"/>
      <c r="Z12" s="12">
        <f t="shared" ref="Z12:Z14" si="3">IF(T12=0,0,X12/T12)</f>
        <v>-1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48686</v>
      </c>
      <c r="I13" s="2"/>
      <c r="J13" s="19"/>
      <c r="K13" s="2"/>
      <c r="L13" s="2">
        <f t="shared" si="0"/>
        <v>-48686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v>127656</v>
      </c>
      <c r="U13" s="2"/>
      <c r="V13" s="19"/>
      <c r="W13" s="2"/>
      <c r="X13" s="2">
        <f t="shared" si="2"/>
        <v>-127656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27031</v>
      </c>
      <c r="I14" s="2"/>
      <c r="J14" s="19"/>
      <c r="K14" s="2"/>
      <c r="L14" s="2">
        <f t="shared" si="0"/>
        <v>-27031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v>169267</v>
      </c>
      <c r="U14" s="2"/>
      <c r="V14" s="19"/>
      <c r="W14" s="2"/>
      <c r="X14" s="2">
        <f t="shared" si="2"/>
        <v>-169267</v>
      </c>
      <c r="Y14" s="2"/>
      <c r="Z14" s="19">
        <f t="shared" si="3"/>
        <v>-1</v>
      </c>
    </row>
    <row r="15" spans="1:26" x14ac:dyDescent="0.3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">
      <c r="A16" s="10"/>
      <c r="B16" s="25" t="s">
        <v>257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26501</v>
      </c>
      <c r="I16" s="4"/>
      <c r="J16" s="12">
        <f t="shared" ref="J16:J18" si="7">IF(H$12=0,0,H16/H$12)</f>
        <v>0.35000066035368543</v>
      </c>
      <c r="K16" s="4"/>
      <c r="L16" s="4">
        <f t="shared" ref="L16:L18" si="8">+D16-H16</f>
        <v>-26501</v>
      </c>
      <c r="M16" s="4"/>
      <c r="N16" s="12">
        <f t="shared" ref="N16:N18" si="9">IF(H16=0,0,L16/H16)</f>
        <v>-1</v>
      </c>
      <c r="O16" s="10"/>
      <c r="P16" s="4">
        <f>SUM(OSRRefP16x_0)</f>
        <v>1349.42</v>
      </c>
      <c r="Q16" s="4"/>
      <c r="R16" s="12">
        <f t="shared" ref="R16:R18" si="10">IF(P$12=0,0,P16/P$12)</f>
        <v>0</v>
      </c>
      <c r="S16" s="4"/>
      <c r="T16" s="4">
        <f>SUM(OSRRefT16x_0)</f>
        <v>100827</v>
      </c>
      <c r="U16" s="4"/>
      <c r="V16" s="12">
        <f t="shared" ref="V16:V18" si="11">IF(T$12=0,0,T16/T$12)</f>
        <v>0.33957288589971135</v>
      </c>
      <c r="W16" s="4"/>
      <c r="X16" s="4">
        <f t="shared" ref="X16:X18" si="12">+P16-T16</f>
        <v>-99477.58</v>
      </c>
      <c r="Y16" s="4"/>
      <c r="Z16" s="12">
        <f t="shared" ref="Z16:Z18" si="13">IF(T16=0,0,X16/T16)</f>
        <v>-0.98661648169637106</v>
      </c>
    </row>
    <row r="17" spans="1:26" s="24" customFormat="1" hidden="1" outlineLevel="1" x14ac:dyDescent="0.3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6"/>
        <v>0</v>
      </c>
      <c r="G17" s="2"/>
      <c r="H17" s="2">
        <v>26501</v>
      </c>
      <c r="I17" s="2"/>
      <c r="J17" s="19">
        <f t="shared" si="7"/>
        <v>0.35000066035368543</v>
      </c>
      <c r="K17" s="2"/>
      <c r="L17" s="2">
        <f t="shared" si="8"/>
        <v>-26501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100827</v>
      </c>
      <c r="U17" s="2"/>
      <c r="V17" s="19">
        <f t="shared" si="11"/>
        <v>0.33957288589971135</v>
      </c>
      <c r="W17" s="2"/>
      <c r="X17" s="2">
        <f t="shared" si="12"/>
        <v>-100827</v>
      </c>
      <c r="Y17" s="2"/>
      <c r="Z17" s="19">
        <f t="shared" si="13"/>
        <v>-1</v>
      </c>
    </row>
    <row r="18" spans="1:26" s="24" customFormat="1" hidden="1" outlineLevel="1" x14ac:dyDescent="0.3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6"/>
        <v>0</v>
      </c>
      <c r="G18" s="2"/>
      <c r="H18" s="2"/>
      <c r="I18" s="2"/>
      <c r="J18" s="19">
        <f t="shared" si="7"/>
        <v>0</v>
      </c>
      <c r="K18" s="2"/>
      <c r="L18" s="2">
        <f t="shared" si="8"/>
        <v>0</v>
      </c>
      <c r="M18" s="2"/>
      <c r="N18" s="19">
        <f t="shared" si="9"/>
        <v>0</v>
      </c>
      <c r="O18" s="11"/>
      <c r="P18" s="2">
        <v>1349.42</v>
      </c>
      <c r="Q18" s="2"/>
      <c r="R18" s="19">
        <f t="shared" si="10"/>
        <v>0</v>
      </c>
      <c r="S18" s="2"/>
      <c r="T18" s="2"/>
      <c r="U18" s="2"/>
      <c r="V18" s="19">
        <f t="shared" si="11"/>
        <v>0</v>
      </c>
      <c r="W18" s="2"/>
      <c r="X18" s="2">
        <f t="shared" si="12"/>
        <v>1349.42</v>
      </c>
      <c r="Y18" s="2"/>
      <c r="Z18" s="19">
        <f t="shared" si="13"/>
        <v>0</v>
      </c>
    </row>
    <row r="19" spans="1:26" x14ac:dyDescent="0.3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">
      <c r="A20" s="10"/>
      <c r="B20" s="26" t="s">
        <v>108</v>
      </c>
      <c r="C20" s="26"/>
      <c r="D20" s="21">
        <f>D12-D16</f>
        <v>0</v>
      </c>
      <c r="E20" s="13"/>
      <c r="F20" s="22">
        <f>IF(D$12=0,0,D20/D$12)</f>
        <v>0</v>
      </c>
      <c r="G20" s="13"/>
      <c r="H20" s="21">
        <f>H12-H16</f>
        <v>49216</v>
      </c>
      <c r="I20" s="13"/>
      <c r="J20" s="22">
        <f>IF(H$12=0,0,H20/H$12)</f>
        <v>0.64999933964631451</v>
      </c>
      <c r="K20" s="15"/>
      <c r="L20" s="21">
        <f>+D20-H20</f>
        <v>-49216</v>
      </c>
      <c r="M20" s="15"/>
      <c r="N20" s="22">
        <f>IF(H20=0,0,L20/H20)</f>
        <v>-1</v>
      </c>
      <c r="O20" s="25"/>
      <c r="P20" s="21">
        <f>P12-P16</f>
        <v>-1349.42</v>
      </c>
      <c r="Q20" s="13"/>
      <c r="R20" s="22">
        <f>IF(P$12=0,0,P20/P$12)</f>
        <v>0</v>
      </c>
      <c r="S20" s="13"/>
      <c r="T20" s="21">
        <f>T12-T16</f>
        <v>196096</v>
      </c>
      <c r="U20" s="13"/>
      <c r="V20" s="22">
        <f>IF(T$12=0,0,T20/T$12)</f>
        <v>0.66042711410028865</v>
      </c>
      <c r="W20" s="15"/>
      <c r="X20" s="21">
        <f>+P20-T20</f>
        <v>-197445.42</v>
      </c>
      <c r="Y20" s="15"/>
      <c r="Z20" s="22">
        <f>IF(T20=0,0,X20/T20)</f>
        <v>-1.0068814254242819</v>
      </c>
    </row>
    <row r="21" spans="1:26" x14ac:dyDescent="0.3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5" t="s">
        <v>295</v>
      </c>
      <c r="C22" s="10"/>
      <c r="D22" s="20">
        <f>SUM(OSRRefD22x_0)</f>
        <v>17879.699999999993</v>
      </c>
      <c r="E22" s="20"/>
      <c r="F22" s="33">
        <f t="shared" ref="F22:F32" si="14">IF(D$12=0,0,D22/D$12)</f>
        <v>0</v>
      </c>
      <c r="G22" s="20"/>
      <c r="H22" s="20">
        <f>SUM(OSRRefH22x_0)</f>
        <v>52554.364565249241</v>
      </c>
      <c r="I22" s="20"/>
      <c r="J22" s="33">
        <f t="shared" ref="J22:J32" si="15">IF(H$12=0,0,H22/H$12)</f>
        <v>0.69408936652600128</v>
      </c>
      <c r="K22" s="4"/>
      <c r="L22" s="20">
        <f t="shared" ref="L22:L32" si="16">+D22-H22</f>
        <v>-34674.664565249244</v>
      </c>
      <c r="M22" s="4"/>
      <c r="N22" s="33">
        <f t="shared" ref="N22:N32" si="17">IF(H22=0,0,L22/H22)</f>
        <v>-0.65978658199165685</v>
      </c>
      <c r="O22" s="10"/>
      <c r="P22" s="20">
        <f>SUM(OSRRefP22x_0)</f>
        <v>120144.14999999998</v>
      </c>
      <c r="Q22" s="20"/>
      <c r="R22" s="33">
        <f t="shared" ref="R22:R32" si="18">IF(P$12=0,0,P22/P$12)</f>
        <v>0</v>
      </c>
      <c r="S22" s="20"/>
      <c r="T22" s="20">
        <f>SUM(OSRRefT22x_0)</f>
        <v>279927.39696294151</v>
      </c>
      <c r="U22" s="20"/>
      <c r="V22" s="33">
        <f t="shared" ref="V22:V32" si="19">IF(T$12=0,0,T22/T$12)</f>
        <v>0.94276090758527131</v>
      </c>
      <c r="W22" s="4"/>
      <c r="X22" s="20">
        <f t="shared" ref="X22:X32" si="20">+P22-T22</f>
        <v>-159783.24696294154</v>
      </c>
      <c r="Y22" s="4"/>
      <c r="Z22" s="33">
        <f t="shared" ref="Z22:Z32" si="21">IF(T22=0,0,X22/T22)</f>
        <v>-0.57080246055406514</v>
      </c>
    </row>
    <row r="23" spans="1:26" s="28" customFormat="1" outlineLevel="1" collapsed="1" x14ac:dyDescent="0.3">
      <c r="A23" s="29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2372.7999999999997</v>
      </c>
      <c r="E23" s="1"/>
      <c r="F23" s="5">
        <f t="shared" si="14"/>
        <v>0</v>
      </c>
      <c r="G23" s="1"/>
      <c r="H23" s="1">
        <f>SUM(OSRRefH22_0x_0)</f>
        <v>11401.995688326158</v>
      </c>
      <c r="I23" s="1"/>
      <c r="J23" s="5">
        <f t="shared" si="15"/>
        <v>0.15058699748175652</v>
      </c>
      <c r="K23" s="1"/>
      <c r="L23" s="1">
        <f t="shared" si="16"/>
        <v>-9029.1956883261591</v>
      </c>
      <c r="M23" s="1"/>
      <c r="N23" s="5">
        <f t="shared" si="17"/>
        <v>-0.79189607987403721</v>
      </c>
      <c r="O23" s="14"/>
      <c r="P23" s="1">
        <f>SUM(OSRRefP22_0x_0)</f>
        <v>19332.77</v>
      </c>
      <c r="Q23" s="1"/>
      <c r="R23" s="5">
        <f t="shared" si="18"/>
        <v>0</v>
      </c>
      <c r="S23" s="1"/>
      <c r="T23" s="1">
        <f>SUM(OSRRefT22_0x_0)</f>
        <v>59208.578086018431</v>
      </c>
      <c r="U23" s="1"/>
      <c r="V23" s="5">
        <f t="shared" si="19"/>
        <v>0.19940717992886517</v>
      </c>
      <c r="W23" s="1"/>
      <c r="X23" s="1">
        <f t="shared" si="20"/>
        <v>-39875.808086018427</v>
      </c>
      <c r="Y23" s="1"/>
      <c r="Z23" s="5">
        <f t="shared" si="21"/>
        <v>-0.67348025193387873</v>
      </c>
    </row>
    <row r="24" spans="1:26" s="24" customFormat="1" hidden="1" outlineLevel="2" x14ac:dyDescent="0.3">
      <c r="A24" s="27"/>
      <c r="B24" s="11" t="str">
        <f>CONCATENATE("          ", "6111", " - ", "F.I.C.A.")</f>
        <v xml:space="preserve">          6111 - F.I.C.A.</v>
      </c>
      <c r="C24" s="11"/>
      <c r="D24" s="7">
        <v>429.42</v>
      </c>
      <c r="E24" s="2"/>
      <c r="F24" s="6">
        <f t="shared" si="14"/>
        <v>0</v>
      </c>
      <c r="G24" s="2"/>
      <c r="H24" s="7">
        <v>1249.12977140308</v>
      </c>
      <c r="I24" s="2"/>
      <c r="J24" s="6">
        <f t="shared" si="15"/>
        <v>1.6497348962625037E-2</v>
      </c>
      <c r="K24" s="2"/>
      <c r="L24" s="7">
        <f t="shared" si="16"/>
        <v>-819.70977140307991</v>
      </c>
      <c r="M24" s="2"/>
      <c r="N24" s="6">
        <f t="shared" si="17"/>
        <v>-0.65622466950118741</v>
      </c>
      <c r="O24" s="11"/>
      <c r="P24" s="7">
        <v>2771.32</v>
      </c>
      <c r="Q24" s="2"/>
      <c r="R24" s="6">
        <f t="shared" si="18"/>
        <v>0</v>
      </c>
      <c r="S24" s="2"/>
      <c r="T24" s="7">
        <v>5523.5598614030796</v>
      </c>
      <c r="U24" s="2"/>
      <c r="V24" s="6">
        <f t="shared" si="19"/>
        <v>1.8602667565001969E-2</v>
      </c>
      <c r="W24" s="2"/>
      <c r="X24" s="7">
        <f t="shared" si="20"/>
        <v>-2752.2398614030794</v>
      </c>
      <c r="Y24" s="2"/>
      <c r="Z24" s="6">
        <f t="shared" si="21"/>
        <v>-0.49827284042576903</v>
      </c>
    </row>
    <row r="25" spans="1:26" s="24" customFormat="1" hidden="1" outlineLevel="2" x14ac:dyDescent="0.3">
      <c r="A25" s="27"/>
      <c r="B25" s="11" t="str">
        <f>CONCATENATE("          ", "6112", " - ", "COMPENSATION INSURANCE")</f>
        <v xml:space="preserve">          6112 - COMPENSATION INSURANCE</v>
      </c>
      <c r="C25" s="11"/>
      <c r="D25" s="7">
        <v>202.09</v>
      </c>
      <c r="E25" s="2"/>
      <c r="F25" s="6">
        <f t="shared" si="14"/>
        <v>0</v>
      </c>
      <c r="G25" s="2"/>
      <c r="H25" s="7">
        <v>954.79169178461598</v>
      </c>
      <c r="I25" s="2"/>
      <c r="J25" s="6">
        <f t="shared" si="15"/>
        <v>1.2610004249833141E-2</v>
      </c>
      <c r="K25" s="2"/>
      <c r="L25" s="7">
        <f t="shared" si="16"/>
        <v>-752.70169178461595</v>
      </c>
      <c r="M25" s="2"/>
      <c r="N25" s="6">
        <f t="shared" si="17"/>
        <v>-0.78834126675079197</v>
      </c>
      <c r="O25" s="11"/>
      <c r="P25" s="7">
        <v>1201.8599999999999</v>
      </c>
      <c r="Q25" s="2"/>
      <c r="R25" s="6">
        <f t="shared" si="18"/>
        <v>0</v>
      </c>
      <c r="S25" s="2"/>
      <c r="T25" s="7">
        <v>4152.3767917846199</v>
      </c>
      <c r="U25" s="2"/>
      <c r="V25" s="6">
        <f t="shared" si="19"/>
        <v>1.3984692299972113E-2</v>
      </c>
      <c r="W25" s="2"/>
      <c r="X25" s="7">
        <f t="shared" si="20"/>
        <v>-2950.5167917846202</v>
      </c>
      <c r="Y25" s="2"/>
      <c r="Z25" s="6">
        <f t="shared" si="21"/>
        <v>-0.71056094852041085</v>
      </c>
    </row>
    <row r="26" spans="1:26" s="24" customFormat="1" hidden="1" outlineLevel="2" x14ac:dyDescent="0.3">
      <c r="A26" s="27"/>
      <c r="B26" s="11" t="str">
        <f>CONCATENATE("          ", "6113", " - ", "GROUP INSURANCE")</f>
        <v xml:space="preserve">          6113 - GROUP INSURANCE</v>
      </c>
      <c r="C26" s="11"/>
      <c r="D26" s="7">
        <v>652.17999999999995</v>
      </c>
      <c r="E26" s="2"/>
      <c r="F26" s="6">
        <f t="shared" si="14"/>
        <v>0</v>
      </c>
      <c r="G26" s="2"/>
      <c r="H26" s="7">
        <v>6061.2615384615401</v>
      </c>
      <c r="I26" s="2"/>
      <c r="J26" s="6">
        <f t="shared" si="15"/>
        <v>8.0051527906038811E-2</v>
      </c>
      <c r="K26" s="2"/>
      <c r="L26" s="7">
        <f t="shared" si="16"/>
        <v>-5409.0815384615398</v>
      </c>
      <c r="M26" s="2"/>
      <c r="N26" s="6">
        <f t="shared" si="17"/>
        <v>-0.89240193714433658</v>
      </c>
      <c r="O26" s="11"/>
      <c r="P26" s="7">
        <v>10749.44</v>
      </c>
      <c r="Q26" s="2"/>
      <c r="R26" s="6">
        <f t="shared" si="18"/>
        <v>0</v>
      </c>
      <c r="S26" s="2"/>
      <c r="T26" s="7">
        <v>34220.103846153797</v>
      </c>
      <c r="U26" s="2"/>
      <c r="V26" s="6">
        <f t="shared" si="19"/>
        <v>0.11524908426142062</v>
      </c>
      <c r="W26" s="2"/>
      <c r="X26" s="7">
        <f t="shared" si="20"/>
        <v>-23470.663846153795</v>
      </c>
      <c r="Y26" s="2"/>
      <c r="Z26" s="6">
        <f t="shared" si="21"/>
        <v>-0.68587354239697329</v>
      </c>
    </row>
    <row r="27" spans="1:26" s="24" customFormat="1" hidden="1" outlineLevel="2" x14ac:dyDescent="0.3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>
        <v>14.6</v>
      </c>
      <c r="E27" s="2"/>
      <c r="F27" s="6">
        <f t="shared" si="14"/>
        <v>0</v>
      </c>
      <c r="G27" s="2"/>
      <c r="H27" s="7">
        <v>52.904025138461499</v>
      </c>
      <c r="I27" s="2"/>
      <c r="J27" s="6">
        <f t="shared" si="15"/>
        <v>6.9870735948943433E-4</v>
      </c>
      <c r="K27" s="2"/>
      <c r="L27" s="7">
        <f t="shared" si="16"/>
        <v>-38.304025138461498</v>
      </c>
      <c r="M27" s="2"/>
      <c r="N27" s="6">
        <f t="shared" si="17"/>
        <v>-0.7240285599859636</v>
      </c>
      <c r="O27" s="11"/>
      <c r="P27" s="7">
        <v>88.17</v>
      </c>
      <c r="Q27" s="2"/>
      <c r="R27" s="6">
        <f t="shared" si="18"/>
        <v>0</v>
      </c>
      <c r="S27" s="2"/>
      <c r="T27" s="7">
        <v>230.07892513846201</v>
      </c>
      <c r="U27" s="2"/>
      <c r="V27" s="6">
        <f t="shared" si="19"/>
        <v>7.7487740976098858E-4</v>
      </c>
      <c r="W27" s="2"/>
      <c r="X27" s="7">
        <f t="shared" si="20"/>
        <v>-141.908925138462</v>
      </c>
      <c r="Y27" s="2"/>
      <c r="Z27" s="6">
        <f t="shared" si="21"/>
        <v>-0.61678367565851977</v>
      </c>
    </row>
    <row r="28" spans="1:26" s="24" customFormat="1" hidden="1" outlineLevel="2" x14ac:dyDescent="0.3">
      <c r="A28" s="27"/>
      <c r="B28" s="11" t="str">
        <f>CONCATENATE("          ", "6115", " - ", "P.E.R.S.")</f>
        <v xml:space="preserve">          6115 - P.E.R.S.</v>
      </c>
      <c r="C28" s="11"/>
      <c r="D28" s="7">
        <v>420.37</v>
      </c>
      <c r="E28" s="2"/>
      <c r="F28" s="6">
        <f t="shared" si="14"/>
        <v>0</v>
      </c>
      <c r="G28" s="2"/>
      <c r="H28" s="7">
        <v>530.88461538461502</v>
      </c>
      <c r="I28" s="2"/>
      <c r="J28" s="6">
        <f t="shared" si="15"/>
        <v>7.0114322461879769E-3</v>
      </c>
      <c r="K28" s="2"/>
      <c r="L28" s="7">
        <f t="shared" si="16"/>
        <v>-110.51461538461501</v>
      </c>
      <c r="M28" s="2"/>
      <c r="N28" s="6">
        <f t="shared" si="17"/>
        <v>-0.20817068753169546</v>
      </c>
      <c r="O28" s="11"/>
      <c r="P28" s="7">
        <v>903.79</v>
      </c>
      <c r="Q28" s="2"/>
      <c r="R28" s="6">
        <f t="shared" si="18"/>
        <v>0</v>
      </c>
      <c r="S28" s="2"/>
      <c r="T28" s="7">
        <v>530.88461538461502</v>
      </c>
      <c r="U28" s="2"/>
      <c r="V28" s="6">
        <f t="shared" si="19"/>
        <v>1.7879538310761208E-3</v>
      </c>
      <c r="W28" s="2"/>
      <c r="X28" s="7">
        <f t="shared" si="20"/>
        <v>372.90538461538495</v>
      </c>
      <c r="Y28" s="2"/>
      <c r="Z28" s="6">
        <f t="shared" si="21"/>
        <v>0.70242266174020251</v>
      </c>
    </row>
    <row r="29" spans="1:26" s="24" customFormat="1" hidden="1" outlineLevel="2" x14ac:dyDescent="0.3">
      <c r="A29" s="27"/>
      <c r="B29" s="11" t="str">
        <f>CONCATENATE("          ", "6116", " - ", "EDUCATIONAL BENEFITS")</f>
        <v xml:space="preserve">          6116 - EDUCATIONAL BENEFITS</v>
      </c>
      <c r="C29" s="11"/>
      <c r="D29" s="7"/>
      <c r="E29" s="2"/>
      <c r="F29" s="6">
        <f t="shared" si="14"/>
        <v>0</v>
      </c>
      <c r="G29" s="2"/>
      <c r="H29" s="7">
        <v>0</v>
      </c>
      <c r="I29" s="2"/>
      <c r="J29" s="6">
        <f t="shared" si="15"/>
        <v>0</v>
      </c>
      <c r="K29" s="2"/>
      <c r="L29" s="7">
        <f t="shared" si="16"/>
        <v>0</v>
      </c>
      <c r="M29" s="2"/>
      <c r="N29" s="6">
        <f t="shared" si="17"/>
        <v>0</v>
      </c>
      <c r="O29" s="11"/>
      <c r="P29" s="7"/>
      <c r="Q29" s="2"/>
      <c r="R29" s="6">
        <f t="shared" si="18"/>
        <v>0</v>
      </c>
      <c r="S29" s="2"/>
      <c r="T29" s="7">
        <v>0</v>
      </c>
      <c r="U29" s="2"/>
      <c r="V29" s="6">
        <f t="shared" si="19"/>
        <v>0</v>
      </c>
      <c r="W29" s="2"/>
      <c r="X29" s="7">
        <f t="shared" si="20"/>
        <v>0</v>
      </c>
      <c r="Y29" s="2"/>
      <c r="Z29" s="6">
        <f t="shared" si="21"/>
        <v>0</v>
      </c>
    </row>
    <row r="30" spans="1:26" s="24" customFormat="1" hidden="1" outlineLevel="2" x14ac:dyDescent="0.3">
      <c r="A30" s="27"/>
      <c r="B30" s="11" t="str">
        <f>CONCATENATE("          ", "6118", " - ", "VACATION")</f>
        <v xml:space="preserve">          6118 - VACATION</v>
      </c>
      <c r="C30" s="11"/>
      <c r="D30" s="7">
        <v>213.24</v>
      </c>
      <c r="E30" s="2"/>
      <c r="F30" s="6">
        <f t="shared" si="14"/>
        <v>0</v>
      </c>
      <c r="G30" s="2"/>
      <c r="H30" s="7">
        <v>445.87838769230802</v>
      </c>
      <c r="I30" s="2"/>
      <c r="J30" s="6">
        <f t="shared" si="15"/>
        <v>5.8887487313589821E-3</v>
      </c>
      <c r="K30" s="2"/>
      <c r="L30" s="7">
        <f t="shared" si="16"/>
        <v>-232.63838769230802</v>
      </c>
      <c r="M30" s="2"/>
      <c r="N30" s="6">
        <f t="shared" si="17"/>
        <v>-0.5217530028677847</v>
      </c>
      <c r="O30" s="11"/>
      <c r="P30" s="7">
        <v>1244.42</v>
      </c>
      <c r="Q30" s="2"/>
      <c r="R30" s="6">
        <f t="shared" si="18"/>
        <v>0</v>
      </c>
      <c r="S30" s="2"/>
      <c r="T30" s="7">
        <v>1927.0983876923101</v>
      </c>
      <c r="U30" s="2"/>
      <c r="V30" s="6">
        <f t="shared" si="19"/>
        <v>6.4902294119765398E-3</v>
      </c>
      <c r="W30" s="2"/>
      <c r="X30" s="7">
        <f t="shared" si="20"/>
        <v>-682.67838769231003</v>
      </c>
      <c r="Y30" s="2"/>
      <c r="Z30" s="6">
        <f t="shared" si="21"/>
        <v>-0.35425196349721078</v>
      </c>
    </row>
    <row r="31" spans="1:26" s="24" customFormat="1" hidden="1" outlineLevel="2" x14ac:dyDescent="0.3">
      <c r="A31" s="27"/>
      <c r="B31" s="11" t="str">
        <f>CONCATENATE("          ", "6119", " - ", "SICK LEAVE")</f>
        <v xml:space="preserve">          6119 - SICK LEAVE</v>
      </c>
      <c r="C31" s="11"/>
      <c r="D31" s="7">
        <v>255.46</v>
      </c>
      <c r="E31" s="2"/>
      <c r="F31" s="6">
        <f t="shared" si="14"/>
        <v>0</v>
      </c>
      <c r="G31" s="2"/>
      <c r="H31" s="7">
        <v>607.14565846153801</v>
      </c>
      <c r="I31" s="2"/>
      <c r="J31" s="6">
        <f t="shared" si="15"/>
        <v>8.0186174632055941E-3</v>
      </c>
      <c r="K31" s="2"/>
      <c r="L31" s="7">
        <f t="shared" si="16"/>
        <v>-351.68565846153797</v>
      </c>
      <c r="M31" s="2"/>
      <c r="N31" s="6">
        <f t="shared" si="17"/>
        <v>-0.57924429428134805</v>
      </c>
      <c r="O31" s="11"/>
      <c r="P31" s="7">
        <v>1312.11</v>
      </c>
      <c r="Q31" s="2"/>
      <c r="R31" s="6">
        <f t="shared" si="18"/>
        <v>0</v>
      </c>
      <c r="S31" s="2"/>
      <c r="T31" s="7">
        <v>2644.4756584615402</v>
      </c>
      <c r="U31" s="2"/>
      <c r="V31" s="6">
        <f t="shared" si="19"/>
        <v>8.9062674783076425E-3</v>
      </c>
      <c r="W31" s="2"/>
      <c r="X31" s="7">
        <f t="shared" si="20"/>
        <v>-1332.3656584615403</v>
      </c>
      <c r="Y31" s="2"/>
      <c r="Z31" s="6">
        <f t="shared" si="21"/>
        <v>-0.50382980618421047</v>
      </c>
    </row>
    <row r="32" spans="1:26" s="24" customFormat="1" hidden="1" outlineLevel="2" x14ac:dyDescent="0.3">
      <c r="A32" s="27"/>
      <c r="B32" s="11" t="str">
        <f>CONCATENATE("          ", "6156", " - ", "EMPLOYEE MEALS")</f>
        <v xml:space="preserve">          6156 - EMPLOYEE MEALS</v>
      </c>
      <c r="C32" s="11"/>
      <c r="D32" s="7">
        <v>185.44</v>
      </c>
      <c r="E32" s="2"/>
      <c r="F32" s="6">
        <f t="shared" si="14"/>
        <v>0</v>
      </c>
      <c r="G32" s="2"/>
      <c r="H32" s="7">
        <v>1500</v>
      </c>
      <c r="I32" s="2"/>
      <c r="J32" s="6">
        <f t="shared" si="15"/>
        <v>1.9810610563017552E-2</v>
      </c>
      <c r="K32" s="2"/>
      <c r="L32" s="7">
        <f t="shared" si="16"/>
        <v>-1314.56</v>
      </c>
      <c r="M32" s="2"/>
      <c r="N32" s="6">
        <f t="shared" si="17"/>
        <v>-0.87637333333333334</v>
      </c>
      <c r="O32" s="11"/>
      <c r="P32" s="7">
        <v>1061.6600000000001</v>
      </c>
      <c r="Q32" s="2"/>
      <c r="R32" s="6">
        <f t="shared" si="18"/>
        <v>0</v>
      </c>
      <c r="S32" s="2"/>
      <c r="T32" s="7">
        <v>9980</v>
      </c>
      <c r="U32" s="2"/>
      <c r="V32" s="6">
        <f t="shared" si="19"/>
        <v>3.3611407671349139E-2</v>
      </c>
      <c r="W32" s="2"/>
      <c r="X32" s="7">
        <f t="shared" si="20"/>
        <v>-8918.34</v>
      </c>
      <c r="Y32" s="2"/>
      <c r="Z32" s="6">
        <f t="shared" si="21"/>
        <v>-0.89362124248496999</v>
      </c>
    </row>
    <row r="33" spans="1:26" s="28" customFormat="1" outlineLevel="1" collapsed="1" x14ac:dyDescent="0.3">
      <c r="A33" s="29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6923.48</v>
      </c>
      <c r="E33" s="1"/>
      <c r="F33" s="5">
        <f t="shared" ref="F33:F43" si="22">IF(D$12=0,0,D33/D$12)</f>
        <v>0</v>
      </c>
      <c r="G33" s="1"/>
      <c r="H33" s="1">
        <f>SUM(OSRRefH22_1x_0)</f>
        <v>24139.368876923079</v>
      </c>
      <c r="I33" s="1"/>
      <c r="J33" s="5">
        <f t="shared" ref="J33:J43" si="23">IF(H$12=0,0,H33/H$12)</f>
        <v>0.31881042403849968</v>
      </c>
      <c r="K33" s="1"/>
      <c r="L33" s="1">
        <f t="shared" ref="L33:L43" si="24">+D33-H33</f>
        <v>-17215.88887692308</v>
      </c>
      <c r="M33" s="1"/>
      <c r="N33" s="5">
        <f t="shared" ref="N33:N43" si="25">IF(H33=0,0,L33/H33)</f>
        <v>-0.71318719908130013</v>
      </c>
      <c r="O33" s="14"/>
      <c r="P33" s="1">
        <f>SUM(OSRRefP22_1x_0)</f>
        <v>35909.42</v>
      </c>
      <c r="Q33" s="1"/>
      <c r="R33" s="5">
        <f t="shared" ref="R33:R43" si="26">IF(P$12=0,0,P33/P$12)</f>
        <v>0</v>
      </c>
      <c r="S33" s="1"/>
      <c r="T33" s="1">
        <f>SUM(OSRRefT22_1x_0)</f>
        <v>104989.81887692308</v>
      </c>
      <c r="U33" s="1"/>
      <c r="V33" s="5">
        <f t="shared" ref="V33:V43" si="27">IF(T$12=0,0,T33/T$12)</f>
        <v>0.35359274585304296</v>
      </c>
      <c r="W33" s="1"/>
      <c r="X33" s="1">
        <f t="shared" ref="X33:X43" si="28">+P33-T33</f>
        <v>-69080.398876923078</v>
      </c>
      <c r="Y33" s="1"/>
      <c r="Z33" s="5">
        <f t="shared" ref="Z33:Z43" si="29">IF(T33=0,0,X33/T33)</f>
        <v>-0.65797235975713309</v>
      </c>
    </row>
    <row r="34" spans="1:26" s="24" customFormat="1" hidden="1" outlineLevel="2" x14ac:dyDescent="0.3">
      <c r="A34" s="27"/>
      <c r="B34" s="11" t="str">
        <f>CONCATENATE("          ", "6001", " - ", "ADMINISTRATIVE SALARIES")</f>
        <v xml:space="preserve">          6001 - ADMINISTRATIVE SALARIES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0</v>
      </c>
      <c r="Y34" s="2"/>
      <c r="Z34" s="6">
        <f t="shared" si="29"/>
        <v>0</v>
      </c>
    </row>
    <row r="35" spans="1:26" s="24" customFormat="1" hidden="1" outlineLevel="2" x14ac:dyDescent="0.3">
      <c r="A35" s="27"/>
      <c r="B35" s="11" t="str">
        <f>CONCATENATE("          ", "6002", " - ", "STAFF SALARIES")</f>
        <v xml:space="preserve">          6002 - STAFF SALARIES</v>
      </c>
      <c r="C35" s="11"/>
      <c r="D35" s="7">
        <v>6923.48</v>
      </c>
      <c r="E35" s="2"/>
      <c r="F35" s="6">
        <f t="shared" si="22"/>
        <v>0</v>
      </c>
      <c r="G35" s="2"/>
      <c r="H35" s="7">
        <v>5864.4230769230799</v>
      </c>
      <c r="I35" s="2"/>
      <c r="J35" s="6">
        <f t="shared" si="23"/>
        <v>7.7451867835797508E-2</v>
      </c>
      <c r="K35" s="2"/>
      <c r="L35" s="7">
        <f t="shared" si="24"/>
        <v>1059.0569230769197</v>
      </c>
      <c r="M35" s="2"/>
      <c r="N35" s="6">
        <f t="shared" si="25"/>
        <v>0.18059012952943038</v>
      </c>
      <c r="O35" s="11"/>
      <c r="P35" s="7">
        <v>13292.72</v>
      </c>
      <c r="Q35" s="2"/>
      <c r="R35" s="6">
        <f t="shared" si="26"/>
        <v>0</v>
      </c>
      <c r="S35" s="2"/>
      <c r="T35" s="7">
        <v>5864.4230769230799</v>
      </c>
      <c r="U35" s="2"/>
      <c r="V35" s="6">
        <f t="shared" si="27"/>
        <v>1.9750652785143218E-2</v>
      </c>
      <c r="W35" s="2"/>
      <c r="X35" s="7">
        <f t="shared" si="28"/>
        <v>7428.2969230769195</v>
      </c>
      <c r="Y35" s="2"/>
      <c r="Z35" s="6">
        <f t="shared" si="29"/>
        <v>1.2666713887522532</v>
      </c>
    </row>
    <row r="36" spans="1:26" s="24" customFormat="1" hidden="1" outlineLevel="2" x14ac:dyDescent="0.3">
      <c r="A36" s="27"/>
      <c r="B36" s="11" t="str">
        <f>CONCATENATE("          ", "6003", " - ", "STAFF HOURLY-9 MONTH")</f>
        <v xml:space="preserve">          6003 - STAFF HOURLY-9 MONTH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3">
      <c r="A37" s="27"/>
      <c r="B37" s="11" t="str">
        <f>CONCATENATE("          ", "6004", " - ", "STAFF HOURLY")</f>
        <v xml:space="preserve">          6004 - STAFF HOURLY</v>
      </c>
      <c r="C37" s="11"/>
      <c r="D37" s="7"/>
      <c r="E37" s="2"/>
      <c r="F37" s="6">
        <f t="shared" si="22"/>
        <v>0</v>
      </c>
      <c r="G37" s="2"/>
      <c r="H37" s="7">
        <v>8255.0591999999997</v>
      </c>
      <c r="I37" s="2"/>
      <c r="J37" s="6">
        <f t="shared" si="23"/>
        <v>0.10902517532390348</v>
      </c>
      <c r="K37" s="2"/>
      <c r="L37" s="7">
        <f t="shared" si="24"/>
        <v>-8255.0591999999997</v>
      </c>
      <c r="M37" s="2"/>
      <c r="N37" s="6">
        <f t="shared" si="25"/>
        <v>-1</v>
      </c>
      <c r="O37" s="11"/>
      <c r="P37" s="7">
        <v>14370.65</v>
      </c>
      <c r="Q37" s="2"/>
      <c r="R37" s="6">
        <f t="shared" si="26"/>
        <v>0</v>
      </c>
      <c r="S37" s="2"/>
      <c r="T37" s="7">
        <v>55160.359199999999</v>
      </c>
      <c r="U37" s="2"/>
      <c r="V37" s="6">
        <f t="shared" si="27"/>
        <v>0.18577327859411363</v>
      </c>
      <c r="W37" s="2"/>
      <c r="X37" s="7">
        <f t="shared" si="28"/>
        <v>-40789.709199999998</v>
      </c>
      <c r="Y37" s="2"/>
      <c r="Z37" s="6">
        <f t="shared" si="29"/>
        <v>-0.73947504678323417</v>
      </c>
    </row>
    <row r="38" spans="1:26" s="24" customFormat="1" hidden="1" outlineLevel="2" x14ac:dyDescent="0.3">
      <c r="A38" s="27"/>
      <c r="B38" s="11" t="str">
        <f>CONCATENATE("          ", "6005", " - ", "TEMPORARY WAGES-HOURLY")</f>
        <v xml:space="preserve">          6005 - TEMPORARY WAGES-HOURLY</v>
      </c>
      <c r="C38" s="11"/>
      <c r="D38" s="7"/>
      <c r="E38" s="2"/>
      <c r="F38" s="6">
        <f t="shared" si="22"/>
        <v>0</v>
      </c>
      <c r="G38" s="2"/>
      <c r="H38" s="7">
        <v>3038.9712</v>
      </c>
      <c r="I38" s="2"/>
      <c r="J38" s="6">
        <f t="shared" si="23"/>
        <v>4.013591663695075E-2</v>
      </c>
      <c r="K38" s="2"/>
      <c r="L38" s="7">
        <f t="shared" si="24"/>
        <v>-3038.9712</v>
      </c>
      <c r="M38" s="2"/>
      <c r="N38" s="6">
        <f t="shared" si="25"/>
        <v>-1</v>
      </c>
      <c r="O38" s="11"/>
      <c r="P38" s="7">
        <v>8246.0499999999993</v>
      </c>
      <c r="Q38" s="2"/>
      <c r="R38" s="6">
        <f t="shared" si="26"/>
        <v>0</v>
      </c>
      <c r="S38" s="2"/>
      <c r="T38" s="7">
        <v>25674.891199999998</v>
      </c>
      <c r="U38" s="2"/>
      <c r="V38" s="6">
        <f t="shared" si="27"/>
        <v>8.6469863230534516E-2</v>
      </c>
      <c r="W38" s="2"/>
      <c r="X38" s="7">
        <f t="shared" si="28"/>
        <v>-17428.841199999999</v>
      </c>
      <c r="Y38" s="2"/>
      <c r="Z38" s="6">
        <f t="shared" si="29"/>
        <v>-0.67882823978627027</v>
      </c>
    </row>
    <row r="39" spans="1:26" s="24" customFormat="1" hidden="1" outlineLevel="2" x14ac:dyDescent="0.3">
      <c r="A39" s="27"/>
      <c r="B39" s="11" t="str">
        <f>CONCATENATE("          ", "6006", " - ", "TEMPORARY PART TIME")</f>
        <v xml:space="preserve">          6006 - TEMPORARY PART TIME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3">
      <c r="A40" s="27"/>
      <c r="B40" s="11" t="str">
        <f>CONCATENATE("          ", "6007", " - ", "STUDENT HOURLY")</f>
        <v xml:space="preserve">          6007 - STUDENT HOURLY</v>
      </c>
      <c r="C40" s="11"/>
      <c r="D40" s="7"/>
      <c r="E40" s="2"/>
      <c r="F40" s="6">
        <f t="shared" si="22"/>
        <v>0</v>
      </c>
      <c r="G40" s="2"/>
      <c r="H40" s="7">
        <v>1415.6956</v>
      </c>
      <c r="I40" s="2"/>
      <c r="J40" s="6">
        <f t="shared" si="23"/>
        <v>1.8697196138251649E-2</v>
      </c>
      <c r="K40" s="2"/>
      <c r="L40" s="7">
        <f t="shared" si="24"/>
        <v>-1415.6956</v>
      </c>
      <c r="M40" s="2"/>
      <c r="N40" s="6">
        <f t="shared" si="25"/>
        <v>-1</v>
      </c>
      <c r="O40" s="11"/>
      <c r="P40" s="7">
        <v>0</v>
      </c>
      <c r="Q40" s="2"/>
      <c r="R40" s="6">
        <f t="shared" si="26"/>
        <v>0</v>
      </c>
      <c r="S40" s="2"/>
      <c r="T40" s="7">
        <v>7700.3256000000001</v>
      </c>
      <c r="U40" s="2"/>
      <c r="V40" s="6">
        <f t="shared" si="27"/>
        <v>2.5933745785944505E-2</v>
      </c>
      <c r="W40" s="2"/>
      <c r="X40" s="7">
        <f t="shared" si="28"/>
        <v>-7700.3256000000001</v>
      </c>
      <c r="Y40" s="2"/>
      <c r="Z40" s="6">
        <f t="shared" si="29"/>
        <v>-1</v>
      </c>
    </row>
    <row r="41" spans="1:26" s="24" customFormat="1" hidden="1" outlineLevel="2" x14ac:dyDescent="0.3">
      <c r="A41" s="27"/>
      <c r="B41" s="11" t="str">
        <f>CONCATENATE("          ", "6008", " - ", "STUDENT HOURLY-FICA EXEMPT")</f>
        <v xml:space="preserve">          6008 - STUDENT HOURLY-FICA EXEMPT</v>
      </c>
      <c r="C41" s="11"/>
      <c r="D41" s="7"/>
      <c r="E41" s="2"/>
      <c r="F41" s="6">
        <f t="shared" si="22"/>
        <v>0</v>
      </c>
      <c r="G41" s="2"/>
      <c r="H41" s="7">
        <v>5565.2197999999999</v>
      </c>
      <c r="I41" s="2"/>
      <c r="J41" s="6">
        <f t="shared" si="23"/>
        <v>7.3500268103596278E-2</v>
      </c>
      <c r="K41" s="2"/>
      <c r="L41" s="7">
        <f t="shared" si="24"/>
        <v>-5565.2197999999999</v>
      </c>
      <c r="M41" s="2"/>
      <c r="N41" s="6">
        <f t="shared" si="25"/>
        <v>-1</v>
      </c>
      <c r="O41" s="11"/>
      <c r="P41" s="7"/>
      <c r="Q41" s="2"/>
      <c r="R41" s="6">
        <f t="shared" si="26"/>
        <v>0</v>
      </c>
      <c r="S41" s="2"/>
      <c r="T41" s="7">
        <v>10589.819799999999</v>
      </c>
      <c r="U41" s="2"/>
      <c r="V41" s="6">
        <f t="shared" si="27"/>
        <v>3.5665205457307114E-2</v>
      </c>
      <c r="W41" s="2"/>
      <c r="X41" s="7">
        <f t="shared" si="28"/>
        <v>-10589.819799999999</v>
      </c>
      <c r="Y41" s="2"/>
      <c r="Z41" s="6">
        <f t="shared" si="29"/>
        <v>-1</v>
      </c>
    </row>
    <row r="42" spans="1:26" s="24" customFormat="1" hidden="1" outlineLevel="2" x14ac:dyDescent="0.3">
      <c r="A42" s="27"/>
      <c r="B42" s="11" t="str">
        <f>CONCATENATE("          ", "6009", " - ", "TEMPORARY-SEASONAL")</f>
        <v xml:space="preserve">          6009 - TEMPORARY-SEASONAL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4" customFormat="1" hidden="1" outlineLevel="2" x14ac:dyDescent="0.3">
      <c r="A43" s="27"/>
      <c r="B43" s="11" t="str">
        <f>CONCATENATE("          ", "6010", " - ", "GRATUITY")</f>
        <v xml:space="preserve">          6010 - GRATUITY</v>
      </c>
      <c r="C43" s="11"/>
      <c r="D43" s="7"/>
      <c r="E43" s="2"/>
      <c r="F43" s="6">
        <f t="shared" si="22"/>
        <v>0</v>
      </c>
      <c r="G43" s="2"/>
      <c r="H43" s="7">
        <v>0</v>
      </c>
      <c r="I43" s="2"/>
      <c r="J43" s="6">
        <f t="shared" si="23"/>
        <v>0</v>
      </c>
      <c r="K43" s="2"/>
      <c r="L43" s="7">
        <f t="shared" si="24"/>
        <v>0</v>
      </c>
      <c r="M43" s="2"/>
      <c r="N43" s="6">
        <f t="shared" si="25"/>
        <v>0</v>
      </c>
      <c r="O43" s="11"/>
      <c r="P43" s="7"/>
      <c r="Q43" s="2"/>
      <c r="R43" s="6">
        <f t="shared" si="26"/>
        <v>0</v>
      </c>
      <c r="S43" s="2"/>
      <c r="T43" s="7">
        <v>0</v>
      </c>
      <c r="U43" s="2"/>
      <c r="V43" s="6">
        <f t="shared" si="27"/>
        <v>0</v>
      </c>
      <c r="W43" s="2"/>
      <c r="X43" s="7">
        <f t="shared" si="28"/>
        <v>0</v>
      </c>
      <c r="Y43" s="2"/>
      <c r="Z43" s="6">
        <f t="shared" si="29"/>
        <v>0</v>
      </c>
    </row>
    <row r="44" spans="1:26" s="28" customFormat="1" outlineLevel="1" collapsed="1" x14ac:dyDescent="0.3">
      <c r="A44" s="29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50" si="30">IF(D$12=0,0,D44/D$12)</f>
        <v>0</v>
      </c>
      <c r="G44" s="1"/>
      <c r="H44" s="1">
        <f>SUM(OSRRefH22_2x_0)</f>
        <v>0</v>
      </c>
      <c r="I44" s="1"/>
      <c r="J44" s="5">
        <f t="shared" ref="J44:J50" si="31">IF(H$12=0,0,H44/H$12)</f>
        <v>0</v>
      </c>
      <c r="K44" s="1"/>
      <c r="L44" s="1">
        <f t="shared" ref="L44:L50" si="32">+D44-H44</f>
        <v>0</v>
      </c>
      <c r="M44" s="1"/>
      <c r="N44" s="5">
        <f t="shared" ref="N44:N50" si="33">IF(H44=0,0,L44/H44)</f>
        <v>0</v>
      </c>
      <c r="O44" s="14"/>
      <c r="P44" s="1">
        <f>SUM(OSRRefP22_2x_0)</f>
        <v>263.58</v>
      </c>
      <c r="Q44" s="1"/>
      <c r="R44" s="5">
        <f t="shared" ref="R44:R50" si="34">IF(P$12=0,0,P44/P$12)</f>
        <v>0</v>
      </c>
      <c r="S44" s="1"/>
      <c r="T44" s="1">
        <f>SUM(OSRRefT22_2x_0)</f>
        <v>0</v>
      </c>
      <c r="U44" s="1"/>
      <c r="V44" s="5">
        <f t="shared" ref="V44:V50" si="35">IF(T$12=0,0,T44/T$12)</f>
        <v>0</v>
      </c>
      <c r="W44" s="1"/>
      <c r="X44" s="1">
        <f t="shared" ref="X44:X50" si="36">+P44-T44</f>
        <v>263.58</v>
      </c>
      <c r="Y44" s="1"/>
      <c r="Z44" s="5">
        <f t="shared" ref="Z44:Z50" si="37">IF(T44=0,0,X44/T44)</f>
        <v>0</v>
      </c>
    </row>
    <row r="45" spans="1:26" s="24" customFormat="1" hidden="1" outlineLevel="2" x14ac:dyDescent="0.3">
      <c r="A45" s="27"/>
      <c r="B45" s="11" t="str">
        <f>CONCATENATE("          ", "6362", " - ", "ADVERTISING EXPENSE")</f>
        <v xml:space="preserve">          6362 - ADVERTISING EXPENSE</v>
      </c>
      <c r="C45" s="11"/>
      <c r="D45" s="7"/>
      <c r="E45" s="2"/>
      <c r="F45" s="6">
        <f t="shared" si="30"/>
        <v>0</v>
      </c>
      <c r="G45" s="2"/>
      <c r="H45" s="7"/>
      <c r="I45" s="2"/>
      <c r="J45" s="6">
        <f t="shared" si="31"/>
        <v>0</v>
      </c>
      <c r="K45" s="2"/>
      <c r="L45" s="7">
        <f t="shared" si="32"/>
        <v>0</v>
      </c>
      <c r="M45" s="2"/>
      <c r="N45" s="6">
        <f t="shared" si="33"/>
        <v>0</v>
      </c>
      <c r="O45" s="11"/>
      <c r="P45" s="7">
        <v>263.58</v>
      </c>
      <c r="Q45" s="2"/>
      <c r="R45" s="6">
        <f t="shared" si="34"/>
        <v>0</v>
      </c>
      <c r="S45" s="2"/>
      <c r="T45" s="7"/>
      <c r="U45" s="2"/>
      <c r="V45" s="6">
        <f t="shared" si="35"/>
        <v>0</v>
      </c>
      <c r="W45" s="2"/>
      <c r="X45" s="7">
        <f t="shared" si="36"/>
        <v>263.58</v>
      </c>
      <c r="Y45" s="2"/>
      <c r="Z45" s="6">
        <f t="shared" si="37"/>
        <v>0</v>
      </c>
    </row>
    <row r="46" spans="1:26" s="28" customFormat="1" outlineLevel="1" collapsed="1" x14ac:dyDescent="0.3">
      <c r="A46" s="29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SUM(OSRRefD22_3x_0)</f>
        <v>0.27</v>
      </c>
      <c r="E46" s="1"/>
      <c r="F46" s="5">
        <f t="shared" si="30"/>
        <v>0</v>
      </c>
      <c r="G46" s="1"/>
      <c r="H46" s="1">
        <f>SUM(OSRRefH22_3x_0)</f>
        <v>3026</v>
      </c>
      <c r="I46" s="1"/>
      <c r="J46" s="5">
        <f t="shared" si="31"/>
        <v>3.9964605042460744E-2</v>
      </c>
      <c r="K46" s="1"/>
      <c r="L46" s="1">
        <f t="shared" si="32"/>
        <v>-3025.73</v>
      </c>
      <c r="M46" s="1"/>
      <c r="N46" s="5">
        <f t="shared" si="33"/>
        <v>-0.99991077329808331</v>
      </c>
      <c r="O46" s="14"/>
      <c r="P46" s="1">
        <f>SUM(OSRRefP22_3x_0)</f>
        <v>0.64</v>
      </c>
      <c r="Q46" s="1"/>
      <c r="R46" s="5">
        <f t="shared" si="34"/>
        <v>0</v>
      </c>
      <c r="S46" s="1"/>
      <c r="T46" s="1">
        <f>SUM(OSRRefT22_3x_0)</f>
        <v>11868</v>
      </c>
      <c r="U46" s="1"/>
      <c r="V46" s="5">
        <f t="shared" si="35"/>
        <v>3.9969958541440039E-2</v>
      </c>
      <c r="W46" s="1"/>
      <c r="X46" s="1">
        <f t="shared" si="36"/>
        <v>-11867.36</v>
      </c>
      <c r="Y46" s="1"/>
      <c r="Z46" s="5">
        <f t="shared" si="37"/>
        <v>-0.99994607347489051</v>
      </c>
    </row>
    <row r="47" spans="1:26" s="24" customFormat="1" hidden="1" outlineLevel="2" x14ac:dyDescent="0.3">
      <c r="A47" s="27"/>
      <c r="B47" s="11" t="str">
        <f>CONCATENATE("          ", "6381", " - ", "BANK/CREDIT CARD FEES")</f>
        <v xml:space="preserve">          6381 - BANK/CREDIT CARD FEES</v>
      </c>
      <c r="C47" s="11"/>
      <c r="D47" s="7">
        <v>0.27</v>
      </c>
      <c r="E47" s="2"/>
      <c r="F47" s="6">
        <f t="shared" si="30"/>
        <v>0</v>
      </c>
      <c r="G47" s="2"/>
      <c r="H47" s="7">
        <v>3026</v>
      </c>
      <c r="I47" s="2"/>
      <c r="J47" s="6">
        <f t="shared" si="31"/>
        <v>3.9964605042460744E-2</v>
      </c>
      <c r="K47" s="2"/>
      <c r="L47" s="7">
        <f t="shared" si="32"/>
        <v>-3025.73</v>
      </c>
      <c r="M47" s="2"/>
      <c r="N47" s="6">
        <f t="shared" si="33"/>
        <v>-0.99991077329808331</v>
      </c>
      <c r="O47" s="11"/>
      <c r="P47" s="7">
        <v>0.64</v>
      </c>
      <c r="Q47" s="2"/>
      <c r="R47" s="6">
        <f t="shared" si="34"/>
        <v>0</v>
      </c>
      <c r="S47" s="2"/>
      <c r="T47" s="7">
        <v>11868</v>
      </c>
      <c r="U47" s="2"/>
      <c r="V47" s="6">
        <f t="shared" si="35"/>
        <v>3.9969958541440039E-2</v>
      </c>
      <c r="W47" s="2"/>
      <c r="X47" s="7">
        <f t="shared" si="36"/>
        <v>-11867.36</v>
      </c>
      <c r="Y47" s="2"/>
      <c r="Z47" s="6">
        <f t="shared" si="37"/>
        <v>-0.99994607347489051</v>
      </c>
    </row>
    <row r="48" spans="1:26" s="28" customFormat="1" outlineLevel="1" collapsed="1" x14ac:dyDescent="0.3">
      <c r="A48" s="29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SUM(OSRRefD22_4x_0)</f>
        <v>6701.08</v>
      </c>
      <c r="E48" s="1"/>
      <c r="F48" s="5">
        <f t="shared" si="30"/>
        <v>0</v>
      </c>
      <c r="G48" s="1"/>
      <c r="H48" s="1">
        <f>SUM(OSRRefH22_4x_0)</f>
        <v>6701</v>
      </c>
      <c r="I48" s="1"/>
      <c r="J48" s="5">
        <f t="shared" si="31"/>
        <v>8.8500600921853745E-2</v>
      </c>
      <c r="K48" s="1"/>
      <c r="L48" s="1">
        <f t="shared" si="32"/>
        <v>7.999999999992724E-2</v>
      </c>
      <c r="M48" s="1"/>
      <c r="N48" s="5">
        <f t="shared" si="33"/>
        <v>1.1938516639296707E-5</v>
      </c>
      <c r="O48" s="14"/>
      <c r="P48" s="1">
        <f>SUM(OSRRefP22_4x_0)</f>
        <v>46995.7</v>
      </c>
      <c r="Q48" s="1"/>
      <c r="R48" s="5">
        <f t="shared" si="34"/>
        <v>0</v>
      </c>
      <c r="S48" s="1"/>
      <c r="T48" s="1">
        <f>SUM(OSRRefT22_4x_0)</f>
        <v>46995</v>
      </c>
      <c r="U48" s="1"/>
      <c r="V48" s="5">
        <f t="shared" si="35"/>
        <v>0.15827335706563656</v>
      </c>
      <c r="W48" s="1"/>
      <c r="X48" s="1">
        <f t="shared" si="36"/>
        <v>0.69999999999708962</v>
      </c>
      <c r="Y48" s="1"/>
      <c r="Z48" s="5">
        <f t="shared" si="37"/>
        <v>1.4895201617131389E-5</v>
      </c>
    </row>
    <row r="49" spans="1:26" s="24" customFormat="1" hidden="1" outlineLevel="2" x14ac:dyDescent="0.3">
      <c r="A49" s="27"/>
      <c r="B49" s="11" t="str">
        <f>CONCATENATE("          ", "6321", " - ", "BUILDING DEPRECIATION")</f>
        <v xml:space="preserve">          6321 - BUILDING DEPRECIATION</v>
      </c>
      <c r="C49" s="11"/>
      <c r="D49" s="7">
        <v>6492.96</v>
      </c>
      <c r="E49" s="2"/>
      <c r="F49" s="6">
        <f t="shared" si="30"/>
        <v>0</v>
      </c>
      <c r="G49" s="2"/>
      <c r="H49" s="7"/>
      <c r="I49" s="2"/>
      <c r="J49" s="6">
        <f t="shared" si="31"/>
        <v>0</v>
      </c>
      <c r="K49" s="2"/>
      <c r="L49" s="7">
        <f t="shared" si="32"/>
        <v>6492.96</v>
      </c>
      <c r="M49" s="2"/>
      <c r="N49" s="6">
        <f t="shared" si="33"/>
        <v>0</v>
      </c>
      <c r="O49" s="11"/>
      <c r="P49" s="7">
        <v>45538.86</v>
      </c>
      <c r="Q49" s="2"/>
      <c r="R49" s="6">
        <f t="shared" si="34"/>
        <v>0</v>
      </c>
      <c r="S49" s="2"/>
      <c r="T49" s="7"/>
      <c r="U49" s="2"/>
      <c r="V49" s="6">
        <f t="shared" si="35"/>
        <v>0</v>
      </c>
      <c r="W49" s="2"/>
      <c r="X49" s="7">
        <f t="shared" si="36"/>
        <v>45538.86</v>
      </c>
      <c r="Y49" s="2"/>
      <c r="Z49" s="6">
        <f t="shared" si="37"/>
        <v>0</v>
      </c>
    </row>
    <row r="50" spans="1:26" s="24" customFormat="1" hidden="1" outlineLevel="2" x14ac:dyDescent="0.3">
      <c r="A50" s="27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208.12</v>
      </c>
      <c r="E50" s="2"/>
      <c r="F50" s="6">
        <f t="shared" si="30"/>
        <v>0</v>
      </c>
      <c r="G50" s="2"/>
      <c r="H50" s="7">
        <v>6701</v>
      </c>
      <c r="I50" s="2"/>
      <c r="J50" s="6">
        <f t="shared" si="31"/>
        <v>8.8500600921853745E-2</v>
      </c>
      <c r="K50" s="2"/>
      <c r="L50" s="7">
        <f t="shared" si="32"/>
        <v>-6492.88</v>
      </c>
      <c r="M50" s="2"/>
      <c r="N50" s="6">
        <f t="shared" si="33"/>
        <v>-0.96894194896284136</v>
      </c>
      <c r="O50" s="11"/>
      <c r="P50" s="7">
        <v>1456.84</v>
      </c>
      <c r="Q50" s="2"/>
      <c r="R50" s="6">
        <f t="shared" si="34"/>
        <v>0</v>
      </c>
      <c r="S50" s="2"/>
      <c r="T50" s="7">
        <v>46995</v>
      </c>
      <c r="U50" s="2"/>
      <c r="V50" s="6">
        <f t="shared" si="35"/>
        <v>0.15827335706563656</v>
      </c>
      <c r="W50" s="2"/>
      <c r="X50" s="7">
        <f t="shared" si="36"/>
        <v>-45538.16</v>
      </c>
      <c r="Y50" s="2"/>
      <c r="Z50" s="6">
        <f t="shared" si="37"/>
        <v>-0.96900010639429734</v>
      </c>
    </row>
    <row r="51" spans="1:26" s="28" customFormat="1" outlineLevel="1" collapsed="1" x14ac:dyDescent="0.3">
      <c r="A51" s="29"/>
      <c r="B51" s="14" t="str">
        <f>CONCATENATE("     ","Employees' Appreciation                           ")</f>
        <v xml:space="preserve">     Employees' Appreciation                           </v>
      </c>
      <c r="C51" s="14"/>
      <c r="D51" s="1">
        <f>SUM(OSRRefD22_5x_0)</f>
        <v>0</v>
      </c>
      <c r="E51" s="1"/>
      <c r="F51" s="5">
        <f t="shared" ref="F51:F57" si="38">IF(D$12=0,0,D51/D$12)</f>
        <v>0</v>
      </c>
      <c r="G51" s="1"/>
      <c r="H51" s="1">
        <f>SUM(OSRRefH22_5x_0)</f>
        <v>0</v>
      </c>
      <c r="I51" s="1"/>
      <c r="J51" s="5">
        <f t="shared" ref="J51:J57" si="39">IF(H$12=0,0,H51/H$12)</f>
        <v>0</v>
      </c>
      <c r="K51" s="1"/>
      <c r="L51" s="1">
        <f t="shared" ref="L51:L57" si="40">+D51-H51</f>
        <v>0</v>
      </c>
      <c r="M51" s="1"/>
      <c r="N51" s="5">
        <f t="shared" ref="N51:N57" si="41">IF(H51=0,0,L51/H51)</f>
        <v>0</v>
      </c>
      <c r="O51" s="14"/>
      <c r="P51" s="1">
        <f>SUM(OSRRefP22_5x_0)</f>
        <v>49.95</v>
      </c>
      <c r="Q51" s="1"/>
      <c r="R51" s="5">
        <f t="shared" ref="R51:R57" si="42">IF(P$12=0,0,P51/P$12)</f>
        <v>0</v>
      </c>
      <c r="S51" s="1"/>
      <c r="T51" s="1">
        <f>SUM(OSRRefT22_5x_0)</f>
        <v>80</v>
      </c>
      <c r="U51" s="1"/>
      <c r="V51" s="5">
        <f t="shared" ref="V51:V57" si="43">IF(T$12=0,0,T51/T$12)</f>
        <v>2.6943012161402113E-4</v>
      </c>
      <c r="W51" s="1"/>
      <c r="X51" s="1">
        <f t="shared" ref="X51:X57" si="44">+P51-T51</f>
        <v>-30.049999999999997</v>
      </c>
      <c r="Y51" s="1"/>
      <c r="Z51" s="5">
        <f t="shared" ref="Z51:Z57" si="45">IF(T51=0,0,X51/T51)</f>
        <v>-0.37562499999999999</v>
      </c>
    </row>
    <row r="52" spans="1:26" s="24" customFormat="1" hidden="1" outlineLevel="2" x14ac:dyDescent="0.3">
      <c r="A52" s="27"/>
      <c r="B52" s="11" t="str">
        <f>CONCATENATE("          ", "6277", " - ", "EMPLOYEE APPRECIATION")</f>
        <v xml:space="preserve">          6277 - EMPLOYEE APPRECIATION</v>
      </c>
      <c r="C52" s="11"/>
      <c r="D52" s="7"/>
      <c r="E52" s="2"/>
      <c r="F52" s="6">
        <f t="shared" si="38"/>
        <v>0</v>
      </c>
      <c r="G52" s="2"/>
      <c r="H52" s="7"/>
      <c r="I52" s="2"/>
      <c r="J52" s="6">
        <f t="shared" si="39"/>
        <v>0</v>
      </c>
      <c r="K52" s="2"/>
      <c r="L52" s="7">
        <f t="shared" si="40"/>
        <v>0</v>
      </c>
      <c r="M52" s="2"/>
      <c r="N52" s="6">
        <f t="shared" si="41"/>
        <v>0</v>
      </c>
      <c r="O52" s="11"/>
      <c r="P52" s="7">
        <v>49.95</v>
      </c>
      <c r="Q52" s="2"/>
      <c r="R52" s="6">
        <f t="shared" si="42"/>
        <v>0</v>
      </c>
      <c r="S52" s="2"/>
      <c r="T52" s="7">
        <v>80</v>
      </c>
      <c r="U52" s="2"/>
      <c r="V52" s="6">
        <f t="shared" si="43"/>
        <v>2.6943012161402113E-4</v>
      </c>
      <c r="W52" s="2"/>
      <c r="X52" s="7">
        <f t="shared" si="44"/>
        <v>-30.049999999999997</v>
      </c>
      <c r="Y52" s="2"/>
      <c r="Z52" s="6">
        <f t="shared" si="45"/>
        <v>-0.37562499999999999</v>
      </c>
    </row>
    <row r="53" spans="1:26" s="28" customFormat="1" outlineLevel="1" collapsed="1" x14ac:dyDescent="0.3">
      <c r="A53" s="29"/>
      <c r="B53" s="14" t="str">
        <f>CONCATENATE("     ","Equipment Rental                                  ")</f>
        <v xml:space="preserve">     Equipment Rental                                  </v>
      </c>
      <c r="C53" s="14"/>
      <c r="D53" s="1">
        <f>SUM(OSRRefD22_6x_0)</f>
        <v>732.75</v>
      </c>
      <c r="E53" s="1"/>
      <c r="F53" s="5">
        <f t="shared" si="38"/>
        <v>0</v>
      </c>
      <c r="G53" s="1"/>
      <c r="H53" s="1">
        <f>SUM(OSRRefH22_6x_0)</f>
        <v>200</v>
      </c>
      <c r="I53" s="1"/>
      <c r="J53" s="5">
        <f t="shared" si="39"/>
        <v>2.6414147417356737E-3</v>
      </c>
      <c r="K53" s="1"/>
      <c r="L53" s="1">
        <f t="shared" si="40"/>
        <v>532.75</v>
      </c>
      <c r="M53" s="1"/>
      <c r="N53" s="5">
        <f t="shared" si="41"/>
        <v>2.6637499999999998</v>
      </c>
      <c r="O53" s="14"/>
      <c r="P53" s="1">
        <f>SUM(OSRRefP22_6x_0)</f>
        <v>3649.67</v>
      </c>
      <c r="Q53" s="1"/>
      <c r="R53" s="5">
        <f t="shared" si="42"/>
        <v>0</v>
      </c>
      <c r="S53" s="1"/>
      <c r="T53" s="1">
        <f>SUM(OSRRefT22_6x_0)</f>
        <v>1400</v>
      </c>
      <c r="U53" s="1"/>
      <c r="V53" s="5">
        <f t="shared" si="43"/>
        <v>4.7150271282453702E-3</v>
      </c>
      <c r="W53" s="1"/>
      <c r="X53" s="1">
        <f t="shared" si="44"/>
        <v>2249.67</v>
      </c>
      <c r="Y53" s="1"/>
      <c r="Z53" s="5">
        <f t="shared" si="45"/>
        <v>1.6069071428571429</v>
      </c>
    </row>
    <row r="54" spans="1:26" s="24" customFormat="1" hidden="1" outlineLevel="2" x14ac:dyDescent="0.3">
      <c r="A54" s="27"/>
      <c r="B54" s="11" t="str">
        <f>CONCATENATE("          ", "6351", " - ", "EQUIPMENT RENTAL")</f>
        <v xml:space="preserve">          6351 - EQUIPMENT RENTAL</v>
      </c>
      <c r="C54" s="11"/>
      <c r="D54" s="7">
        <v>732.75</v>
      </c>
      <c r="E54" s="2"/>
      <c r="F54" s="6">
        <f t="shared" si="38"/>
        <v>0</v>
      </c>
      <c r="G54" s="2"/>
      <c r="H54" s="7">
        <v>200</v>
      </c>
      <c r="I54" s="2"/>
      <c r="J54" s="6">
        <f t="shared" si="39"/>
        <v>2.6414147417356737E-3</v>
      </c>
      <c r="K54" s="2"/>
      <c r="L54" s="7">
        <f t="shared" si="40"/>
        <v>532.75</v>
      </c>
      <c r="M54" s="2"/>
      <c r="N54" s="6">
        <f t="shared" si="41"/>
        <v>2.6637499999999998</v>
      </c>
      <c r="O54" s="11"/>
      <c r="P54" s="7">
        <v>3649.67</v>
      </c>
      <c r="Q54" s="2"/>
      <c r="R54" s="6">
        <f t="shared" si="42"/>
        <v>0</v>
      </c>
      <c r="S54" s="2"/>
      <c r="T54" s="7">
        <v>1400</v>
      </c>
      <c r="U54" s="2"/>
      <c r="V54" s="6">
        <f t="shared" si="43"/>
        <v>4.7150271282453702E-3</v>
      </c>
      <c r="W54" s="2"/>
      <c r="X54" s="7">
        <f t="shared" si="44"/>
        <v>2249.67</v>
      </c>
      <c r="Y54" s="2"/>
      <c r="Z54" s="6">
        <f t="shared" si="45"/>
        <v>1.6069071428571429</v>
      </c>
    </row>
    <row r="55" spans="1:26" s="28" customFormat="1" outlineLevel="1" collapsed="1" x14ac:dyDescent="0.3">
      <c r="A55" s="29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SUM(OSRRefD22_7x_0)</f>
        <v>0</v>
      </c>
      <c r="E55" s="1"/>
      <c r="F55" s="5">
        <f t="shared" si="38"/>
        <v>0</v>
      </c>
      <c r="G55" s="1"/>
      <c r="H55" s="1">
        <f>SUM(OSRRefH22_7x_0)</f>
        <v>250</v>
      </c>
      <c r="I55" s="1"/>
      <c r="J55" s="5">
        <f t="shared" si="39"/>
        <v>3.3017684271695919E-3</v>
      </c>
      <c r="K55" s="1"/>
      <c r="L55" s="1">
        <f t="shared" si="40"/>
        <v>-250</v>
      </c>
      <c r="M55" s="1"/>
      <c r="N55" s="5">
        <f t="shared" si="41"/>
        <v>-1</v>
      </c>
      <c r="O55" s="14"/>
      <c r="P55" s="1">
        <f>SUM(OSRRefP22_7x_0)</f>
        <v>1314.55</v>
      </c>
      <c r="Q55" s="1"/>
      <c r="R55" s="5">
        <f t="shared" si="42"/>
        <v>0</v>
      </c>
      <c r="S55" s="1"/>
      <c r="T55" s="1">
        <f>SUM(OSRRefT22_7x_0)</f>
        <v>2150</v>
      </c>
      <c r="U55" s="1"/>
      <c r="V55" s="5">
        <f t="shared" si="43"/>
        <v>7.2409345183768181E-3</v>
      </c>
      <c r="W55" s="1"/>
      <c r="X55" s="1">
        <f t="shared" si="44"/>
        <v>-835.45</v>
      </c>
      <c r="Y55" s="1"/>
      <c r="Z55" s="5">
        <f t="shared" si="45"/>
        <v>-0.38858139534883723</v>
      </c>
    </row>
    <row r="56" spans="1:26" s="24" customFormat="1" hidden="1" outlineLevel="2" x14ac:dyDescent="0.3">
      <c r="A56" s="27"/>
      <c r="B56" s="11" t="str">
        <f>CONCATENATE("          ", "6269", " - ", "ENTERTAINMENT")</f>
        <v xml:space="preserve">          6269 - ENTERTAINMENT</v>
      </c>
      <c r="C56" s="11"/>
      <c r="D56" s="7"/>
      <c r="E56" s="2"/>
      <c r="F56" s="6">
        <f t="shared" si="38"/>
        <v>0</v>
      </c>
      <c r="G56" s="2"/>
      <c r="H56" s="7">
        <v>250</v>
      </c>
      <c r="I56" s="2"/>
      <c r="J56" s="6">
        <f t="shared" si="39"/>
        <v>3.3017684271695919E-3</v>
      </c>
      <c r="K56" s="2"/>
      <c r="L56" s="7">
        <f t="shared" si="40"/>
        <v>-250</v>
      </c>
      <c r="M56" s="2"/>
      <c r="N56" s="6">
        <f t="shared" si="41"/>
        <v>-1</v>
      </c>
      <c r="O56" s="11"/>
      <c r="P56" s="7"/>
      <c r="Q56" s="2"/>
      <c r="R56" s="6">
        <f t="shared" si="42"/>
        <v>0</v>
      </c>
      <c r="S56" s="2"/>
      <c r="T56" s="7">
        <v>250</v>
      </c>
      <c r="U56" s="2"/>
      <c r="V56" s="6">
        <f t="shared" si="43"/>
        <v>8.4196913004381602E-4</v>
      </c>
      <c r="W56" s="2"/>
      <c r="X56" s="7">
        <f t="shared" si="44"/>
        <v>-250</v>
      </c>
      <c r="Y56" s="2"/>
      <c r="Z56" s="6">
        <f t="shared" si="45"/>
        <v>-1</v>
      </c>
    </row>
    <row r="57" spans="1:26" s="24" customFormat="1" hidden="1" outlineLevel="2" x14ac:dyDescent="0.3">
      <c r="A57" s="27"/>
      <c r="B57" s="11" t="str">
        <f>CONCATENATE("          ", "6279", " - ", "GENERAL EXPENSE")</f>
        <v xml:space="preserve">          6279 - GENERAL EXPENSE</v>
      </c>
      <c r="C57" s="11"/>
      <c r="D57" s="7"/>
      <c r="E57" s="2"/>
      <c r="F57" s="6">
        <f t="shared" si="38"/>
        <v>0</v>
      </c>
      <c r="G57" s="2"/>
      <c r="H57" s="7"/>
      <c r="I57" s="2"/>
      <c r="J57" s="6">
        <f t="shared" si="39"/>
        <v>0</v>
      </c>
      <c r="K57" s="2"/>
      <c r="L57" s="7">
        <f t="shared" si="40"/>
        <v>0</v>
      </c>
      <c r="M57" s="2"/>
      <c r="N57" s="6">
        <f t="shared" si="41"/>
        <v>0</v>
      </c>
      <c r="O57" s="11"/>
      <c r="P57" s="7">
        <v>1314.55</v>
      </c>
      <c r="Q57" s="2"/>
      <c r="R57" s="6">
        <f t="shared" si="42"/>
        <v>0</v>
      </c>
      <c r="S57" s="2"/>
      <c r="T57" s="7">
        <v>1900</v>
      </c>
      <c r="U57" s="2"/>
      <c r="V57" s="6">
        <f t="shared" si="43"/>
        <v>6.3989653883330024E-3</v>
      </c>
      <c r="W57" s="2"/>
      <c r="X57" s="7">
        <f t="shared" si="44"/>
        <v>-585.45000000000005</v>
      </c>
      <c r="Y57" s="2"/>
      <c r="Z57" s="6">
        <f t="shared" si="45"/>
        <v>-0.30813157894736842</v>
      </c>
    </row>
    <row r="58" spans="1:26" s="28" customFormat="1" outlineLevel="1" collapsed="1" x14ac:dyDescent="0.3">
      <c r="A58" s="29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SUM(OSRRefD22_8x_0)</f>
        <v>725.35</v>
      </c>
      <c r="E58" s="1"/>
      <c r="F58" s="5">
        <f t="shared" ref="F58:F60" si="46">IF(D$12=0,0,D58/D$12)</f>
        <v>0</v>
      </c>
      <c r="G58" s="1"/>
      <c r="H58" s="1">
        <f>SUM(OSRRefH22_8x_0)</f>
        <v>1636</v>
      </c>
      <c r="I58" s="1"/>
      <c r="J58" s="5">
        <f t="shared" ref="J58:J60" si="47">IF(H$12=0,0,H58/H$12)</f>
        <v>2.1606772587397811E-2</v>
      </c>
      <c r="K58" s="1"/>
      <c r="L58" s="1">
        <f t="shared" ref="L58:L60" si="48">+D58-H58</f>
        <v>-910.65</v>
      </c>
      <c r="M58" s="1"/>
      <c r="N58" s="5">
        <f t="shared" ref="N58:N60" si="49">IF(H58=0,0,L58/H58)</f>
        <v>-0.55663202933985334</v>
      </c>
      <c r="O58" s="14"/>
      <c r="P58" s="1">
        <f>SUM(OSRRefP22_8x_0)</f>
        <v>8289.41</v>
      </c>
      <c r="Q58" s="1"/>
      <c r="R58" s="5">
        <f t="shared" ref="R58:R60" si="50">IF(P$12=0,0,P58/P$12)</f>
        <v>0</v>
      </c>
      <c r="S58" s="1"/>
      <c r="T58" s="1">
        <f>SUM(OSRRefT22_8x_0)</f>
        <v>17011</v>
      </c>
      <c r="U58" s="1"/>
      <c r="V58" s="5">
        <f t="shared" ref="V58:V60" si="51">IF(T$12=0,0,T58/T$12)</f>
        <v>5.729094748470142E-2</v>
      </c>
      <c r="W58" s="1"/>
      <c r="X58" s="1">
        <f t="shared" ref="X58:X60" si="52">+P58-T58</f>
        <v>-8721.59</v>
      </c>
      <c r="Y58" s="1"/>
      <c r="Z58" s="5">
        <f t="shared" ref="Z58:Z60" si="53">IF(T58=0,0,X58/T58)</f>
        <v>-0.5127029569102346</v>
      </c>
    </row>
    <row r="59" spans="1:26" s="24" customFormat="1" hidden="1" outlineLevel="2" x14ac:dyDescent="0.3">
      <c r="A59" s="27"/>
      <c r="B59" s="11" t="str">
        <f>CONCATENATE("          ", "6373", " - ", "MAINTENANCE CONTRACTS")</f>
        <v xml:space="preserve">          6373 - MAINTENANCE CONTRACTS</v>
      </c>
      <c r="C59" s="11"/>
      <c r="D59" s="7">
        <v>700</v>
      </c>
      <c r="E59" s="2"/>
      <c r="F59" s="6">
        <f t="shared" si="46"/>
        <v>0</v>
      </c>
      <c r="G59" s="2"/>
      <c r="H59" s="7">
        <v>500</v>
      </c>
      <c r="I59" s="2"/>
      <c r="J59" s="6">
        <f t="shared" si="47"/>
        <v>6.6035368543391837E-3</v>
      </c>
      <c r="K59" s="2"/>
      <c r="L59" s="7">
        <f t="shared" si="48"/>
        <v>200</v>
      </c>
      <c r="M59" s="2"/>
      <c r="N59" s="6">
        <f t="shared" si="49"/>
        <v>0.4</v>
      </c>
      <c r="O59" s="11"/>
      <c r="P59" s="7">
        <v>3141.43</v>
      </c>
      <c r="Q59" s="2"/>
      <c r="R59" s="6">
        <f t="shared" si="50"/>
        <v>0</v>
      </c>
      <c r="S59" s="2"/>
      <c r="T59" s="7">
        <v>1500</v>
      </c>
      <c r="U59" s="2"/>
      <c r="V59" s="6">
        <f t="shared" si="51"/>
        <v>5.0518147802628968E-3</v>
      </c>
      <c r="W59" s="2"/>
      <c r="X59" s="7">
        <f t="shared" si="52"/>
        <v>1641.4299999999998</v>
      </c>
      <c r="Y59" s="2"/>
      <c r="Z59" s="6">
        <f t="shared" si="53"/>
        <v>1.0942866666666666</v>
      </c>
    </row>
    <row r="60" spans="1:26" s="24" customFormat="1" hidden="1" outlineLevel="2" x14ac:dyDescent="0.3">
      <c r="A60" s="27"/>
      <c r="B60" s="11" t="str">
        <f>CONCATENATE("          ", "6375", " - ", "OUTSIDE REPAIRS &amp; MAINTENANCE")</f>
        <v xml:space="preserve">          6375 - OUTSIDE REPAIRS &amp; MAINTENANCE</v>
      </c>
      <c r="C60" s="11"/>
      <c r="D60" s="7">
        <v>25.35</v>
      </c>
      <c r="E60" s="2"/>
      <c r="F60" s="6">
        <f t="shared" si="46"/>
        <v>0</v>
      </c>
      <c r="G60" s="2"/>
      <c r="H60" s="7">
        <v>1136</v>
      </c>
      <c r="I60" s="2"/>
      <c r="J60" s="6">
        <f t="shared" si="47"/>
        <v>1.5003235733058626E-2</v>
      </c>
      <c r="K60" s="2"/>
      <c r="L60" s="7">
        <f t="shared" si="48"/>
        <v>-1110.6500000000001</v>
      </c>
      <c r="M60" s="2"/>
      <c r="N60" s="6">
        <f t="shared" si="49"/>
        <v>-0.97768485915492964</v>
      </c>
      <c r="O60" s="11"/>
      <c r="P60" s="7">
        <v>5147.9799999999996</v>
      </c>
      <c r="Q60" s="2"/>
      <c r="R60" s="6">
        <f t="shared" si="50"/>
        <v>0</v>
      </c>
      <c r="S60" s="2"/>
      <c r="T60" s="7">
        <v>15511</v>
      </c>
      <c r="U60" s="2"/>
      <c r="V60" s="6">
        <f t="shared" si="51"/>
        <v>5.2239132704438522E-2</v>
      </c>
      <c r="W60" s="2"/>
      <c r="X60" s="7">
        <f t="shared" si="52"/>
        <v>-10363.02</v>
      </c>
      <c r="Y60" s="2"/>
      <c r="Z60" s="6">
        <f t="shared" si="53"/>
        <v>-0.66810779446844182</v>
      </c>
    </row>
    <row r="61" spans="1:26" s="28" customFormat="1" outlineLevel="1" collapsed="1" x14ac:dyDescent="0.3">
      <c r="A61" s="29"/>
      <c r="B61" s="14" t="str">
        <f>CONCATENATE("     ","Services                                          ")</f>
        <v xml:space="preserve">     Services                                          </v>
      </c>
      <c r="C61" s="14"/>
      <c r="D61" s="1">
        <f>SUM(OSRRefD22_9x_0)</f>
        <v>0</v>
      </c>
      <c r="E61" s="1"/>
      <c r="F61" s="5">
        <f t="shared" ref="F61:F65" si="54">IF(D$12=0,0,D61/D$12)</f>
        <v>0</v>
      </c>
      <c r="G61" s="1"/>
      <c r="H61" s="1">
        <f>SUM(OSRRefH22_9x_0)</f>
        <v>3225</v>
      </c>
      <c r="I61" s="1"/>
      <c r="J61" s="5">
        <f t="shared" ref="J61:J65" si="55">IF(H$12=0,0,H61/H$12)</f>
        <v>4.2592812710487739E-2</v>
      </c>
      <c r="K61" s="1"/>
      <c r="L61" s="1">
        <f t="shared" ref="L61:L65" si="56">+D61-H61</f>
        <v>-3225</v>
      </c>
      <c r="M61" s="1"/>
      <c r="N61" s="5">
        <f t="shared" ref="N61:N65" si="57">IF(H61=0,0,L61/H61)</f>
        <v>-1</v>
      </c>
      <c r="O61" s="14"/>
      <c r="P61" s="1">
        <f>SUM(OSRRefP22_9x_0)</f>
        <v>260</v>
      </c>
      <c r="Q61" s="1"/>
      <c r="R61" s="5">
        <f t="shared" ref="R61:R65" si="58">IF(P$12=0,0,P61/P$12)</f>
        <v>0</v>
      </c>
      <c r="S61" s="1"/>
      <c r="T61" s="1">
        <f>SUM(OSRRefT22_9x_0)</f>
        <v>19650</v>
      </c>
      <c r="U61" s="1"/>
      <c r="V61" s="5">
        <f t="shared" ref="V61:V65" si="59">IF(T$12=0,0,T61/T$12)</f>
        <v>6.6178773621443948E-2</v>
      </c>
      <c r="W61" s="1"/>
      <c r="X61" s="1">
        <f t="shared" ref="X61:X65" si="60">+P61-T61</f>
        <v>-19390</v>
      </c>
      <c r="Y61" s="1"/>
      <c r="Z61" s="5">
        <f t="shared" ref="Z61:Z65" si="61">IF(T61=0,0,X61/T61)</f>
        <v>-0.98676844783715012</v>
      </c>
    </row>
    <row r="62" spans="1:26" s="24" customFormat="1" hidden="1" outlineLevel="2" x14ac:dyDescent="0.3">
      <c r="A62" s="27"/>
      <c r="B62" s="11" t="str">
        <f>CONCATENATE("          ", "6283", " - ", "PLANT SERVICE")</f>
        <v xml:space="preserve">          6283 - PLANT SERVICE</v>
      </c>
      <c r="C62" s="11"/>
      <c r="D62" s="7"/>
      <c r="E62" s="2"/>
      <c r="F62" s="6">
        <f t="shared" si="54"/>
        <v>0</v>
      </c>
      <c r="G62" s="2"/>
      <c r="H62" s="7">
        <v>100</v>
      </c>
      <c r="I62" s="2"/>
      <c r="J62" s="6">
        <f t="shared" si="55"/>
        <v>1.3207073708678368E-3</v>
      </c>
      <c r="K62" s="2"/>
      <c r="L62" s="7">
        <f t="shared" si="56"/>
        <v>-100</v>
      </c>
      <c r="M62" s="2"/>
      <c r="N62" s="6">
        <f t="shared" si="57"/>
        <v>-1</v>
      </c>
      <c r="O62" s="11"/>
      <c r="P62" s="7"/>
      <c r="Q62" s="2"/>
      <c r="R62" s="6">
        <f t="shared" si="58"/>
        <v>0</v>
      </c>
      <c r="S62" s="2"/>
      <c r="T62" s="7">
        <v>700</v>
      </c>
      <c r="U62" s="2"/>
      <c r="V62" s="6">
        <f t="shared" si="59"/>
        <v>2.3575135641226851E-3</v>
      </c>
      <c r="W62" s="2"/>
      <c r="X62" s="7">
        <f t="shared" si="60"/>
        <v>-700</v>
      </c>
      <c r="Y62" s="2"/>
      <c r="Z62" s="6">
        <f t="shared" si="61"/>
        <v>-1</v>
      </c>
    </row>
    <row r="63" spans="1:26" s="24" customFormat="1" hidden="1" outlineLevel="2" x14ac:dyDescent="0.3">
      <c r="A63" s="27"/>
      <c r="B63" s="11" t="str">
        <f>CONCATENATE("          ", "6284", " - ", "TRASH REMOVAL EXPENSE")</f>
        <v xml:space="preserve">          6284 - TRASH REMOVAL EXPENSE</v>
      </c>
      <c r="C63" s="11"/>
      <c r="D63" s="7"/>
      <c r="E63" s="2"/>
      <c r="F63" s="6">
        <f t="shared" si="54"/>
        <v>0</v>
      </c>
      <c r="G63" s="2"/>
      <c r="H63" s="7"/>
      <c r="I63" s="2"/>
      <c r="J63" s="6">
        <f t="shared" si="55"/>
        <v>0</v>
      </c>
      <c r="K63" s="2"/>
      <c r="L63" s="7">
        <f t="shared" si="56"/>
        <v>0</v>
      </c>
      <c r="M63" s="2"/>
      <c r="N63" s="6">
        <f t="shared" si="57"/>
        <v>0</v>
      </c>
      <c r="O63" s="11"/>
      <c r="P63" s="7"/>
      <c r="Q63" s="2"/>
      <c r="R63" s="6">
        <f t="shared" si="58"/>
        <v>0</v>
      </c>
      <c r="S63" s="2"/>
      <c r="T63" s="7">
        <v>0</v>
      </c>
      <c r="U63" s="2"/>
      <c r="V63" s="6">
        <f t="shared" si="59"/>
        <v>0</v>
      </c>
      <c r="W63" s="2"/>
      <c r="X63" s="7">
        <f t="shared" si="60"/>
        <v>0</v>
      </c>
      <c r="Y63" s="2"/>
      <c r="Z63" s="6">
        <f t="shared" si="61"/>
        <v>0</v>
      </c>
    </row>
    <row r="64" spans="1:26" s="24" customFormat="1" hidden="1" outlineLevel="2" x14ac:dyDescent="0.3">
      <c r="A64" s="27"/>
      <c r="B64" s="11" t="str">
        <f>CONCATENATE("          ", "6285", " - ", "JANITORIAL SERVICES")</f>
        <v xml:space="preserve">          6285 - JANITORIAL SERVICES</v>
      </c>
      <c r="C64" s="11"/>
      <c r="D64" s="7"/>
      <c r="E64" s="2"/>
      <c r="F64" s="6">
        <f t="shared" si="54"/>
        <v>0</v>
      </c>
      <c r="G64" s="2"/>
      <c r="H64" s="7">
        <v>3100</v>
      </c>
      <c r="I64" s="2"/>
      <c r="J64" s="6">
        <f t="shared" si="55"/>
        <v>4.0941928496902938E-2</v>
      </c>
      <c r="K64" s="2"/>
      <c r="L64" s="7">
        <f t="shared" si="56"/>
        <v>-3100</v>
      </c>
      <c r="M64" s="2"/>
      <c r="N64" s="6">
        <f t="shared" si="57"/>
        <v>-1</v>
      </c>
      <c r="O64" s="11"/>
      <c r="P64" s="7">
        <v>260</v>
      </c>
      <c r="Q64" s="2"/>
      <c r="R64" s="6">
        <f t="shared" si="58"/>
        <v>0</v>
      </c>
      <c r="S64" s="2"/>
      <c r="T64" s="7">
        <v>18600</v>
      </c>
      <c r="U64" s="2"/>
      <c r="V64" s="6">
        <f t="shared" si="59"/>
        <v>6.2642503275259914E-2</v>
      </c>
      <c r="W64" s="2"/>
      <c r="X64" s="7">
        <f t="shared" si="60"/>
        <v>-18340</v>
      </c>
      <c r="Y64" s="2"/>
      <c r="Z64" s="6">
        <f t="shared" si="61"/>
        <v>-0.98602150537634403</v>
      </c>
    </row>
    <row r="65" spans="1:26" s="24" customFormat="1" hidden="1" outlineLevel="2" x14ac:dyDescent="0.3">
      <c r="A65" s="27"/>
      <c r="B65" s="11" t="str">
        <f>CONCATENATE("          ", "6286", " - ", "LAUNDRY EXPENSE")</f>
        <v xml:space="preserve">          6286 - LAUNDRY EXPENSE</v>
      </c>
      <c r="C65" s="11"/>
      <c r="D65" s="7"/>
      <c r="E65" s="2"/>
      <c r="F65" s="6">
        <f t="shared" si="54"/>
        <v>0</v>
      </c>
      <c r="G65" s="2"/>
      <c r="H65" s="7">
        <v>25</v>
      </c>
      <c r="I65" s="2"/>
      <c r="J65" s="6">
        <f t="shared" si="55"/>
        <v>3.3017684271695921E-4</v>
      </c>
      <c r="K65" s="2"/>
      <c r="L65" s="7">
        <f t="shared" si="56"/>
        <v>-25</v>
      </c>
      <c r="M65" s="2"/>
      <c r="N65" s="6">
        <f t="shared" si="57"/>
        <v>-1</v>
      </c>
      <c r="O65" s="11"/>
      <c r="P65" s="7"/>
      <c r="Q65" s="2"/>
      <c r="R65" s="6">
        <f t="shared" si="58"/>
        <v>0</v>
      </c>
      <c r="S65" s="2"/>
      <c r="T65" s="7">
        <v>350</v>
      </c>
      <c r="U65" s="2"/>
      <c r="V65" s="6">
        <f t="shared" si="59"/>
        <v>1.1787567820613425E-3</v>
      </c>
      <c r="W65" s="2"/>
      <c r="X65" s="7">
        <f t="shared" si="60"/>
        <v>-350</v>
      </c>
      <c r="Y65" s="2"/>
      <c r="Z65" s="6">
        <f t="shared" si="61"/>
        <v>-1</v>
      </c>
    </row>
    <row r="66" spans="1:26" s="28" customFormat="1" outlineLevel="1" collapsed="1" x14ac:dyDescent="0.3">
      <c r="A66" s="29"/>
      <c r="B66" s="14" t="str">
        <f>CONCATENATE("     ","Subscriptions &amp; Dues                              ")</f>
        <v xml:space="preserve">     Subscriptions &amp; Dues                              </v>
      </c>
      <c r="C66" s="14"/>
      <c r="D66" s="1">
        <f>SUM(OSRRefD22_10x_0)</f>
        <v>214.92</v>
      </c>
      <c r="E66" s="1"/>
      <c r="F66" s="5">
        <f t="shared" ref="F66:F76" si="62">IF(D$12=0,0,D66/D$12)</f>
        <v>0</v>
      </c>
      <c r="G66" s="1"/>
      <c r="H66" s="1">
        <f>SUM(OSRRefH22_10x_0)</f>
        <v>200</v>
      </c>
      <c r="I66" s="1"/>
      <c r="J66" s="5">
        <f t="shared" ref="J66:J76" si="63">IF(H$12=0,0,H66/H$12)</f>
        <v>2.6414147417356737E-3</v>
      </c>
      <c r="K66" s="1"/>
      <c r="L66" s="1">
        <f t="shared" ref="L66:L76" si="64">+D66-H66</f>
        <v>14.919999999999987</v>
      </c>
      <c r="M66" s="1"/>
      <c r="N66" s="5">
        <f t="shared" ref="N66:N76" si="65">IF(H66=0,0,L66/H66)</f>
        <v>7.4599999999999944E-2</v>
      </c>
      <c r="O66" s="14"/>
      <c r="P66" s="1">
        <f>SUM(OSRRefP22_10x_0)</f>
        <v>1441.12</v>
      </c>
      <c r="Q66" s="1"/>
      <c r="R66" s="5">
        <f t="shared" ref="R66:R76" si="66">IF(P$12=0,0,P66/P$12)</f>
        <v>0</v>
      </c>
      <c r="S66" s="1"/>
      <c r="T66" s="1">
        <f>SUM(OSRRefT22_10x_0)</f>
        <v>1200</v>
      </c>
      <c r="U66" s="1"/>
      <c r="V66" s="5">
        <f t="shared" ref="V66:V76" si="67">IF(T$12=0,0,T66/T$12)</f>
        <v>4.0414518242103169E-3</v>
      </c>
      <c r="W66" s="1"/>
      <c r="X66" s="1">
        <f t="shared" ref="X66:X76" si="68">+P66-T66</f>
        <v>241.11999999999989</v>
      </c>
      <c r="Y66" s="1"/>
      <c r="Z66" s="5">
        <f t="shared" ref="Z66:Z76" si="69">IF(T66=0,0,X66/T66)</f>
        <v>0.20093333333333324</v>
      </c>
    </row>
    <row r="67" spans="1:26" s="24" customFormat="1" hidden="1" outlineLevel="2" x14ac:dyDescent="0.3">
      <c r="A67" s="27"/>
      <c r="B67" s="11" t="str">
        <f>CONCATENATE("          ", "6275", " - ", "SUBSCRIPTIONS")</f>
        <v xml:space="preserve">          6275 - SUBSCRIPTIONS</v>
      </c>
      <c r="C67" s="11"/>
      <c r="D67" s="7">
        <v>214.92</v>
      </c>
      <c r="E67" s="2"/>
      <c r="F67" s="6">
        <f t="shared" si="62"/>
        <v>0</v>
      </c>
      <c r="G67" s="2"/>
      <c r="H67" s="7">
        <v>200</v>
      </c>
      <c r="I67" s="2"/>
      <c r="J67" s="6">
        <f t="shared" si="63"/>
        <v>2.6414147417356737E-3</v>
      </c>
      <c r="K67" s="2"/>
      <c r="L67" s="7">
        <f t="shared" si="64"/>
        <v>14.919999999999987</v>
      </c>
      <c r="M67" s="2"/>
      <c r="N67" s="6">
        <f t="shared" si="65"/>
        <v>7.4599999999999944E-2</v>
      </c>
      <c r="O67" s="11"/>
      <c r="P67" s="7">
        <v>1441.12</v>
      </c>
      <c r="Q67" s="2"/>
      <c r="R67" s="6">
        <f t="shared" si="66"/>
        <v>0</v>
      </c>
      <c r="S67" s="2"/>
      <c r="T67" s="7">
        <v>1200</v>
      </c>
      <c r="U67" s="2"/>
      <c r="V67" s="6">
        <f t="shared" si="67"/>
        <v>4.0414518242103169E-3</v>
      </c>
      <c r="W67" s="2"/>
      <c r="X67" s="7">
        <f t="shared" si="68"/>
        <v>241.11999999999989</v>
      </c>
      <c r="Y67" s="2"/>
      <c r="Z67" s="6">
        <f t="shared" si="69"/>
        <v>0.20093333333333324</v>
      </c>
    </row>
    <row r="68" spans="1:26" s="28" customFormat="1" outlineLevel="1" collapsed="1" x14ac:dyDescent="0.3">
      <c r="A68" s="29"/>
      <c r="B68" s="14" t="str">
        <f>CONCATENATE("     ","Supplies                                          ")</f>
        <v xml:space="preserve">     Supplies                                          </v>
      </c>
      <c r="C68" s="14"/>
      <c r="D68" s="1">
        <f>SUM(OSRRefD22_11x_0)</f>
        <v>27.55</v>
      </c>
      <c r="E68" s="1"/>
      <c r="F68" s="5">
        <f t="shared" si="62"/>
        <v>0</v>
      </c>
      <c r="G68" s="1"/>
      <c r="H68" s="1">
        <f>SUM(OSRRefH22_11x_0)</f>
        <v>850</v>
      </c>
      <c r="I68" s="1"/>
      <c r="J68" s="5">
        <f t="shared" si="63"/>
        <v>1.1226012652376613E-2</v>
      </c>
      <c r="K68" s="1"/>
      <c r="L68" s="1">
        <f t="shared" si="64"/>
        <v>-822.45</v>
      </c>
      <c r="M68" s="1"/>
      <c r="N68" s="5">
        <f t="shared" si="65"/>
        <v>-0.96758823529411775</v>
      </c>
      <c r="O68" s="14"/>
      <c r="P68" s="1">
        <f>SUM(OSRRefP22_11x_0)</f>
        <v>2380.84</v>
      </c>
      <c r="Q68" s="1"/>
      <c r="R68" s="5">
        <f t="shared" si="66"/>
        <v>0</v>
      </c>
      <c r="S68" s="1"/>
      <c r="T68" s="1">
        <f>SUM(OSRRefT22_11x_0)</f>
        <v>10500</v>
      </c>
      <c r="U68" s="1"/>
      <c r="V68" s="5">
        <f t="shared" si="67"/>
        <v>3.5362703461840277E-2</v>
      </c>
      <c r="W68" s="1"/>
      <c r="X68" s="1">
        <f t="shared" si="68"/>
        <v>-8119.16</v>
      </c>
      <c r="Y68" s="1"/>
      <c r="Z68" s="5">
        <f t="shared" si="69"/>
        <v>-0.77325333333333335</v>
      </c>
    </row>
    <row r="69" spans="1:26" s="24" customFormat="1" hidden="1" outlineLevel="2" x14ac:dyDescent="0.3">
      <c r="A69" s="27"/>
      <c r="B69" s="11" t="str">
        <f>CONCATENATE("          ", "6235", " - ", "COVID-19 EXPENSES")</f>
        <v xml:space="preserve">          6235 - COVID-19 EXPENSES</v>
      </c>
      <c r="C69" s="11"/>
      <c r="D69" s="7"/>
      <c r="E69" s="2"/>
      <c r="F69" s="6">
        <f t="shared" si="62"/>
        <v>0</v>
      </c>
      <c r="G69" s="2"/>
      <c r="H69" s="7">
        <v>175</v>
      </c>
      <c r="I69" s="2"/>
      <c r="J69" s="6">
        <f t="shared" si="63"/>
        <v>2.3112378990187143E-3</v>
      </c>
      <c r="K69" s="2"/>
      <c r="L69" s="7">
        <f t="shared" si="64"/>
        <v>-175</v>
      </c>
      <c r="M69" s="2"/>
      <c r="N69" s="6">
        <f t="shared" si="65"/>
        <v>-1</v>
      </c>
      <c r="O69" s="11"/>
      <c r="P69" s="7"/>
      <c r="Q69" s="2"/>
      <c r="R69" s="6">
        <f t="shared" si="66"/>
        <v>0</v>
      </c>
      <c r="S69" s="2"/>
      <c r="T69" s="7">
        <v>1300</v>
      </c>
      <c r="U69" s="2"/>
      <c r="V69" s="6">
        <f t="shared" si="67"/>
        <v>4.3782394762278435E-3</v>
      </c>
      <c r="W69" s="2"/>
      <c r="X69" s="7">
        <f t="shared" si="68"/>
        <v>-1300</v>
      </c>
      <c r="Y69" s="2"/>
      <c r="Z69" s="6">
        <f t="shared" si="69"/>
        <v>-1</v>
      </c>
    </row>
    <row r="70" spans="1:26" s="24" customFormat="1" hidden="1" outlineLevel="2" x14ac:dyDescent="0.3">
      <c r="A70" s="27"/>
      <c r="B70" s="11" t="str">
        <f>CONCATENATE("          ", "6237", " - ", "JANITORIAL SUPPLIES")</f>
        <v xml:space="preserve">          6237 - JANITORIAL SUPPLIES</v>
      </c>
      <c r="C70" s="11"/>
      <c r="D70" s="7"/>
      <c r="E70" s="2"/>
      <c r="F70" s="6">
        <f t="shared" si="62"/>
        <v>0</v>
      </c>
      <c r="G70" s="2"/>
      <c r="H70" s="7">
        <v>75</v>
      </c>
      <c r="I70" s="2"/>
      <c r="J70" s="6">
        <f t="shared" si="63"/>
        <v>9.9053052815087752E-4</v>
      </c>
      <c r="K70" s="2"/>
      <c r="L70" s="7">
        <f t="shared" si="64"/>
        <v>-75</v>
      </c>
      <c r="M70" s="2"/>
      <c r="N70" s="6">
        <f t="shared" si="65"/>
        <v>-1</v>
      </c>
      <c r="O70" s="11"/>
      <c r="P70" s="7">
        <v>796.76</v>
      </c>
      <c r="Q70" s="2"/>
      <c r="R70" s="6">
        <f t="shared" si="66"/>
        <v>0</v>
      </c>
      <c r="S70" s="2"/>
      <c r="T70" s="7">
        <v>700</v>
      </c>
      <c r="U70" s="2"/>
      <c r="V70" s="6">
        <f t="shared" si="67"/>
        <v>2.3575135641226851E-3</v>
      </c>
      <c r="W70" s="2"/>
      <c r="X70" s="7">
        <f t="shared" si="68"/>
        <v>96.759999999999991</v>
      </c>
      <c r="Y70" s="2"/>
      <c r="Z70" s="6">
        <f t="shared" si="69"/>
        <v>0.13822857142857142</v>
      </c>
    </row>
    <row r="71" spans="1:26" s="24" customFormat="1" hidden="1" outlineLevel="2" x14ac:dyDescent="0.3">
      <c r="A71" s="27"/>
      <c r="B71" s="11" t="str">
        <f>CONCATENATE("          ", "6239", " - ", "KITCHEN SUPPLIES")</f>
        <v xml:space="preserve">          6239 - KITCHEN SUPPLIES</v>
      </c>
      <c r="C71" s="11"/>
      <c r="D71" s="7">
        <v>27.55</v>
      </c>
      <c r="E71" s="2"/>
      <c r="F71" s="6">
        <f t="shared" si="62"/>
        <v>0</v>
      </c>
      <c r="G71" s="2"/>
      <c r="H71" s="7"/>
      <c r="I71" s="2"/>
      <c r="J71" s="6">
        <f t="shared" si="63"/>
        <v>0</v>
      </c>
      <c r="K71" s="2"/>
      <c r="L71" s="7">
        <f t="shared" si="64"/>
        <v>27.55</v>
      </c>
      <c r="M71" s="2"/>
      <c r="N71" s="6">
        <f t="shared" si="65"/>
        <v>0</v>
      </c>
      <c r="O71" s="11"/>
      <c r="P71" s="7">
        <v>214.67</v>
      </c>
      <c r="Q71" s="2"/>
      <c r="R71" s="6">
        <f t="shared" si="66"/>
        <v>0</v>
      </c>
      <c r="S71" s="2"/>
      <c r="T71" s="7">
        <v>5000</v>
      </c>
      <c r="U71" s="2"/>
      <c r="V71" s="6">
        <f t="shared" si="67"/>
        <v>1.6839382600876321E-2</v>
      </c>
      <c r="W71" s="2"/>
      <c r="X71" s="7">
        <f t="shared" si="68"/>
        <v>-4785.33</v>
      </c>
      <c r="Y71" s="2"/>
      <c r="Z71" s="6">
        <f t="shared" si="69"/>
        <v>-0.95706599999999997</v>
      </c>
    </row>
    <row r="72" spans="1:26" s="24" customFormat="1" hidden="1" outlineLevel="2" x14ac:dyDescent="0.3">
      <c r="A72" s="27"/>
      <c r="B72" s="11" t="str">
        <f>CONCATENATE("          ", "6241", " - ", "OFFICE EXPENSE")</f>
        <v xml:space="preserve">          6241 - OFFICE EXPENSE</v>
      </c>
      <c r="C72" s="11"/>
      <c r="D72" s="7"/>
      <c r="E72" s="2"/>
      <c r="F72" s="6">
        <f t="shared" si="62"/>
        <v>0</v>
      </c>
      <c r="G72" s="2"/>
      <c r="H72" s="7">
        <v>150</v>
      </c>
      <c r="I72" s="2"/>
      <c r="J72" s="6">
        <f t="shared" si="63"/>
        <v>1.981061056301755E-3</v>
      </c>
      <c r="K72" s="2"/>
      <c r="L72" s="7">
        <f t="shared" si="64"/>
        <v>-150</v>
      </c>
      <c r="M72" s="2"/>
      <c r="N72" s="6">
        <f t="shared" si="65"/>
        <v>-1</v>
      </c>
      <c r="O72" s="11"/>
      <c r="P72" s="7">
        <v>893.22</v>
      </c>
      <c r="Q72" s="2"/>
      <c r="R72" s="6">
        <f t="shared" si="66"/>
        <v>0</v>
      </c>
      <c r="S72" s="2"/>
      <c r="T72" s="7">
        <v>150</v>
      </c>
      <c r="U72" s="2"/>
      <c r="V72" s="6">
        <f t="shared" si="67"/>
        <v>5.0518147802628961E-4</v>
      </c>
      <c r="W72" s="2"/>
      <c r="X72" s="7">
        <f t="shared" si="68"/>
        <v>743.22</v>
      </c>
      <c r="Y72" s="2"/>
      <c r="Z72" s="6">
        <f t="shared" si="69"/>
        <v>4.9548000000000005</v>
      </c>
    </row>
    <row r="73" spans="1:26" s="24" customFormat="1" hidden="1" outlineLevel="2" x14ac:dyDescent="0.3">
      <c r="A73" s="27"/>
      <c r="B73" s="11" t="str">
        <f>CONCATENATE("          ", "6243", " - ", "PAPER SUPPLIES")</f>
        <v xml:space="preserve">          6243 - PAPER SUPPLIES</v>
      </c>
      <c r="C73" s="11"/>
      <c r="D73" s="7"/>
      <c r="E73" s="2"/>
      <c r="F73" s="6">
        <f t="shared" si="62"/>
        <v>0</v>
      </c>
      <c r="G73" s="2"/>
      <c r="H73" s="7">
        <v>200</v>
      </c>
      <c r="I73" s="2"/>
      <c r="J73" s="6">
        <f t="shared" si="63"/>
        <v>2.6414147417356737E-3</v>
      </c>
      <c r="K73" s="2"/>
      <c r="L73" s="7">
        <f t="shared" si="64"/>
        <v>-200</v>
      </c>
      <c r="M73" s="2"/>
      <c r="N73" s="6">
        <f t="shared" si="65"/>
        <v>-1</v>
      </c>
      <c r="O73" s="11"/>
      <c r="P73" s="7">
        <v>138.19</v>
      </c>
      <c r="Q73" s="2"/>
      <c r="R73" s="6">
        <f t="shared" si="66"/>
        <v>0</v>
      </c>
      <c r="S73" s="2"/>
      <c r="T73" s="7">
        <v>1450</v>
      </c>
      <c r="U73" s="2"/>
      <c r="V73" s="6">
        <f t="shared" si="67"/>
        <v>4.8834209542541335E-3</v>
      </c>
      <c r="W73" s="2"/>
      <c r="X73" s="7">
        <f t="shared" si="68"/>
        <v>-1311.81</v>
      </c>
      <c r="Y73" s="2"/>
      <c r="Z73" s="6">
        <f t="shared" si="69"/>
        <v>-0.90469655172413788</v>
      </c>
    </row>
    <row r="74" spans="1:26" s="24" customFormat="1" hidden="1" outlineLevel="2" x14ac:dyDescent="0.3">
      <c r="A74" s="27"/>
      <c r="B74" s="11" t="str">
        <f>CONCATENATE("          ", "6244", " - ", "SAFETY SUPPLY EXPENSE")</f>
        <v xml:space="preserve">          6244 - SAFETY SUPPLY EXPENSE</v>
      </c>
      <c r="C74" s="11"/>
      <c r="D74" s="7"/>
      <c r="E74" s="2"/>
      <c r="F74" s="6">
        <f t="shared" si="62"/>
        <v>0</v>
      </c>
      <c r="G74" s="2"/>
      <c r="H74" s="7"/>
      <c r="I74" s="2"/>
      <c r="J74" s="6">
        <f t="shared" si="63"/>
        <v>0</v>
      </c>
      <c r="K74" s="2"/>
      <c r="L74" s="7">
        <f t="shared" si="64"/>
        <v>0</v>
      </c>
      <c r="M74" s="2"/>
      <c r="N74" s="6">
        <f t="shared" si="65"/>
        <v>0</v>
      </c>
      <c r="O74" s="11"/>
      <c r="P74" s="7"/>
      <c r="Q74" s="2"/>
      <c r="R74" s="6">
        <f t="shared" si="66"/>
        <v>0</v>
      </c>
      <c r="S74" s="2"/>
      <c r="T74" s="7">
        <v>100</v>
      </c>
      <c r="U74" s="2"/>
      <c r="V74" s="6">
        <f t="shared" si="67"/>
        <v>3.3678765201752641E-4</v>
      </c>
      <c r="W74" s="2"/>
      <c r="X74" s="7">
        <f t="shared" si="68"/>
        <v>-100</v>
      </c>
      <c r="Y74" s="2"/>
      <c r="Z74" s="6">
        <f t="shared" si="69"/>
        <v>-1</v>
      </c>
    </row>
    <row r="75" spans="1:26" s="24" customFormat="1" hidden="1" outlineLevel="2" x14ac:dyDescent="0.3">
      <c r="A75" s="27"/>
      <c r="B75" s="11" t="str">
        <f>CONCATENATE("          ", "6245", " - ", "PRINTING")</f>
        <v xml:space="preserve">          6245 - PRINTING</v>
      </c>
      <c r="C75" s="11"/>
      <c r="D75" s="7"/>
      <c r="E75" s="2"/>
      <c r="F75" s="6">
        <f t="shared" si="62"/>
        <v>0</v>
      </c>
      <c r="G75" s="2"/>
      <c r="H75" s="7">
        <v>250</v>
      </c>
      <c r="I75" s="2"/>
      <c r="J75" s="6">
        <f t="shared" si="63"/>
        <v>3.3017684271695919E-3</v>
      </c>
      <c r="K75" s="2"/>
      <c r="L75" s="7">
        <f t="shared" si="64"/>
        <v>-250</v>
      </c>
      <c r="M75" s="2"/>
      <c r="N75" s="6">
        <f t="shared" si="65"/>
        <v>-1</v>
      </c>
      <c r="O75" s="11"/>
      <c r="P75" s="7">
        <v>338</v>
      </c>
      <c r="Q75" s="2"/>
      <c r="R75" s="6">
        <f t="shared" si="66"/>
        <v>0</v>
      </c>
      <c r="S75" s="2"/>
      <c r="T75" s="7">
        <v>750</v>
      </c>
      <c r="U75" s="2"/>
      <c r="V75" s="6">
        <f t="shared" si="67"/>
        <v>2.5259073901314484E-3</v>
      </c>
      <c r="W75" s="2"/>
      <c r="X75" s="7">
        <f t="shared" si="68"/>
        <v>-412</v>
      </c>
      <c r="Y75" s="2"/>
      <c r="Z75" s="6">
        <f t="shared" si="69"/>
        <v>-0.54933333333333334</v>
      </c>
    </row>
    <row r="76" spans="1:26" s="24" customFormat="1" hidden="1" outlineLevel="2" x14ac:dyDescent="0.3">
      <c r="A76" s="27"/>
      <c r="B76" s="11" t="str">
        <f>CONCATENATE("          ", "6248", " - ", "UNIFORMS")</f>
        <v xml:space="preserve">          6248 - UNIFORMS</v>
      </c>
      <c r="C76" s="11"/>
      <c r="D76" s="7"/>
      <c r="E76" s="2"/>
      <c r="F76" s="6">
        <f t="shared" si="62"/>
        <v>0</v>
      </c>
      <c r="G76" s="2"/>
      <c r="H76" s="7"/>
      <c r="I76" s="2"/>
      <c r="J76" s="6">
        <f t="shared" si="63"/>
        <v>0</v>
      </c>
      <c r="K76" s="2"/>
      <c r="L76" s="7">
        <f t="shared" si="64"/>
        <v>0</v>
      </c>
      <c r="M76" s="2"/>
      <c r="N76" s="6">
        <f t="shared" si="65"/>
        <v>0</v>
      </c>
      <c r="O76" s="11"/>
      <c r="P76" s="7"/>
      <c r="Q76" s="2"/>
      <c r="R76" s="6">
        <f t="shared" si="66"/>
        <v>0</v>
      </c>
      <c r="S76" s="2"/>
      <c r="T76" s="7">
        <v>1050</v>
      </c>
      <c r="U76" s="2"/>
      <c r="V76" s="6">
        <f t="shared" si="67"/>
        <v>3.5362703461840274E-3</v>
      </c>
      <c r="W76" s="2"/>
      <c r="X76" s="7">
        <f t="shared" si="68"/>
        <v>-1050</v>
      </c>
      <c r="Y76" s="2"/>
      <c r="Z76" s="6">
        <f t="shared" si="69"/>
        <v>-1</v>
      </c>
    </row>
    <row r="77" spans="1:26" s="28" customFormat="1" outlineLevel="1" collapsed="1" x14ac:dyDescent="0.3">
      <c r="A77" s="29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SUM(OSRRefD22_12x_0)</f>
        <v>181.5</v>
      </c>
      <c r="E77" s="1"/>
      <c r="F77" s="5">
        <f t="shared" ref="F77:F79" si="70">IF(D$12=0,0,D77/D$12)</f>
        <v>0</v>
      </c>
      <c r="G77" s="1"/>
      <c r="H77" s="1">
        <f>SUM(OSRRefH22_12x_0)</f>
        <v>225</v>
      </c>
      <c r="I77" s="1"/>
      <c r="J77" s="5">
        <f t="shared" ref="J77:J79" si="71">IF(H$12=0,0,H77/H$12)</f>
        <v>2.971591584452633E-3</v>
      </c>
      <c r="K77" s="1"/>
      <c r="L77" s="1">
        <f t="shared" ref="L77:L79" si="72">+D77-H77</f>
        <v>-43.5</v>
      </c>
      <c r="M77" s="1"/>
      <c r="N77" s="5">
        <f t="shared" ref="N77:N79" si="73">IF(H77=0,0,L77/H77)</f>
        <v>-0.19333333333333333</v>
      </c>
      <c r="O77" s="14"/>
      <c r="P77" s="1">
        <f>SUM(OSRRefP22_12x_0)</f>
        <v>256.5</v>
      </c>
      <c r="Q77" s="1"/>
      <c r="R77" s="5">
        <f t="shared" ref="R77:R79" si="74">IF(P$12=0,0,P77/P$12)</f>
        <v>0</v>
      </c>
      <c r="S77" s="1"/>
      <c r="T77" s="1">
        <f>SUM(OSRRefT22_12x_0)</f>
        <v>975</v>
      </c>
      <c r="U77" s="1"/>
      <c r="V77" s="5">
        <f t="shared" ref="V77:V79" si="75">IF(T$12=0,0,T77/T$12)</f>
        <v>3.2836796071708829E-3</v>
      </c>
      <c r="W77" s="1"/>
      <c r="X77" s="1">
        <f t="shared" ref="X77:X79" si="76">+P77-T77</f>
        <v>-718.5</v>
      </c>
      <c r="Y77" s="1"/>
      <c r="Z77" s="5">
        <f t="shared" ref="Z77:Z79" si="77">IF(T77=0,0,X77/T77)</f>
        <v>-0.7369230769230769</v>
      </c>
    </row>
    <row r="78" spans="1:26" s="24" customFormat="1" hidden="1" outlineLevel="2" x14ac:dyDescent="0.3">
      <c r="A78" s="27"/>
      <c r="B78" s="11" t="str">
        <f>CONCATENATE("          ", "6303", " - ", "DATA PHONE LINES")</f>
        <v xml:space="preserve">          6303 - DATA PHONE LINES</v>
      </c>
      <c r="C78" s="11"/>
      <c r="D78" s="7"/>
      <c r="E78" s="2"/>
      <c r="F78" s="6">
        <f t="shared" si="70"/>
        <v>0</v>
      </c>
      <c r="G78" s="2"/>
      <c r="H78" s="7">
        <v>75</v>
      </c>
      <c r="I78" s="2"/>
      <c r="J78" s="6">
        <f t="shared" si="71"/>
        <v>9.9053052815087752E-4</v>
      </c>
      <c r="K78" s="2"/>
      <c r="L78" s="7">
        <f t="shared" si="72"/>
        <v>-75</v>
      </c>
      <c r="M78" s="2"/>
      <c r="N78" s="6">
        <f t="shared" si="73"/>
        <v>-1</v>
      </c>
      <c r="O78" s="11"/>
      <c r="P78" s="7"/>
      <c r="Q78" s="2"/>
      <c r="R78" s="6">
        <f t="shared" si="74"/>
        <v>0</v>
      </c>
      <c r="S78" s="2"/>
      <c r="T78" s="7">
        <v>525</v>
      </c>
      <c r="U78" s="2"/>
      <c r="V78" s="6">
        <f t="shared" si="75"/>
        <v>1.7681351730920137E-3</v>
      </c>
      <c r="W78" s="2"/>
      <c r="X78" s="7">
        <f t="shared" si="76"/>
        <v>-525</v>
      </c>
      <c r="Y78" s="2"/>
      <c r="Z78" s="6">
        <f t="shared" si="77"/>
        <v>-1</v>
      </c>
    </row>
    <row r="79" spans="1:26" s="24" customFormat="1" hidden="1" outlineLevel="2" x14ac:dyDescent="0.3">
      <c r="A79" s="27"/>
      <c r="B79" s="11" t="str">
        <f>CONCATENATE("          ", "6309", " - ", "TELEPHONE")</f>
        <v xml:space="preserve">          6309 - TELEPHONE</v>
      </c>
      <c r="C79" s="11"/>
      <c r="D79" s="7">
        <v>181.5</v>
      </c>
      <c r="E79" s="2"/>
      <c r="F79" s="6">
        <f t="shared" si="70"/>
        <v>0</v>
      </c>
      <c r="G79" s="2"/>
      <c r="H79" s="7">
        <v>150</v>
      </c>
      <c r="I79" s="2"/>
      <c r="J79" s="6">
        <f t="shared" si="71"/>
        <v>1.981061056301755E-3</v>
      </c>
      <c r="K79" s="2"/>
      <c r="L79" s="7">
        <f t="shared" si="72"/>
        <v>31.5</v>
      </c>
      <c r="M79" s="2"/>
      <c r="N79" s="6">
        <f t="shared" si="73"/>
        <v>0.21</v>
      </c>
      <c r="O79" s="11"/>
      <c r="P79" s="7">
        <v>256.5</v>
      </c>
      <c r="Q79" s="2"/>
      <c r="R79" s="6">
        <f t="shared" si="74"/>
        <v>0</v>
      </c>
      <c r="S79" s="2"/>
      <c r="T79" s="7">
        <v>450</v>
      </c>
      <c r="U79" s="2"/>
      <c r="V79" s="6">
        <f t="shared" si="75"/>
        <v>1.5155444340788689E-3</v>
      </c>
      <c r="W79" s="2"/>
      <c r="X79" s="7">
        <f t="shared" si="76"/>
        <v>-193.5</v>
      </c>
      <c r="Y79" s="2"/>
      <c r="Z79" s="6">
        <f t="shared" si="77"/>
        <v>-0.43</v>
      </c>
    </row>
    <row r="80" spans="1:26" s="28" customFormat="1" outlineLevel="1" collapsed="1" x14ac:dyDescent="0.3">
      <c r="A80" s="29"/>
      <c r="B80" s="14" t="str">
        <f>CONCATENATE("     ","Training                                          ")</f>
        <v xml:space="preserve">     Training                                          </v>
      </c>
      <c r="C80" s="14"/>
      <c r="D80" s="1">
        <f>SUM(OSRRefD22_13x_0)</f>
        <v>0</v>
      </c>
      <c r="E80" s="1"/>
      <c r="F80" s="5">
        <f t="shared" ref="F80:F83" si="78">IF(D$12=0,0,D80/D$12)</f>
        <v>0</v>
      </c>
      <c r="G80" s="1"/>
      <c r="H80" s="1">
        <f>SUM(OSRRefH22_13x_0)</f>
        <v>200</v>
      </c>
      <c r="I80" s="1"/>
      <c r="J80" s="5">
        <f t="shared" ref="J80:J83" si="79">IF(H$12=0,0,H80/H$12)</f>
        <v>2.6414147417356737E-3</v>
      </c>
      <c r="K80" s="1"/>
      <c r="L80" s="1">
        <f t="shared" ref="L80:L83" si="80">+D80-H80</f>
        <v>-200</v>
      </c>
      <c r="M80" s="1"/>
      <c r="N80" s="5">
        <f t="shared" ref="N80:N83" si="81">IF(H80=0,0,L80/H80)</f>
        <v>-1</v>
      </c>
      <c r="O80" s="14"/>
      <c r="P80" s="1">
        <f>SUM(OSRRefP22_13x_0)</f>
        <v>0</v>
      </c>
      <c r="Q80" s="1"/>
      <c r="R80" s="5">
        <f t="shared" ref="R80:R83" si="82">IF(P$12=0,0,P80/P$12)</f>
        <v>0</v>
      </c>
      <c r="S80" s="1"/>
      <c r="T80" s="1">
        <f>SUM(OSRRefT22_13x_0)</f>
        <v>400</v>
      </c>
      <c r="U80" s="1"/>
      <c r="V80" s="5">
        <f t="shared" ref="V80:V83" si="83">IF(T$12=0,0,T80/T$12)</f>
        <v>1.3471506080701056E-3</v>
      </c>
      <c r="W80" s="1"/>
      <c r="X80" s="1">
        <f t="shared" ref="X80:X83" si="84">+P80-T80</f>
        <v>-400</v>
      </c>
      <c r="Y80" s="1"/>
      <c r="Z80" s="5">
        <f t="shared" ref="Z80:Z83" si="85">IF(T80=0,0,X80/T80)</f>
        <v>-1</v>
      </c>
    </row>
    <row r="81" spans="1:26" s="24" customFormat="1" hidden="1" outlineLevel="2" x14ac:dyDescent="0.3">
      <c r="A81" s="27"/>
      <c r="B81" s="11" t="str">
        <f>CONCATENATE("          ", "6376", " - ", "TRAINING")</f>
        <v xml:space="preserve">          6376 - TRAINING</v>
      </c>
      <c r="C81" s="11"/>
      <c r="D81" s="7"/>
      <c r="E81" s="2"/>
      <c r="F81" s="6">
        <f t="shared" si="78"/>
        <v>0</v>
      </c>
      <c r="G81" s="2"/>
      <c r="H81" s="7">
        <v>200</v>
      </c>
      <c r="I81" s="2"/>
      <c r="J81" s="6">
        <f t="shared" si="79"/>
        <v>2.6414147417356737E-3</v>
      </c>
      <c r="K81" s="2"/>
      <c r="L81" s="7">
        <f t="shared" si="80"/>
        <v>-200</v>
      </c>
      <c r="M81" s="2"/>
      <c r="N81" s="6">
        <f t="shared" si="81"/>
        <v>-1</v>
      </c>
      <c r="O81" s="11"/>
      <c r="P81" s="7"/>
      <c r="Q81" s="2"/>
      <c r="R81" s="6">
        <f t="shared" si="82"/>
        <v>0</v>
      </c>
      <c r="S81" s="2"/>
      <c r="T81" s="7">
        <v>400</v>
      </c>
      <c r="U81" s="2"/>
      <c r="V81" s="6">
        <f t="shared" si="83"/>
        <v>1.3471506080701056E-3</v>
      </c>
      <c r="W81" s="2"/>
      <c r="X81" s="7">
        <f t="shared" si="84"/>
        <v>-400</v>
      </c>
      <c r="Y81" s="2"/>
      <c r="Z81" s="6">
        <f t="shared" si="85"/>
        <v>-1</v>
      </c>
    </row>
    <row r="82" spans="1:26" s="28" customFormat="1" outlineLevel="1" collapsed="1" x14ac:dyDescent="0.3">
      <c r="A82" s="29"/>
      <c r="B82" s="14" t="str">
        <f>CONCATENATE("     ","Utilities                                         ")</f>
        <v xml:space="preserve">     Utilities                                         </v>
      </c>
      <c r="C82" s="14"/>
      <c r="D82" s="1">
        <f>SUM(OSRRefD22_14x_0)</f>
        <v>0</v>
      </c>
      <c r="E82" s="1"/>
      <c r="F82" s="5">
        <f t="shared" si="78"/>
        <v>0</v>
      </c>
      <c r="G82" s="1"/>
      <c r="H82" s="1">
        <f>SUM(OSRRefH22_14x_0)</f>
        <v>500</v>
      </c>
      <c r="I82" s="1"/>
      <c r="J82" s="5">
        <f t="shared" si="79"/>
        <v>6.6035368543391837E-3</v>
      </c>
      <c r="K82" s="1"/>
      <c r="L82" s="1">
        <f t="shared" si="80"/>
        <v>-500</v>
      </c>
      <c r="M82" s="1"/>
      <c r="N82" s="5">
        <f t="shared" si="81"/>
        <v>-1</v>
      </c>
      <c r="O82" s="14"/>
      <c r="P82" s="1">
        <f>SUM(OSRRefP22_14x_0)</f>
        <v>0</v>
      </c>
      <c r="Q82" s="1"/>
      <c r="R82" s="5">
        <f t="shared" si="82"/>
        <v>0</v>
      </c>
      <c r="S82" s="1"/>
      <c r="T82" s="1">
        <f>SUM(OSRRefT22_14x_0)</f>
        <v>3500</v>
      </c>
      <c r="U82" s="1"/>
      <c r="V82" s="5">
        <f t="shared" si="83"/>
        <v>1.1787567820613425E-2</v>
      </c>
      <c r="W82" s="1"/>
      <c r="X82" s="1">
        <f t="shared" si="84"/>
        <v>-3500</v>
      </c>
      <c r="Y82" s="1"/>
      <c r="Z82" s="5">
        <f t="shared" si="85"/>
        <v>-1</v>
      </c>
    </row>
    <row r="83" spans="1:26" s="24" customFormat="1" hidden="1" outlineLevel="2" x14ac:dyDescent="0.3">
      <c r="A83" s="27"/>
      <c r="B83" s="11" t="str">
        <f>CONCATENATE("          ", "6274", " - ", "UTILITIES")</f>
        <v xml:space="preserve">          6274 - UTILITIES</v>
      </c>
      <c r="C83" s="11"/>
      <c r="D83" s="7"/>
      <c r="E83" s="2"/>
      <c r="F83" s="6">
        <f t="shared" si="78"/>
        <v>0</v>
      </c>
      <c r="G83" s="2"/>
      <c r="H83" s="7">
        <v>500</v>
      </c>
      <c r="I83" s="2"/>
      <c r="J83" s="6">
        <f t="shared" si="79"/>
        <v>6.6035368543391837E-3</v>
      </c>
      <c r="K83" s="2"/>
      <c r="L83" s="7">
        <f t="shared" si="80"/>
        <v>-500</v>
      </c>
      <c r="M83" s="2"/>
      <c r="N83" s="6">
        <f t="shared" si="81"/>
        <v>-1</v>
      </c>
      <c r="O83" s="11"/>
      <c r="P83" s="7"/>
      <c r="Q83" s="2"/>
      <c r="R83" s="6">
        <f t="shared" si="82"/>
        <v>0</v>
      </c>
      <c r="S83" s="2"/>
      <c r="T83" s="7">
        <v>3500</v>
      </c>
      <c r="U83" s="2"/>
      <c r="V83" s="6">
        <f t="shared" si="83"/>
        <v>1.1787567820613425E-2</v>
      </c>
      <c r="W83" s="2"/>
      <c r="X83" s="7">
        <f t="shared" si="84"/>
        <v>-3500</v>
      </c>
      <c r="Y83" s="2"/>
      <c r="Z83" s="6">
        <f t="shared" si="85"/>
        <v>-1</v>
      </c>
    </row>
    <row r="84" spans="1:26" s="55" customFormat="1" x14ac:dyDescent="0.3">
      <c r="A84" s="36"/>
      <c r="B84" s="36"/>
      <c r="C84" s="36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6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collapsed="1" x14ac:dyDescent="0.3">
      <c r="A85" s="10"/>
      <c r="B85" s="25" t="s">
        <v>293</v>
      </c>
      <c r="C85" s="10"/>
      <c r="D85" s="4">
        <f>SUM(OSRRefD25x_0)</f>
        <v>0</v>
      </c>
      <c r="E85" s="4"/>
      <c r="F85" s="12">
        <f t="shared" ref="F85:F86" si="86">IF(D$12=0,0,D85/D$12)</f>
        <v>0</v>
      </c>
      <c r="G85" s="4"/>
      <c r="H85" s="4">
        <f>SUM(OSRRefH25x_0)</f>
        <v>0</v>
      </c>
      <c r="I85" s="4"/>
      <c r="J85" s="12">
        <f t="shared" ref="J85:J86" si="87">IF(H$12=0,0,H85/H$12)</f>
        <v>0</v>
      </c>
      <c r="K85" s="4"/>
      <c r="L85" s="4">
        <f t="shared" ref="L85:L86" si="88">+D85-H85</f>
        <v>0</v>
      </c>
      <c r="M85" s="4"/>
      <c r="N85" s="12">
        <f t="shared" ref="N85:N86" si="89">IF(H85=0,0,L85/H85)</f>
        <v>0</v>
      </c>
      <c r="O85" s="10"/>
      <c r="P85" s="4">
        <f>SUM(OSRRefP25x_0)</f>
        <v>341.5</v>
      </c>
      <c r="Q85" s="4"/>
      <c r="R85" s="12">
        <f t="shared" ref="R85:R86" si="90">IF(P$12=0,0,P85/P$12)</f>
        <v>0</v>
      </c>
      <c r="S85" s="4"/>
      <c r="T85" s="4">
        <f>SUM(OSRRefT25x_0)</f>
        <v>0</v>
      </c>
      <c r="U85" s="4"/>
      <c r="V85" s="12">
        <f t="shared" ref="V85:V86" si="91">IF(T$12=0,0,T85/T$12)</f>
        <v>0</v>
      </c>
      <c r="W85" s="4"/>
      <c r="X85" s="4">
        <f t="shared" ref="X85:X86" si="92">+P85-T85</f>
        <v>341.5</v>
      </c>
      <c r="Y85" s="4"/>
      <c r="Z85" s="12">
        <f t="shared" ref="Z85:Z86" si="93">IF(T85=0,0,X85/T85)</f>
        <v>0</v>
      </c>
    </row>
    <row r="86" spans="1:26" s="24" customFormat="1" hidden="1" outlineLevel="1" x14ac:dyDescent="0.3">
      <c r="A86" s="44"/>
      <c r="B86" s="11" t="str">
        <f>CONCATENATE("          ", "9150", " - ", "MISC. INCOME")</f>
        <v xml:space="preserve">          9150 - MISC. INCOME</v>
      </c>
      <c r="C86" s="11"/>
      <c r="D86" s="2">
        <f>0</f>
        <v>0</v>
      </c>
      <c r="E86" s="2"/>
      <c r="F86" s="19">
        <f t="shared" si="86"/>
        <v>0</v>
      </c>
      <c r="G86" s="2"/>
      <c r="H86" s="2"/>
      <c r="I86" s="2"/>
      <c r="J86" s="19">
        <f t="shared" si="87"/>
        <v>0</v>
      </c>
      <c r="K86" s="2"/>
      <c r="L86" s="2">
        <f t="shared" si="88"/>
        <v>0</v>
      </c>
      <c r="M86" s="2"/>
      <c r="N86" s="19">
        <f t="shared" si="89"/>
        <v>0</v>
      </c>
      <c r="O86" s="11"/>
      <c r="P86" s="2">
        <f>--341.5</f>
        <v>341.5</v>
      </c>
      <c r="Q86" s="2"/>
      <c r="R86" s="19">
        <f t="shared" si="90"/>
        <v>0</v>
      </c>
      <c r="S86" s="2"/>
      <c r="T86" s="2"/>
      <c r="U86" s="2"/>
      <c r="V86" s="19">
        <f t="shared" si="91"/>
        <v>0</v>
      </c>
      <c r="W86" s="2"/>
      <c r="X86" s="2">
        <f t="shared" si="92"/>
        <v>341.5</v>
      </c>
      <c r="Y86" s="2"/>
      <c r="Z86" s="19">
        <f t="shared" si="93"/>
        <v>0</v>
      </c>
    </row>
    <row r="87" spans="1:26" x14ac:dyDescent="0.3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3">
      <c r="A88" s="10"/>
      <c r="B88" s="26" t="s">
        <v>277</v>
      </c>
      <c r="C88" s="26"/>
      <c r="D88" s="21">
        <f>+D20-D22+D85</f>
        <v>-17879.699999999993</v>
      </c>
      <c r="E88" s="13"/>
      <c r="F88" s="22">
        <f>IF(D$12=0,0,D88/D$12)</f>
        <v>0</v>
      </c>
      <c r="G88" s="13"/>
      <c r="H88" s="21">
        <f>+H20-H22+H85</f>
        <v>-3338.3645652492414</v>
      </c>
      <c r="I88" s="13"/>
      <c r="J88" s="22">
        <f>IF(H$12=0,0,H88/H$12)</f>
        <v>-4.4090026879686744E-2</v>
      </c>
      <c r="K88" s="15"/>
      <c r="L88" s="21">
        <f>+D88-H88</f>
        <v>-14541.335434750752</v>
      </c>
      <c r="M88" s="15"/>
      <c r="N88" s="22">
        <f>IF(H88=0,0,L88/H88)</f>
        <v>4.3558260790684793</v>
      </c>
      <c r="O88" s="25"/>
      <c r="P88" s="21">
        <f>+P20-P22+P85</f>
        <v>-121152.06999999998</v>
      </c>
      <c r="Q88" s="13"/>
      <c r="R88" s="22">
        <f>IF(P$12=0,0,P88/P$12)</f>
        <v>0</v>
      </c>
      <c r="S88" s="13"/>
      <c r="T88" s="21">
        <f>+T20-T22+T85</f>
        <v>-83831.396962941508</v>
      </c>
      <c r="U88" s="13"/>
      <c r="V88" s="22">
        <f>IF(T$12=0,0,T88/T$12)</f>
        <v>-0.28233379348498266</v>
      </c>
      <c r="W88" s="15"/>
      <c r="X88" s="21">
        <f>+P88-T88</f>
        <v>-37320.67303705847</v>
      </c>
      <c r="Y88" s="15"/>
      <c r="Z88" s="22">
        <f>IF(T88=0,0,X88/T88)</f>
        <v>0.44518729723132777</v>
      </c>
    </row>
    <row r="89" spans="1:26" x14ac:dyDescent="0.3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3">
      <c r="A90" s="52"/>
      <c r="B90" s="10" t="s">
        <v>128</v>
      </c>
      <c r="C90" s="10"/>
      <c r="D90" s="4"/>
      <c r="E90" s="4"/>
      <c r="F90" s="12">
        <f>IF(D$12=0,0,D90/D$12)</f>
        <v>0</v>
      </c>
      <c r="G90" s="4"/>
      <c r="H90" s="4">
        <v>8564</v>
      </c>
      <c r="I90" s="4"/>
      <c r="J90" s="12">
        <f>IF(H$12=0,0,H90/H$12)</f>
        <v>0.11310537924112155</v>
      </c>
      <c r="K90" s="4"/>
      <c r="L90" s="4">
        <f>+D90-H90</f>
        <v>-8564</v>
      </c>
      <c r="M90" s="4"/>
      <c r="N90" s="12">
        <f>IF(H90=0,0,L90/H90)</f>
        <v>-1</v>
      </c>
      <c r="O90" s="10"/>
      <c r="P90" s="4"/>
      <c r="Q90" s="4"/>
      <c r="R90" s="12">
        <f>IF(P$12=0,0,P90/P$12)</f>
        <v>0</v>
      </c>
      <c r="S90" s="4"/>
      <c r="T90" s="4">
        <v>37203</v>
      </c>
      <c r="U90" s="4"/>
      <c r="V90" s="12">
        <f>IF(T$12=0,0,T90/T$12)</f>
        <v>0.12529511018008035</v>
      </c>
      <c r="W90" s="4"/>
      <c r="X90" s="4">
        <f>+P90-T90</f>
        <v>-37203</v>
      </c>
      <c r="Y90" s="4"/>
      <c r="Z90" s="12">
        <f>IF(T90=0,0,X90/T90)</f>
        <v>-1</v>
      </c>
    </row>
    <row r="91" spans="1:26" x14ac:dyDescent="0.3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" thickBot="1" x14ac:dyDescent="0.35">
      <c r="A92" s="10"/>
      <c r="B92" s="26" t="s">
        <v>126</v>
      </c>
      <c r="C92" s="26"/>
      <c r="D92" s="32">
        <f>+D88-D90</f>
        <v>-17879.699999999993</v>
      </c>
      <c r="E92" s="13"/>
      <c r="F92" s="31">
        <f>IF(D$12=0,0,D92/D$12)</f>
        <v>0</v>
      </c>
      <c r="G92" s="13"/>
      <c r="H92" s="32">
        <f>+H88-H90</f>
        <v>-11902.364565249241</v>
      </c>
      <c r="I92" s="13"/>
      <c r="J92" s="31">
        <f>IF(H$12=0,0,H92/H$12)</f>
        <v>-0.15719540612080829</v>
      </c>
      <c r="K92" s="15"/>
      <c r="L92" s="32">
        <f>D92-H92</f>
        <v>-5977.335434750752</v>
      </c>
      <c r="M92" s="15"/>
      <c r="N92" s="31">
        <f>IF(H92=0,0,L92/H92)</f>
        <v>0.50219730726468326</v>
      </c>
      <c r="O92" s="25"/>
      <c r="P92" s="32">
        <f>+P88-P90</f>
        <v>-121152.06999999998</v>
      </c>
      <c r="Q92" s="13"/>
      <c r="R92" s="31">
        <f>IF(P$12=0,0,P92/P$12)</f>
        <v>0</v>
      </c>
      <c r="S92" s="13"/>
      <c r="T92" s="32">
        <f>+T88-T90</f>
        <v>-121034.39696294151</v>
      </c>
      <c r="U92" s="13"/>
      <c r="V92" s="31">
        <f>IF(T$12=0,0,T92/T$12)</f>
        <v>-0.40762890366506305</v>
      </c>
      <c r="W92" s="15"/>
      <c r="X92" s="32">
        <f>P92-T92</f>
        <v>-117.67303705847007</v>
      </c>
      <c r="Y92" s="15"/>
      <c r="Z92" s="31">
        <f>IF(T92=0,0,X92/T92)</f>
        <v>9.7222806087511951E-4</v>
      </c>
    </row>
    <row r="93" spans="1:26" ht="15" thickTop="1" x14ac:dyDescent="0.3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3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" thickBot="1" x14ac:dyDescent="0.35">
      <c r="A95" s="10"/>
      <c r="B95" s="26" t="s">
        <v>294</v>
      </c>
      <c r="C95" s="26"/>
      <c r="D95" s="34">
        <f>SUM(D92:D94)</f>
        <v>-17879.699999999993</v>
      </c>
      <c r="E95" s="13"/>
      <c r="F95" s="35">
        <f>IF(D$12=0,0,D95/D$12)</f>
        <v>0</v>
      </c>
      <c r="G95" s="13"/>
      <c r="H95" s="34">
        <f>SUM(H92:H94)</f>
        <v>-11902.364565249241</v>
      </c>
      <c r="I95" s="13"/>
      <c r="J95" s="35">
        <f>IF(H$12=0,0,H95/H$12)</f>
        <v>-0.15719540612080829</v>
      </c>
      <c r="K95" s="15"/>
      <c r="L95" s="34">
        <f>+D95-H95</f>
        <v>-5977.335434750752</v>
      </c>
      <c r="M95" s="15"/>
      <c r="N95" s="35">
        <f>IF(H95=0,0,L95/H95)</f>
        <v>0.50219730726468326</v>
      </c>
      <c r="O95" s="25"/>
      <c r="P95" s="34">
        <f>SUM(P92:P94)</f>
        <v>-121152.06999999998</v>
      </c>
      <c r="Q95" s="13"/>
      <c r="R95" s="35">
        <f>IF(P$12=0,0,P95/P$12)</f>
        <v>0</v>
      </c>
      <c r="S95" s="13"/>
      <c r="T95" s="34">
        <f>SUM(T92:T94)</f>
        <v>-121034.39696294151</v>
      </c>
      <c r="U95" s="13"/>
      <c r="V95" s="35">
        <f>IF(T$12=0,0,T95/T$12)</f>
        <v>-0.40762890366506305</v>
      </c>
      <c r="W95" s="15"/>
      <c r="X95" s="34">
        <f>+P95-T95</f>
        <v>-117.67303705847007</v>
      </c>
      <c r="Y95" s="15"/>
      <c r="Z95" s="35">
        <f>IF(T95=0,0,X95/T95)</f>
        <v>9.7222806087511951E-4</v>
      </c>
    </row>
    <row r="96" spans="1:26" ht="15" thickTop="1" x14ac:dyDescent="0.3">
      <c r="A96" s="9"/>
      <c r="C96" s="9"/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1:24" x14ac:dyDescent="0.3">
      <c r="A97" s="9"/>
      <c r="B97" s="53">
        <v>44604.019995405091</v>
      </c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3">
      <c r="A98" s="9"/>
      <c r="B98" s="63" t="s">
        <v>56</v>
      </c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  <row r="99" spans="1:24" x14ac:dyDescent="0.3">
      <c r="A99" s="9"/>
      <c r="B99" s="58"/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4" x14ac:dyDescent="0.3"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218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92D050"/>
    <outlinePr summaryBelow="0" summaryRight="0"/>
  </sheetPr>
  <dimension ref="A2:Z6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","423", " - ", "Contract/Vending Revenue")</f>
        <v>Department 423 - Contract/Vending Revenue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650.18000000000006</v>
      </c>
      <c r="E18" s="20"/>
      <c r="F18" s="33">
        <f t="shared" ref="F18:F27" si="0">IF(D$12=0,0,D18/D$12)</f>
        <v>0</v>
      </c>
      <c r="G18" s="20"/>
      <c r="H18" s="20">
        <f>SUM(OSRRefH22x_0)</f>
        <v>0</v>
      </c>
      <c r="I18" s="20"/>
      <c r="J18" s="33">
        <f t="shared" ref="J18:J27" si="1">IF(H$12=0,0,H18/H$12)</f>
        <v>0</v>
      </c>
      <c r="K18" s="4"/>
      <c r="L18" s="20">
        <f t="shared" ref="L18:L27" si="2">+D18-H18</f>
        <v>650.18000000000006</v>
      </c>
      <c r="M18" s="4"/>
      <c r="N18" s="33">
        <f t="shared" ref="N18:N27" si="3">IF(H18=0,0,L18/H18)</f>
        <v>0</v>
      </c>
      <c r="O18" s="10"/>
      <c r="P18" s="20">
        <f>SUM(OSRRefP22x_0)</f>
        <v>8774.23</v>
      </c>
      <c r="Q18" s="20"/>
      <c r="R18" s="33">
        <f t="shared" ref="R18:R27" si="4">IF(P$12=0,0,P18/P$12)</f>
        <v>0</v>
      </c>
      <c r="S18" s="20"/>
      <c r="T18" s="20">
        <f>SUM(OSRRefT22x_0)</f>
        <v>0</v>
      </c>
      <c r="U18" s="20"/>
      <c r="V18" s="33">
        <f t="shared" ref="V18:V27" si="5">IF(T$12=0,0,T18/T$12)</f>
        <v>0</v>
      </c>
      <c r="W18" s="4"/>
      <c r="X18" s="20">
        <f t="shared" ref="X18:X27" si="6">+P18-T18</f>
        <v>8774.23</v>
      </c>
      <c r="Y18" s="4"/>
      <c r="Z18" s="33">
        <f t="shared" ref="Z18:Z27" si="7">IF(T18=0,0,X18/T18)</f>
        <v>0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0</v>
      </c>
      <c r="Y19" s="1"/>
      <c r="Z19" s="5">
        <f t="shared" si="7"/>
        <v>0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7"/>
      <c r="E20" s="2"/>
      <c r="F20" s="6">
        <f t="shared" si="0"/>
        <v>0</v>
      </c>
      <c r="G20" s="2"/>
      <c r="H20" s="7">
        <v>0</v>
      </c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/>
      <c r="Q20" s="2"/>
      <c r="R20" s="6">
        <f t="shared" si="4"/>
        <v>0</v>
      </c>
      <c r="S20" s="2"/>
      <c r="T20" s="7">
        <v>0</v>
      </c>
      <c r="U20" s="2"/>
      <c r="V20" s="6">
        <f t="shared" si="5"/>
        <v>0</v>
      </c>
      <c r="W20" s="2"/>
      <c r="X20" s="7">
        <f t="shared" si="6"/>
        <v>0</v>
      </c>
      <c r="Y20" s="2"/>
      <c r="Z20" s="6">
        <f t="shared" si="7"/>
        <v>0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7"/>
      <c r="E21" s="2"/>
      <c r="F21" s="6">
        <f t="shared" si="0"/>
        <v>0</v>
      </c>
      <c r="G21" s="2"/>
      <c r="H21" s="7">
        <v>0</v>
      </c>
      <c r="I21" s="2"/>
      <c r="J21" s="6">
        <f t="shared" si="1"/>
        <v>0</v>
      </c>
      <c r="K21" s="2"/>
      <c r="L21" s="7">
        <f t="shared" si="2"/>
        <v>0</v>
      </c>
      <c r="M21" s="2"/>
      <c r="N21" s="6">
        <f t="shared" si="3"/>
        <v>0</v>
      </c>
      <c r="O21" s="11"/>
      <c r="P21" s="7"/>
      <c r="Q21" s="2"/>
      <c r="R21" s="6">
        <f t="shared" si="4"/>
        <v>0</v>
      </c>
      <c r="S21" s="2"/>
      <c r="T21" s="7">
        <v>0</v>
      </c>
      <c r="U21" s="2"/>
      <c r="V21" s="6">
        <f t="shared" si="5"/>
        <v>0</v>
      </c>
      <c r="W21" s="2"/>
      <c r="X21" s="7">
        <f t="shared" si="6"/>
        <v>0</v>
      </c>
      <c r="Y21" s="2"/>
      <c r="Z21" s="6">
        <f t="shared" si="7"/>
        <v>0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7"/>
      <c r="E22" s="2"/>
      <c r="F22" s="6">
        <f t="shared" si="0"/>
        <v>0</v>
      </c>
      <c r="G22" s="2"/>
      <c r="H22" s="7">
        <v>0</v>
      </c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/>
      <c r="Q22" s="2"/>
      <c r="R22" s="6">
        <f t="shared" si="4"/>
        <v>0</v>
      </c>
      <c r="S22" s="2"/>
      <c r="T22" s="7">
        <v>0</v>
      </c>
      <c r="U22" s="2"/>
      <c r="V22" s="6">
        <f t="shared" si="5"/>
        <v>0</v>
      </c>
      <c r="W22" s="2"/>
      <c r="X22" s="7">
        <f t="shared" si="6"/>
        <v>0</v>
      </c>
      <c r="Y22" s="2"/>
      <c r="Z22" s="6">
        <f t="shared" si="7"/>
        <v>0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0</v>
      </c>
      <c r="I23" s="2"/>
      <c r="J23" s="6">
        <f t="shared" si="1"/>
        <v>0</v>
      </c>
      <c r="K23" s="2"/>
      <c r="L23" s="7">
        <f t="shared" si="2"/>
        <v>0</v>
      </c>
      <c r="M23" s="2"/>
      <c r="N23" s="6">
        <f t="shared" si="3"/>
        <v>0</v>
      </c>
      <c r="O23" s="11"/>
      <c r="P23" s="7"/>
      <c r="Q23" s="2"/>
      <c r="R23" s="6">
        <f t="shared" si="4"/>
        <v>0</v>
      </c>
      <c r="S23" s="2"/>
      <c r="T23" s="7">
        <v>0</v>
      </c>
      <c r="U23" s="2"/>
      <c r="V23" s="6">
        <f t="shared" si="5"/>
        <v>0</v>
      </c>
      <c r="W23" s="2"/>
      <c r="X23" s="7">
        <f t="shared" si="6"/>
        <v>0</v>
      </c>
      <c r="Y23" s="2"/>
      <c r="Z23" s="6">
        <f t="shared" si="7"/>
        <v>0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0</v>
      </c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/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0</v>
      </c>
      <c r="Y24" s="2"/>
      <c r="Z24" s="6">
        <f t="shared" si="7"/>
        <v>0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7"/>
      <c r="E26" s="2"/>
      <c r="F26" s="6">
        <f t="shared" si="0"/>
        <v>0</v>
      </c>
      <c r="G26" s="2"/>
      <c r="H26" s="7">
        <v>0</v>
      </c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/>
      <c r="Q26" s="2"/>
      <c r="R26" s="6">
        <f t="shared" si="4"/>
        <v>0</v>
      </c>
      <c r="S26" s="2"/>
      <c r="T26" s="7">
        <v>0</v>
      </c>
      <c r="U26" s="2"/>
      <c r="V26" s="6">
        <f t="shared" si="5"/>
        <v>0</v>
      </c>
      <c r="W26" s="2"/>
      <c r="X26" s="7">
        <f t="shared" si="6"/>
        <v>0</v>
      </c>
      <c r="Y26" s="2"/>
      <c r="Z26" s="6">
        <f t="shared" si="7"/>
        <v>0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7"/>
      <c r="E27" s="2"/>
      <c r="F27" s="6">
        <f t="shared" si="0"/>
        <v>0</v>
      </c>
      <c r="G27" s="2"/>
      <c r="H27" s="7">
        <v>0</v>
      </c>
      <c r="I27" s="2"/>
      <c r="J27" s="6">
        <f t="shared" si="1"/>
        <v>0</v>
      </c>
      <c r="K27" s="2"/>
      <c r="L27" s="7">
        <f t="shared" si="2"/>
        <v>0</v>
      </c>
      <c r="M27" s="2"/>
      <c r="N27" s="6">
        <f t="shared" si="3"/>
        <v>0</v>
      </c>
      <c r="O27" s="11"/>
      <c r="P27" s="7"/>
      <c r="Q27" s="2"/>
      <c r="R27" s="6">
        <f t="shared" si="4"/>
        <v>0</v>
      </c>
      <c r="S27" s="2"/>
      <c r="T27" s="7">
        <v>0</v>
      </c>
      <c r="U27" s="2"/>
      <c r="V27" s="6">
        <f t="shared" si="5"/>
        <v>0</v>
      </c>
      <c r="W27" s="2"/>
      <c r="X27" s="7">
        <f t="shared" si="6"/>
        <v>0</v>
      </c>
      <c r="Y27" s="2"/>
      <c r="Z27" s="6">
        <f t="shared" si="7"/>
        <v>0</v>
      </c>
    </row>
    <row r="28" spans="1:26" s="28" customFormat="1" outlineLevel="1" collapsed="1" x14ac:dyDescent="0.3">
      <c r="A28" s="29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0</v>
      </c>
      <c r="E28" s="1"/>
      <c r="F28" s="5">
        <f t="shared" ref="F28:F38" si="8">IF(D$12=0,0,D28/D$12)</f>
        <v>0</v>
      </c>
      <c r="G28" s="1"/>
      <c r="H28" s="1">
        <f>SUM(OSRRefH22_1x_0)</f>
        <v>0</v>
      </c>
      <c r="I28" s="1"/>
      <c r="J28" s="5">
        <f t="shared" ref="J28:J38" si="9">IF(H$12=0,0,H28/H$12)</f>
        <v>0</v>
      </c>
      <c r="K28" s="1"/>
      <c r="L28" s="1">
        <f t="shared" ref="L28:L38" si="10">+D28-H28</f>
        <v>0</v>
      </c>
      <c r="M28" s="1"/>
      <c r="N28" s="5">
        <f t="shared" ref="N28:N38" si="11">IF(H28=0,0,L28/H28)</f>
        <v>0</v>
      </c>
      <c r="O28" s="14"/>
      <c r="P28" s="1">
        <f>SUM(OSRRefP22_1x_0)</f>
        <v>0</v>
      </c>
      <c r="Q28" s="1"/>
      <c r="R28" s="5">
        <f t="shared" ref="R28:R38" si="12">IF(P$12=0,0,P28/P$12)</f>
        <v>0</v>
      </c>
      <c r="S28" s="1"/>
      <c r="T28" s="1">
        <f>SUM(OSRRefT22_1x_0)</f>
        <v>0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0</v>
      </c>
      <c r="Y28" s="1"/>
      <c r="Z28" s="5">
        <f t="shared" ref="Z28:Z38" si="15">IF(T28=0,0,X28/T28)</f>
        <v>0</v>
      </c>
    </row>
    <row r="29" spans="1:26" s="24" customFormat="1" hidden="1" outlineLevel="2" x14ac:dyDescent="0.3">
      <c r="A29" s="27"/>
      <c r="B29" s="11" t="str">
        <f>CONCATENATE("          ", "6001", " - ", "ADMINISTRATIVE SALARIES")</f>
        <v xml:space="preserve">          6001 - ADMINISTRATIVE SALARIES</v>
      </c>
      <c r="C29" s="11"/>
      <c r="D29" s="7"/>
      <c r="E29" s="2"/>
      <c r="F29" s="6">
        <f t="shared" si="8"/>
        <v>0</v>
      </c>
      <c r="G29" s="2"/>
      <c r="H29" s="7">
        <v>0</v>
      </c>
      <c r="I29" s="2"/>
      <c r="J29" s="6">
        <f t="shared" si="9"/>
        <v>0</v>
      </c>
      <c r="K29" s="2"/>
      <c r="L29" s="7">
        <f t="shared" si="10"/>
        <v>0</v>
      </c>
      <c r="M29" s="2"/>
      <c r="N29" s="6">
        <f t="shared" si="11"/>
        <v>0</v>
      </c>
      <c r="O29" s="11"/>
      <c r="P29" s="7"/>
      <c r="Q29" s="2"/>
      <c r="R29" s="6">
        <f t="shared" si="12"/>
        <v>0</v>
      </c>
      <c r="S29" s="2"/>
      <c r="T29" s="7">
        <v>0</v>
      </c>
      <c r="U29" s="2"/>
      <c r="V29" s="6">
        <f t="shared" si="13"/>
        <v>0</v>
      </c>
      <c r="W29" s="2"/>
      <c r="X29" s="7">
        <f t="shared" si="14"/>
        <v>0</v>
      </c>
      <c r="Y29" s="2"/>
      <c r="Z29" s="6">
        <f t="shared" si="15"/>
        <v>0</v>
      </c>
    </row>
    <row r="30" spans="1:26" s="24" customFormat="1" hidden="1" outlineLevel="2" x14ac:dyDescent="0.3">
      <c r="A30" s="27"/>
      <c r="B30" s="11" t="str">
        <f>CONCATENATE("          ", "6002", " - ", "STAFF SALARIES")</f>
        <v xml:space="preserve">          6002 - STAFF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3">
      <c r="A31" s="27"/>
      <c r="B31" s="11" t="str">
        <f>CONCATENATE("          ", "6003", " - ", "STAFF HOURLY-9 MONTH")</f>
        <v xml:space="preserve">          6003 - STAFF HOURLY-9 MONTH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3">
      <c r="A32" s="27"/>
      <c r="B32" s="11" t="str">
        <f>CONCATENATE("          ", "6004", " - ", "STAFF HOURLY")</f>
        <v xml:space="preserve">          6004 - STAFF HOURLY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3">
      <c r="A33" s="27"/>
      <c r="B33" s="11" t="str">
        <f>CONCATENATE("          ", "6005", " - ", "TEMPORARY WAGES-HOURLY")</f>
        <v xml:space="preserve">          6005 - TEMPORARY WAGES-HOURLY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3">
      <c r="A34" s="27"/>
      <c r="B34" s="11" t="str">
        <f>CONCATENATE("          ", "6006", " - ", "TEMPORARY PART TIME")</f>
        <v xml:space="preserve">          6006 - TEMPORARY PART TIME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3">
      <c r="A35" s="27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3">
      <c r="A36" s="27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3">
      <c r="A37" s="27"/>
      <c r="B37" s="11" t="str">
        <f>CONCATENATE("          ", "6009", " - ", "TEMPORARY-SEASONAL")</f>
        <v xml:space="preserve">          6009 - TEMPORARY-SEASONAL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3">
      <c r="A38" s="27"/>
      <c r="B38" s="11" t="str">
        <f>CONCATENATE("          ", "6010", " - ", "GRATUITY")</f>
        <v xml:space="preserve">          6010 - GRATUITY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8" customFormat="1" outlineLevel="1" collapsed="1" x14ac:dyDescent="0.3">
      <c r="A39" s="29"/>
      <c r="B39" s="14" t="str">
        <f>CONCATENATE("     ","General                                           ")</f>
        <v xml:space="preserve">     General                                           </v>
      </c>
      <c r="C39" s="14"/>
      <c r="D39" s="1">
        <f>SUM(OSRRefD22_2x_0)</f>
        <v>326.18</v>
      </c>
      <c r="E39" s="1"/>
      <c r="F39" s="5">
        <f t="shared" ref="F39:F46" si="16">IF(D$12=0,0,D39/D$12)</f>
        <v>0</v>
      </c>
      <c r="G39" s="1"/>
      <c r="H39" s="1">
        <f>SUM(OSRRefH22_2x_0)</f>
        <v>0</v>
      </c>
      <c r="I39" s="1"/>
      <c r="J39" s="5">
        <f t="shared" ref="J39:J46" si="17">IF(H$12=0,0,H39/H$12)</f>
        <v>0</v>
      </c>
      <c r="K39" s="1"/>
      <c r="L39" s="1">
        <f t="shared" ref="L39:L46" si="18">+D39-H39</f>
        <v>326.18</v>
      </c>
      <c r="M39" s="1"/>
      <c r="N39" s="5">
        <f t="shared" ref="N39:N46" si="19">IF(H39=0,0,L39/H39)</f>
        <v>0</v>
      </c>
      <c r="O39" s="14"/>
      <c r="P39" s="1">
        <f>SUM(OSRRefP22_2x_0)</f>
        <v>7816.11</v>
      </c>
      <c r="Q39" s="1"/>
      <c r="R39" s="5">
        <f t="shared" ref="R39:R46" si="20">IF(P$12=0,0,P39/P$12)</f>
        <v>0</v>
      </c>
      <c r="S39" s="1"/>
      <c r="T39" s="1">
        <f>SUM(OSRRefT22_2x_0)</f>
        <v>0</v>
      </c>
      <c r="U39" s="1"/>
      <c r="V39" s="5">
        <f t="shared" ref="V39:V46" si="21">IF(T$12=0,0,T39/T$12)</f>
        <v>0</v>
      </c>
      <c r="W39" s="1"/>
      <c r="X39" s="1">
        <f t="shared" ref="X39:X46" si="22">+P39-T39</f>
        <v>7816.11</v>
      </c>
      <c r="Y39" s="1"/>
      <c r="Z39" s="5">
        <f t="shared" ref="Z39:Z46" si="23">IF(T39=0,0,X39/T39)</f>
        <v>0</v>
      </c>
    </row>
    <row r="40" spans="1:26" s="24" customFormat="1" hidden="1" outlineLevel="2" x14ac:dyDescent="0.3">
      <c r="A40" s="27"/>
      <c r="B40" s="11" t="str">
        <f>CONCATENATE("          ", "6279", " - ", "GENERAL EXPENSE")</f>
        <v xml:space="preserve">          6279 - GENERAL EXPENSE</v>
      </c>
      <c r="C40" s="11"/>
      <c r="D40" s="7">
        <v>326.18</v>
      </c>
      <c r="E40" s="2"/>
      <c r="F40" s="6">
        <f t="shared" si="16"/>
        <v>0</v>
      </c>
      <c r="G40" s="2"/>
      <c r="H40" s="7"/>
      <c r="I40" s="2"/>
      <c r="J40" s="6">
        <f t="shared" si="17"/>
        <v>0</v>
      </c>
      <c r="K40" s="2"/>
      <c r="L40" s="7">
        <f t="shared" si="18"/>
        <v>326.18</v>
      </c>
      <c r="M40" s="2"/>
      <c r="N40" s="6">
        <f t="shared" si="19"/>
        <v>0</v>
      </c>
      <c r="O40" s="11"/>
      <c r="P40" s="7">
        <v>7816.11</v>
      </c>
      <c r="Q40" s="2"/>
      <c r="R40" s="6">
        <f t="shared" si="20"/>
        <v>0</v>
      </c>
      <c r="S40" s="2"/>
      <c r="T40" s="7"/>
      <c r="U40" s="2"/>
      <c r="V40" s="6">
        <f t="shared" si="21"/>
        <v>0</v>
      </c>
      <c r="W40" s="2"/>
      <c r="X40" s="7">
        <f t="shared" si="22"/>
        <v>7816.11</v>
      </c>
      <c r="Y40" s="2"/>
      <c r="Z40" s="6">
        <f t="shared" si="23"/>
        <v>0</v>
      </c>
    </row>
    <row r="41" spans="1:26" s="28" customFormat="1" outlineLevel="1" collapsed="1" x14ac:dyDescent="0.3">
      <c r="A41" s="29"/>
      <c r="B41" s="14" t="str">
        <f>CONCATENATE("     ","Services                                          ")</f>
        <v xml:space="preserve">     Services                                          </v>
      </c>
      <c r="C41" s="14"/>
      <c r="D41" s="1">
        <f>SUM(OSRRefD22_3x_0)</f>
        <v>0</v>
      </c>
      <c r="E41" s="1"/>
      <c r="F41" s="5">
        <f t="shared" si="16"/>
        <v>0</v>
      </c>
      <c r="G41" s="1"/>
      <c r="H41" s="1">
        <f>SUM(OSRRefH22_3x_0)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4"/>
      <c r="P41" s="1">
        <f>SUM(OSRRefP22_3x_0)</f>
        <v>0</v>
      </c>
      <c r="Q41" s="1"/>
      <c r="R41" s="5">
        <f t="shared" si="20"/>
        <v>0</v>
      </c>
      <c r="S41" s="1"/>
      <c r="T41" s="1">
        <f>SUM(OSRRefT22_3x_0)</f>
        <v>0</v>
      </c>
      <c r="U41" s="1"/>
      <c r="V41" s="5">
        <f t="shared" si="21"/>
        <v>0</v>
      </c>
      <c r="W41" s="1"/>
      <c r="X41" s="1">
        <f t="shared" si="22"/>
        <v>0</v>
      </c>
      <c r="Y41" s="1"/>
      <c r="Z41" s="5">
        <f t="shared" si="23"/>
        <v>0</v>
      </c>
    </row>
    <row r="42" spans="1:26" s="24" customFormat="1" hidden="1" outlineLevel="2" x14ac:dyDescent="0.3">
      <c r="A42" s="27"/>
      <c r="B42" s="11" t="str">
        <f>CONCATENATE("          ", "6284", " - ", "TRASH REMOVAL EXPENSE")</f>
        <v xml:space="preserve">          6284 - TRASH REMOVAL EXPENSE</v>
      </c>
      <c r="C42" s="11"/>
      <c r="D42" s="7"/>
      <c r="E42" s="2"/>
      <c r="F42" s="6">
        <f t="shared" si="16"/>
        <v>0</v>
      </c>
      <c r="G42" s="2"/>
      <c r="H42" s="7"/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/>
      <c r="Q42" s="2"/>
      <c r="R42" s="6">
        <f t="shared" si="20"/>
        <v>0</v>
      </c>
      <c r="S42" s="2"/>
      <c r="T42" s="7">
        <v>0</v>
      </c>
      <c r="U42" s="2"/>
      <c r="V42" s="6">
        <f t="shared" si="21"/>
        <v>0</v>
      </c>
      <c r="W42" s="2"/>
      <c r="X42" s="7">
        <f t="shared" si="22"/>
        <v>0</v>
      </c>
      <c r="Y42" s="2"/>
      <c r="Z42" s="6">
        <f t="shared" si="23"/>
        <v>0</v>
      </c>
    </row>
    <row r="43" spans="1:26" s="28" customFormat="1" outlineLevel="1" collapsed="1" x14ac:dyDescent="0.3">
      <c r="A43" s="29"/>
      <c r="B43" s="14" t="str">
        <f>CONCATENATE("     ","Supplies                                          ")</f>
        <v xml:space="preserve">     Supplies                                          </v>
      </c>
      <c r="C43" s="14"/>
      <c r="D43" s="1">
        <f>SUM(OSRRefD22_4x_0)</f>
        <v>28</v>
      </c>
      <c r="E43" s="1"/>
      <c r="F43" s="5">
        <f t="shared" si="16"/>
        <v>0</v>
      </c>
      <c r="G43" s="1"/>
      <c r="H43" s="1">
        <f>SUM(OSRRefH22_4x_0)</f>
        <v>0</v>
      </c>
      <c r="I43" s="1"/>
      <c r="J43" s="5">
        <f t="shared" si="17"/>
        <v>0</v>
      </c>
      <c r="K43" s="1"/>
      <c r="L43" s="1">
        <f t="shared" si="18"/>
        <v>28</v>
      </c>
      <c r="M43" s="1"/>
      <c r="N43" s="5">
        <f t="shared" si="19"/>
        <v>0</v>
      </c>
      <c r="O43" s="14"/>
      <c r="P43" s="1">
        <f>SUM(OSRRefP22_4x_0)</f>
        <v>548.62</v>
      </c>
      <c r="Q43" s="1"/>
      <c r="R43" s="5">
        <f t="shared" si="20"/>
        <v>0</v>
      </c>
      <c r="S43" s="1"/>
      <c r="T43" s="1">
        <f>SUM(OSRRefT22_4x_0)</f>
        <v>0</v>
      </c>
      <c r="U43" s="1"/>
      <c r="V43" s="5">
        <f t="shared" si="21"/>
        <v>0</v>
      </c>
      <c r="W43" s="1"/>
      <c r="X43" s="1">
        <f t="shared" si="22"/>
        <v>548.62</v>
      </c>
      <c r="Y43" s="1"/>
      <c r="Z43" s="5">
        <f t="shared" si="23"/>
        <v>0</v>
      </c>
    </row>
    <row r="44" spans="1:26" s="24" customFormat="1" hidden="1" outlineLevel="2" x14ac:dyDescent="0.3">
      <c r="A44" s="27"/>
      <c r="B44" s="11" t="str">
        <f>CONCATENATE("          ", "6241", " - ", "OFFICE EXPENSE")</f>
        <v xml:space="preserve">          6241 - OFFICE EXPENSE</v>
      </c>
      <c r="C44" s="11"/>
      <c r="D44" s="7">
        <v>28</v>
      </c>
      <c r="E44" s="2"/>
      <c r="F44" s="6">
        <f t="shared" si="16"/>
        <v>0</v>
      </c>
      <c r="G44" s="2"/>
      <c r="H44" s="7"/>
      <c r="I44" s="2"/>
      <c r="J44" s="6">
        <f t="shared" si="17"/>
        <v>0</v>
      </c>
      <c r="K44" s="2"/>
      <c r="L44" s="7">
        <f t="shared" si="18"/>
        <v>28</v>
      </c>
      <c r="M44" s="2"/>
      <c r="N44" s="6">
        <f t="shared" si="19"/>
        <v>0</v>
      </c>
      <c r="O44" s="11"/>
      <c r="P44" s="7">
        <v>548.62</v>
      </c>
      <c r="Q44" s="2"/>
      <c r="R44" s="6">
        <f t="shared" si="20"/>
        <v>0</v>
      </c>
      <c r="S44" s="2"/>
      <c r="T44" s="7"/>
      <c r="U44" s="2"/>
      <c r="V44" s="6">
        <f t="shared" si="21"/>
        <v>0</v>
      </c>
      <c r="W44" s="2"/>
      <c r="X44" s="7">
        <f t="shared" si="22"/>
        <v>548.62</v>
      </c>
      <c r="Y44" s="2"/>
      <c r="Z44" s="6">
        <f t="shared" si="23"/>
        <v>0</v>
      </c>
    </row>
    <row r="45" spans="1:26" s="28" customFormat="1" outlineLevel="1" collapsed="1" x14ac:dyDescent="0.3">
      <c r="A45" s="29"/>
      <c r="B45" s="14" t="str">
        <f>CONCATENATE("     ","Telephone/Data Lines                              ")</f>
        <v xml:space="preserve">     Telephone/Data Lines                              </v>
      </c>
      <c r="C45" s="14"/>
      <c r="D45" s="1">
        <f>SUM(OSRRefD22_5x_0)</f>
        <v>296</v>
      </c>
      <c r="E45" s="1"/>
      <c r="F45" s="5">
        <f t="shared" si="16"/>
        <v>0</v>
      </c>
      <c r="G45" s="1"/>
      <c r="H45" s="1">
        <f>SUM(OSRRefH22_5x_0)</f>
        <v>0</v>
      </c>
      <c r="I45" s="1"/>
      <c r="J45" s="5">
        <f t="shared" si="17"/>
        <v>0</v>
      </c>
      <c r="K45" s="1"/>
      <c r="L45" s="1">
        <f t="shared" si="18"/>
        <v>296</v>
      </c>
      <c r="M45" s="1"/>
      <c r="N45" s="5">
        <f t="shared" si="19"/>
        <v>0</v>
      </c>
      <c r="O45" s="14"/>
      <c r="P45" s="1">
        <f>SUM(OSRRefP22_5x_0)</f>
        <v>409.5</v>
      </c>
      <c r="Q45" s="1"/>
      <c r="R45" s="5">
        <f t="shared" si="20"/>
        <v>0</v>
      </c>
      <c r="S45" s="1"/>
      <c r="T45" s="1">
        <f>SUM(OSRRefT22_5x_0)</f>
        <v>0</v>
      </c>
      <c r="U45" s="1"/>
      <c r="V45" s="5">
        <f t="shared" si="21"/>
        <v>0</v>
      </c>
      <c r="W45" s="1"/>
      <c r="X45" s="1">
        <f t="shared" si="22"/>
        <v>409.5</v>
      </c>
      <c r="Y45" s="1"/>
      <c r="Z45" s="5">
        <f t="shared" si="23"/>
        <v>0</v>
      </c>
    </row>
    <row r="46" spans="1:26" s="24" customFormat="1" hidden="1" outlineLevel="2" x14ac:dyDescent="0.3">
      <c r="A46" s="27"/>
      <c r="B46" s="11" t="str">
        <f>CONCATENATE("          ", "6309", " - ", "TELEPHONE")</f>
        <v xml:space="preserve">          6309 - TELEPHONE</v>
      </c>
      <c r="C46" s="11"/>
      <c r="D46" s="7">
        <v>296</v>
      </c>
      <c r="E46" s="2"/>
      <c r="F46" s="6">
        <f t="shared" si="16"/>
        <v>0</v>
      </c>
      <c r="G46" s="2"/>
      <c r="H46" s="7"/>
      <c r="I46" s="2"/>
      <c r="J46" s="6">
        <f t="shared" si="17"/>
        <v>0</v>
      </c>
      <c r="K46" s="2"/>
      <c r="L46" s="7">
        <f t="shared" si="18"/>
        <v>296</v>
      </c>
      <c r="M46" s="2"/>
      <c r="N46" s="6">
        <f t="shared" si="19"/>
        <v>0</v>
      </c>
      <c r="O46" s="11"/>
      <c r="P46" s="7">
        <v>409.5</v>
      </c>
      <c r="Q46" s="2"/>
      <c r="R46" s="6">
        <f t="shared" si="20"/>
        <v>0</v>
      </c>
      <c r="S46" s="2"/>
      <c r="T46" s="7"/>
      <c r="U46" s="2"/>
      <c r="V46" s="6">
        <f t="shared" si="21"/>
        <v>0</v>
      </c>
      <c r="W46" s="2"/>
      <c r="X46" s="7">
        <f t="shared" si="22"/>
        <v>409.5</v>
      </c>
      <c r="Y46" s="2"/>
      <c r="Z46" s="6">
        <f t="shared" si="23"/>
        <v>0</v>
      </c>
    </row>
    <row r="47" spans="1:26" s="55" customFormat="1" x14ac:dyDescent="0.3">
      <c r="A47" s="36"/>
      <c r="B47" s="36"/>
      <c r="C47" s="36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6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collapsed="1" x14ac:dyDescent="0.3">
      <c r="A48" s="10"/>
      <c r="B48" s="25" t="s">
        <v>293</v>
      </c>
      <c r="C48" s="10"/>
      <c r="D48" s="4">
        <f>SUM(OSRRefD25x_0)</f>
        <v>6236.07</v>
      </c>
      <c r="E48" s="4"/>
      <c r="F48" s="12">
        <f t="shared" ref="F48:F51" si="24">IF(D$12=0,0,D48/D$12)</f>
        <v>0</v>
      </c>
      <c r="G48" s="4"/>
      <c r="H48" s="4">
        <f>SUM(OSRRefH25x_0)</f>
        <v>46218.59</v>
      </c>
      <c r="I48" s="4"/>
      <c r="J48" s="12">
        <f t="shared" ref="J48:J51" si="25">IF(H$12=0,0,H48/H$12)</f>
        <v>0</v>
      </c>
      <c r="K48" s="4"/>
      <c r="L48" s="4">
        <f t="shared" ref="L48:L51" si="26">+D48-H48</f>
        <v>-39982.519999999997</v>
      </c>
      <c r="M48" s="4"/>
      <c r="N48" s="12">
        <f t="shared" ref="N48:N51" si="27">IF(H48=0,0,L48/H48)</f>
        <v>-0.86507442135296642</v>
      </c>
      <c r="O48" s="10"/>
      <c r="P48" s="4">
        <f>SUM(OSRRefP25x_0)</f>
        <v>126028.85</v>
      </c>
      <c r="Q48" s="4"/>
      <c r="R48" s="12">
        <f t="shared" ref="R48:R51" si="28">IF(P$12=0,0,P48/P$12)</f>
        <v>0</v>
      </c>
      <c r="S48" s="4"/>
      <c r="T48" s="4">
        <f>SUM(OSRRefT25x_0)</f>
        <v>47218.59</v>
      </c>
      <c r="U48" s="4"/>
      <c r="V48" s="12">
        <f t="shared" ref="V48:V51" si="29">IF(T$12=0,0,T48/T$12)</f>
        <v>0</v>
      </c>
      <c r="W48" s="4"/>
      <c r="X48" s="4">
        <f t="shared" ref="X48:X51" si="30">+P48-T48</f>
        <v>78810.260000000009</v>
      </c>
      <c r="Y48" s="4"/>
      <c r="Z48" s="12">
        <f t="shared" ref="Z48:Z51" si="31">IF(T48=0,0,X48/T48)</f>
        <v>1.6690515324578734</v>
      </c>
    </row>
    <row r="49" spans="1:26" s="24" customFormat="1" hidden="1" outlineLevel="1" x14ac:dyDescent="0.3">
      <c r="A49" s="44"/>
      <c r="B49" s="11" t="str">
        <f>CONCATENATE("          ", "9150", " - ", "MISC. INCOME")</f>
        <v xml:space="preserve">          9150 - MISC. INCOME</v>
      </c>
      <c r="C49" s="11"/>
      <c r="D49" s="2">
        <f>--6236.07</f>
        <v>6236.07</v>
      </c>
      <c r="E49" s="2"/>
      <c r="F49" s="19">
        <f t="shared" si="24"/>
        <v>0</v>
      </c>
      <c r="G49" s="2"/>
      <c r="H49" s="2"/>
      <c r="I49" s="2"/>
      <c r="J49" s="19">
        <f t="shared" si="25"/>
        <v>0</v>
      </c>
      <c r="K49" s="2"/>
      <c r="L49" s="2">
        <f t="shared" si="26"/>
        <v>6236.07</v>
      </c>
      <c r="M49" s="2"/>
      <c r="N49" s="19">
        <f t="shared" si="27"/>
        <v>0</v>
      </c>
      <c r="O49" s="11"/>
      <c r="P49" s="2">
        <f>--126028.85</f>
        <v>126028.85</v>
      </c>
      <c r="Q49" s="2"/>
      <c r="R49" s="19">
        <f t="shared" si="28"/>
        <v>0</v>
      </c>
      <c r="S49" s="2"/>
      <c r="T49" s="2">
        <v>1000</v>
      </c>
      <c r="U49" s="2"/>
      <c r="V49" s="19">
        <f t="shared" si="29"/>
        <v>0</v>
      </c>
      <c r="W49" s="2"/>
      <c r="X49" s="2">
        <f t="shared" si="30"/>
        <v>125028.85</v>
      </c>
      <c r="Y49" s="2"/>
      <c r="Z49" s="19">
        <f t="shared" si="31"/>
        <v>125.02885000000001</v>
      </c>
    </row>
    <row r="50" spans="1:26" s="24" customFormat="1" hidden="1" outlineLevel="1" x14ac:dyDescent="0.3">
      <c r="A50" s="44"/>
      <c r="B50" s="11" t="str">
        <f>CONCATENATE("          ", "9151", " - ", "MISC. INCOME")</f>
        <v xml:space="preserve">          9151 - MISC. INCOME</v>
      </c>
      <c r="C50" s="11"/>
      <c r="D50" s="2">
        <f t="shared" ref="D50:D51" si="32">0</f>
        <v>0</v>
      </c>
      <c r="E50" s="2"/>
      <c r="F50" s="19">
        <f t="shared" si="24"/>
        <v>0</v>
      </c>
      <c r="G50" s="2"/>
      <c r="H50" s="2">
        <v>16252</v>
      </c>
      <c r="I50" s="2"/>
      <c r="J50" s="19">
        <f t="shared" si="25"/>
        <v>0</v>
      </c>
      <c r="K50" s="2"/>
      <c r="L50" s="2">
        <f t="shared" si="26"/>
        <v>-16252</v>
      </c>
      <c r="M50" s="2"/>
      <c r="N50" s="19">
        <f t="shared" si="27"/>
        <v>-1</v>
      </c>
      <c r="O50" s="11"/>
      <c r="P50" s="2">
        <f t="shared" ref="P50:P51" si="33">0</f>
        <v>0</v>
      </c>
      <c r="Q50" s="2"/>
      <c r="R50" s="19">
        <f t="shared" si="28"/>
        <v>0</v>
      </c>
      <c r="S50" s="2"/>
      <c r="T50" s="2">
        <v>16252</v>
      </c>
      <c r="U50" s="2"/>
      <c r="V50" s="19">
        <f t="shared" si="29"/>
        <v>0</v>
      </c>
      <c r="W50" s="2"/>
      <c r="X50" s="2">
        <f t="shared" si="30"/>
        <v>-16252</v>
      </c>
      <c r="Y50" s="2"/>
      <c r="Z50" s="19">
        <f t="shared" si="31"/>
        <v>-1</v>
      </c>
    </row>
    <row r="51" spans="1:26" s="24" customFormat="1" hidden="1" outlineLevel="1" x14ac:dyDescent="0.3">
      <c r="A51" s="44"/>
      <c r="B51" s="11" t="str">
        <f>CONCATENATE("          ", "9160", " - ", "MISC. INCOME")</f>
        <v xml:space="preserve">          9160 - MISC. INCOME</v>
      </c>
      <c r="C51" s="11"/>
      <c r="D51" s="2">
        <f t="shared" si="32"/>
        <v>0</v>
      </c>
      <c r="E51" s="2"/>
      <c r="F51" s="19">
        <f t="shared" si="24"/>
        <v>0</v>
      </c>
      <c r="G51" s="2"/>
      <c r="H51" s="2">
        <v>29966.59</v>
      </c>
      <c r="I51" s="2"/>
      <c r="J51" s="19">
        <f t="shared" si="25"/>
        <v>0</v>
      </c>
      <c r="K51" s="2"/>
      <c r="L51" s="2">
        <f t="shared" si="26"/>
        <v>-29966.59</v>
      </c>
      <c r="M51" s="2"/>
      <c r="N51" s="19">
        <f t="shared" si="27"/>
        <v>-1</v>
      </c>
      <c r="O51" s="11"/>
      <c r="P51" s="2">
        <f t="shared" si="33"/>
        <v>0</v>
      </c>
      <c r="Q51" s="2"/>
      <c r="R51" s="19">
        <f t="shared" si="28"/>
        <v>0</v>
      </c>
      <c r="S51" s="2"/>
      <c r="T51" s="2">
        <v>29966.59</v>
      </c>
      <c r="U51" s="2"/>
      <c r="V51" s="19">
        <f t="shared" si="29"/>
        <v>0</v>
      </c>
      <c r="W51" s="2"/>
      <c r="X51" s="2">
        <f t="shared" si="30"/>
        <v>-29966.59</v>
      </c>
      <c r="Y51" s="2"/>
      <c r="Z51" s="19">
        <f t="shared" si="31"/>
        <v>-1</v>
      </c>
    </row>
    <row r="52" spans="1:26" x14ac:dyDescent="0.3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3">
      <c r="A53" s="10"/>
      <c r="B53" s="26" t="s">
        <v>277</v>
      </c>
      <c r="C53" s="26"/>
      <c r="D53" s="21">
        <f>+D16-D18+D48</f>
        <v>5585.8899999999994</v>
      </c>
      <c r="E53" s="13"/>
      <c r="F53" s="22">
        <f>IF(D$12=0,0,D53/D$12)</f>
        <v>0</v>
      </c>
      <c r="G53" s="13"/>
      <c r="H53" s="21">
        <f>+H16-H18+H48</f>
        <v>46218.59</v>
      </c>
      <c r="I53" s="13"/>
      <c r="J53" s="22">
        <f>IF(H$12=0,0,H53/H$12)</f>
        <v>0</v>
      </c>
      <c r="K53" s="15"/>
      <c r="L53" s="21">
        <f>+D53-H53</f>
        <v>-40632.699999999997</v>
      </c>
      <c r="M53" s="15"/>
      <c r="N53" s="22">
        <f>IF(H53=0,0,L53/H53)</f>
        <v>-0.87914192103220801</v>
      </c>
      <c r="O53" s="25"/>
      <c r="P53" s="21">
        <f>+P16-P18+P48</f>
        <v>117254.62000000001</v>
      </c>
      <c r="Q53" s="13"/>
      <c r="R53" s="22">
        <f>IF(P$12=0,0,P53/P$12)</f>
        <v>0</v>
      </c>
      <c r="S53" s="13"/>
      <c r="T53" s="21">
        <f>+T16-T18+T48</f>
        <v>47218.59</v>
      </c>
      <c r="U53" s="13"/>
      <c r="V53" s="22">
        <f>IF(T$12=0,0,T53/T$12)</f>
        <v>0</v>
      </c>
      <c r="W53" s="15"/>
      <c r="X53" s="21">
        <f>+P53-T53</f>
        <v>70036.030000000013</v>
      </c>
      <c r="Y53" s="15"/>
      <c r="Z53" s="22">
        <f>IF(T53=0,0,X53/T53)</f>
        <v>1.483230015974641</v>
      </c>
    </row>
    <row r="54" spans="1:26" x14ac:dyDescent="0.3">
      <c r="A54" s="9"/>
      <c r="B54" s="10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3">
      <c r="A55" s="52"/>
      <c r="B55" s="10" t="s">
        <v>128</v>
      </c>
      <c r="C55" s="10"/>
      <c r="D55" s="4"/>
      <c r="E55" s="4"/>
      <c r="F55" s="12">
        <f>IF(D$12=0,0,D55/D$12)</f>
        <v>0</v>
      </c>
      <c r="G55" s="4"/>
      <c r="H55" s="4"/>
      <c r="I55" s="4"/>
      <c r="J55" s="12">
        <f>IF(H$12=0,0,H55/H$12)</f>
        <v>0</v>
      </c>
      <c r="K55" s="4"/>
      <c r="L55" s="4">
        <f>+D55-H55</f>
        <v>0</v>
      </c>
      <c r="M55" s="4"/>
      <c r="N55" s="12">
        <f>IF(H55=0,0,L55/H55)</f>
        <v>0</v>
      </c>
      <c r="O55" s="10"/>
      <c r="P55" s="4"/>
      <c r="Q55" s="4"/>
      <c r="R55" s="12">
        <f>IF(P$12=0,0,P55/P$12)</f>
        <v>0</v>
      </c>
      <c r="S55" s="4"/>
      <c r="T55" s="4"/>
      <c r="U55" s="4"/>
      <c r="V55" s="12">
        <f>IF(T$12=0,0,T55/T$12)</f>
        <v>0</v>
      </c>
      <c r="W55" s="4"/>
      <c r="X55" s="4">
        <f>+P55-T55</f>
        <v>0</v>
      </c>
      <c r="Y55" s="4"/>
      <c r="Z55" s="12">
        <f>IF(T55=0,0,X55/T55)</f>
        <v>0</v>
      </c>
    </row>
    <row r="56" spans="1:26" x14ac:dyDescent="0.3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" thickBot="1" x14ac:dyDescent="0.35">
      <c r="A57" s="10"/>
      <c r="B57" s="26" t="s">
        <v>126</v>
      </c>
      <c r="C57" s="26"/>
      <c r="D57" s="32">
        <f>+D53-D55</f>
        <v>5585.8899999999994</v>
      </c>
      <c r="E57" s="13"/>
      <c r="F57" s="31">
        <f>IF(D$12=0,0,D57/D$12)</f>
        <v>0</v>
      </c>
      <c r="G57" s="13"/>
      <c r="H57" s="32">
        <f>+H53-H55</f>
        <v>46218.59</v>
      </c>
      <c r="I57" s="13"/>
      <c r="J57" s="31">
        <f>IF(H$12=0,0,H57/H$12)</f>
        <v>0</v>
      </c>
      <c r="K57" s="15"/>
      <c r="L57" s="32">
        <f>D57-H57</f>
        <v>-40632.699999999997</v>
      </c>
      <c r="M57" s="15"/>
      <c r="N57" s="31">
        <f>IF(H57=0,0,L57/H57)</f>
        <v>-0.87914192103220801</v>
      </c>
      <c r="O57" s="25"/>
      <c r="P57" s="32">
        <f>+P53-P55</f>
        <v>117254.62000000001</v>
      </c>
      <c r="Q57" s="13"/>
      <c r="R57" s="31">
        <f>IF(P$12=0,0,P57/P$12)</f>
        <v>0</v>
      </c>
      <c r="S57" s="13"/>
      <c r="T57" s="32">
        <f>+T53-T55</f>
        <v>47218.59</v>
      </c>
      <c r="U57" s="13"/>
      <c r="V57" s="31">
        <f>IF(T$12=0,0,T57/T$12)</f>
        <v>0</v>
      </c>
      <c r="W57" s="15"/>
      <c r="X57" s="32">
        <f>P57-T57</f>
        <v>70036.030000000013</v>
      </c>
      <c r="Y57" s="15"/>
      <c r="Z57" s="31">
        <f>IF(T57=0,0,X57/T57)</f>
        <v>1.483230015974641</v>
      </c>
    </row>
    <row r="58" spans="1:26" ht="15" thickTop="1" x14ac:dyDescent="0.3">
      <c r="A58" s="9"/>
      <c r="B58" s="9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x14ac:dyDescent="0.3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" thickBot="1" x14ac:dyDescent="0.35">
      <c r="A60" s="10"/>
      <c r="B60" s="26" t="s">
        <v>294</v>
      </c>
      <c r="C60" s="26"/>
      <c r="D60" s="34">
        <f>SUM(D57:D59)</f>
        <v>5585.8899999999994</v>
      </c>
      <c r="E60" s="13"/>
      <c r="F60" s="35">
        <f>IF(D$12=0,0,D60/D$12)</f>
        <v>0</v>
      </c>
      <c r="G60" s="13"/>
      <c r="H60" s="34">
        <f>SUM(H57:H59)</f>
        <v>46218.59</v>
      </c>
      <c r="I60" s="13"/>
      <c r="J60" s="35">
        <f>IF(H$12=0,0,H60/H$12)</f>
        <v>0</v>
      </c>
      <c r="K60" s="15"/>
      <c r="L60" s="34">
        <f>+D60-H60</f>
        <v>-40632.699999999997</v>
      </c>
      <c r="M60" s="15"/>
      <c r="N60" s="35">
        <f>IF(H60=0,0,L60/H60)</f>
        <v>-0.87914192103220801</v>
      </c>
      <c r="O60" s="25"/>
      <c r="P60" s="34">
        <f>SUM(P57:P59)</f>
        <v>117254.62000000001</v>
      </c>
      <c r="Q60" s="13"/>
      <c r="R60" s="35">
        <f>IF(P$12=0,0,P60/P$12)</f>
        <v>0</v>
      </c>
      <c r="S60" s="13"/>
      <c r="T60" s="34">
        <f>SUM(T57:T59)</f>
        <v>47218.59</v>
      </c>
      <c r="U60" s="13"/>
      <c r="V60" s="35">
        <f>IF(T$12=0,0,T60/T$12)</f>
        <v>0</v>
      </c>
      <c r="W60" s="15"/>
      <c r="X60" s="34">
        <f>+P60-T60</f>
        <v>70036.030000000013</v>
      </c>
      <c r="Y60" s="15"/>
      <c r="Z60" s="35">
        <f>IF(T60=0,0,X60/T60)</f>
        <v>1.483230015974641</v>
      </c>
    </row>
    <row r="61" spans="1:26" ht="15" thickTop="1" x14ac:dyDescent="0.3">
      <c r="A61" s="9"/>
      <c r="C61" s="9"/>
      <c r="D61" s="17"/>
      <c r="E61" s="17"/>
      <c r="G61" s="17"/>
      <c r="H61" s="17"/>
      <c r="I61" s="17"/>
      <c r="J61" s="43"/>
      <c r="K61" s="17"/>
      <c r="L61" s="17"/>
      <c r="M61" s="17"/>
      <c r="P61" s="17"/>
      <c r="Q61" s="17"/>
      <c r="R61" s="43"/>
      <c r="S61" s="17"/>
      <c r="T61" s="17"/>
      <c r="U61" s="17"/>
      <c r="V61" s="43"/>
      <c r="W61" s="17"/>
      <c r="X61" s="17"/>
    </row>
    <row r="62" spans="1:26" x14ac:dyDescent="0.3">
      <c r="A62" s="9"/>
      <c r="B62" s="53">
        <v>44604.019995405091</v>
      </c>
      <c r="D62" s="17"/>
      <c r="E62" s="17"/>
      <c r="G62" s="17"/>
      <c r="H62" s="17"/>
      <c r="I62" s="17"/>
      <c r="J62" s="43"/>
      <c r="K62" s="17"/>
      <c r="L62" s="17"/>
      <c r="M62" s="17"/>
      <c r="P62" s="17"/>
      <c r="Q62" s="17"/>
      <c r="R62" s="43"/>
      <c r="S62" s="17"/>
      <c r="T62" s="17"/>
      <c r="U62" s="17"/>
      <c r="V62" s="43"/>
      <c r="W62" s="17"/>
      <c r="X62" s="17"/>
    </row>
    <row r="63" spans="1:26" x14ac:dyDescent="0.3">
      <c r="A63" s="9"/>
      <c r="B63" s="63" t="s">
        <v>56</v>
      </c>
      <c r="D63" s="17"/>
      <c r="E63" s="17"/>
      <c r="G63" s="17"/>
      <c r="H63" s="17"/>
      <c r="I63" s="17"/>
      <c r="J63" s="43"/>
      <c r="K63" s="17"/>
      <c r="L63" s="17"/>
      <c r="M63" s="17"/>
      <c r="P63" s="17"/>
      <c r="Q63" s="17"/>
      <c r="R63" s="43"/>
      <c r="S63" s="17"/>
      <c r="T63" s="17"/>
      <c r="U63" s="17"/>
      <c r="V63" s="43"/>
      <c r="W63" s="17"/>
      <c r="X63" s="17"/>
    </row>
    <row r="64" spans="1:26" x14ac:dyDescent="0.3">
      <c r="A64" s="9"/>
      <c r="B64" s="58"/>
      <c r="D64" s="17"/>
      <c r="E64" s="17"/>
      <c r="G64" s="17"/>
      <c r="H64" s="17"/>
      <c r="I64" s="17"/>
      <c r="J64" s="43"/>
      <c r="K64" s="17"/>
      <c r="L64" s="17"/>
      <c r="M64" s="17"/>
      <c r="P64" s="17"/>
      <c r="Q64" s="17"/>
      <c r="R64" s="43"/>
      <c r="S64" s="17"/>
      <c r="T64" s="17"/>
      <c r="U64" s="17"/>
      <c r="V64" s="43"/>
      <c r="W64" s="17"/>
      <c r="X64" s="17"/>
    </row>
    <row r="65" spans="4:24" x14ac:dyDescent="0.3">
      <c r="D65" s="17"/>
      <c r="E65" s="17"/>
      <c r="G65" s="17"/>
      <c r="H65" s="17"/>
      <c r="I65" s="17"/>
      <c r="J65" s="43"/>
      <c r="K65" s="17"/>
      <c r="L65" s="17"/>
      <c r="M65" s="17"/>
      <c r="P65" s="17"/>
      <c r="Q65" s="17"/>
      <c r="R65" s="43"/>
      <c r="S65" s="17"/>
      <c r="T65" s="17"/>
      <c r="U65" s="17"/>
      <c r="V65" s="43"/>
      <c r="W65" s="17"/>
      <c r="X65" s="17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92D050"/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","424", " - ", "Blair Field")</f>
        <v>Department 424 - Blair Field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479.29</v>
      </c>
      <c r="E18" s="20"/>
      <c r="F18" s="33">
        <f t="shared" ref="F18:F24" si="0">IF(D$12=0,0,D18/D$12)</f>
        <v>0</v>
      </c>
      <c r="G18" s="20"/>
      <c r="H18" s="20">
        <f>SUM(OSRRefH22x_0)</f>
        <v>479</v>
      </c>
      <c r="I18" s="20"/>
      <c r="J18" s="33">
        <f t="shared" ref="J18:J24" si="1">IF(H$12=0,0,H18/H$12)</f>
        <v>0</v>
      </c>
      <c r="K18" s="4"/>
      <c r="L18" s="20">
        <f t="shared" ref="L18:L24" si="2">+D18-H18</f>
        <v>0.29000000000002046</v>
      </c>
      <c r="M18" s="4"/>
      <c r="N18" s="33">
        <f t="shared" ref="N18:N24" si="3">IF(H18=0,0,L18/H18)</f>
        <v>6.054279749478506E-4</v>
      </c>
      <c r="O18" s="10"/>
      <c r="P18" s="20">
        <f>SUM(OSRRefP22x_0)</f>
        <v>3359.03</v>
      </c>
      <c r="Q18" s="20"/>
      <c r="R18" s="33">
        <f t="shared" ref="R18:R24" si="4">IF(P$12=0,0,P18/P$12)</f>
        <v>0</v>
      </c>
      <c r="S18" s="20"/>
      <c r="T18" s="20">
        <f>SUM(OSRRefT22x_0)</f>
        <v>3353</v>
      </c>
      <c r="U18" s="20"/>
      <c r="V18" s="33">
        <f t="shared" ref="V18:V24" si="5">IF(T$12=0,0,T18/T$12)</f>
        <v>0</v>
      </c>
      <c r="W18" s="4"/>
      <c r="X18" s="20">
        <f t="shared" ref="X18:X24" si="6">+P18-T18</f>
        <v>6.0300000000002001</v>
      </c>
      <c r="Y18" s="4"/>
      <c r="Z18" s="33">
        <f t="shared" ref="Z18:Z24" si="7">IF(T18=0,0,X18/T18)</f>
        <v>1.7983895019386222E-3</v>
      </c>
    </row>
    <row r="19" spans="1:26" s="28" customFormat="1" outlineLevel="1" collapsed="1" x14ac:dyDescent="0.3">
      <c r="A19" s="29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479.29</v>
      </c>
      <c r="E19" s="1"/>
      <c r="F19" s="5">
        <f t="shared" si="0"/>
        <v>0</v>
      </c>
      <c r="G19" s="1"/>
      <c r="H19" s="1">
        <f>SUM(OSRRefH22_0x_0)</f>
        <v>479</v>
      </c>
      <c r="I19" s="1"/>
      <c r="J19" s="5">
        <f t="shared" si="1"/>
        <v>0</v>
      </c>
      <c r="K19" s="1"/>
      <c r="L19" s="1">
        <f t="shared" si="2"/>
        <v>0.29000000000002046</v>
      </c>
      <c r="M19" s="1"/>
      <c r="N19" s="5">
        <f t="shared" si="3"/>
        <v>6.054279749478506E-4</v>
      </c>
      <c r="O19" s="14"/>
      <c r="P19" s="1">
        <f>SUM(OSRRefP22_0x_0)</f>
        <v>3355.03</v>
      </c>
      <c r="Q19" s="1"/>
      <c r="R19" s="5">
        <f t="shared" si="4"/>
        <v>0</v>
      </c>
      <c r="S19" s="1"/>
      <c r="T19" s="1">
        <f>SUM(OSRRefT22_0x_0)</f>
        <v>3353</v>
      </c>
      <c r="U19" s="1"/>
      <c r="V19" s="5">
        <f t="shared" si="5"/>
        <v>0</v>
      </c>
      <c r="W19" s="1"/>
      <c r="X19" s="1">
        <f t="shared" si="6"/>
        <v>2.0300000000002001</v>
      </c>
      <c r="Y19" s="1"/>
      <c r="Z19" s="5">
        <f t="shared" si="7"/>
        <v>6.0542797494786763E-4</v>
      </c>
    </row>
    <row r="20" spans="1:26" s="24" customFormat="1" hidden="1" outlineLevel="2" x14ac:dyDescent="0.3">
      <c r="A20" s="27"/>
      <c r="B20" s="11" t="str">
        <f>CONCATENATE("          ", "6322", " - ", "EQUIPMENT DEPRECIATION EXPENSE")</f>
        <v xml:space="preserve">          6322 - EQUIPMENT DEPRECIATION EXPENSE</v>
      </c>
      <c r="C20" s="11"/>
      <c r="D20" s="7">
        <v>479.29</v>
      </c>
      <c r="E20" s="2"/>
      <c r="F20" s="6">
        <f t="shared" si="0"/>
        <v>0</v>
      </c>
      <c r="G20" s="2"/>
      <c r="H20" s="7">
        <v>479</v>
      </c>
      <c r="I20" s="2"/>
      <c r="J20" s="6">
        <f t="shared" si="1"/>
        <v>0</v>
      </c>
      <c r="K20" s="2"/>
      <c r="L20" s="7">
        <f t="shared" si="2"/>
        <v>0.29000000000002046</v>
      </c>
      <c r="M20" s="2"/>
      <c r="N20" s="6">
        <f t="shared" si="3"/>
        <v>6.054279749478506E-4</v>
      </c>
      <c r="O20" s="11"/>
      <c r="P20" s="7">
        <v>3355.03</v>
      </c>
      <c r="Q20" s="2"/>
      <c r="R20" s="6">
        <f t="shared" si="4"/>
        <v>0</v>
      </c>
      <c r="S20" s="2"/>
      <c r="T20" s="7">
        <v>3353</v>
      </c>
      <c r="U20" s="2"/>
      <c r="V20" s="6">
        <f t="shared" si="5"/>
        <v>0</v>
      </c>
      <c r="W20" s="2"/>
      <c r="X20" s="7">
        <f t="shared" si="6"/>
        <v>2.0300000000002001</v>
      </c>
      <c r="Y20" s="2"/>
      <c r="Z20" s="6">
        <f t="shared" si="7"/>
        <v>6.0542797494786763E-4</v>
      </c>
    </row>
    <row r="21" spans="1:26" s="28" customFormat="1" outlineLevel="1" collapsed="1" x14ac:dyDescent="0.3">
      <c r="A21" s="29"/>
      <c r="B21" s="14" t="str">
        <f>CONCATENATE("     ","General                                           ")</f>
        <v xml:space="preserve">     General     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4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4</v>
      </c>
      <c r="Y21" s="1"/>
      <c r="Z21" s="5">
        <f t="shared" si="7"/>
        <v>0</v>
      </c>
    </row>
    <row r="22" spans="1:26" s="24" customFormat="1" hidden="1" outlineLevel="2" x14ac:dyDescent="0.3">
      <c r="A22" s="27"/>
      <c r="B22" s="11" t="str">
        <f>CONCATENATE("          ", "6279", " - ", "GENERAL EXPENSE")</f>
        <v xml:space="preserve">          6279 - GENERAL EXPENSE</v>
      </c>
      <c r="C22" s="11"/>
      <c r="D22" s="7"/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>
        <v>4</v>
      </c>
      <c r="Q22" s="2"/>
      <c r="R22" s="6">
        <f t="shared" si="4"/>
        <v>0</v>
      </c>
      <c r="S22" s="2"/>
      <c r="T22" s="7"/>
      <c r="U22" s="2"/>
      <c r="V22" s="6">
        <f t="shared" si="5"/>
        <v>0</v>
      </c>
      <c r="W22" s="2"/>
      <c r="X22" s="7">
        <f t="shared" si="6"/>
        <v>4</v>
      </c>
      <c r="Y22" s="2"/>
      <c r="Z22" s="6">
        <f t="shared" si="7"/>
        <v>0</v>
      </c>
    </row>
    <row r="23" spans="1:26" s="28" customFormat="1" outlineLevel="1" collapsed="1" x14ac:dyDescent="0.3">
      <c r="A23" s="29"/>
      <c r="B23" s="14" t="str">
        <f>CONCATENATE("     ","Services                                          ")</f>
        <v xml:space="preserve">     Services            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0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0</v>
      </c>
      <c r="Y23" s="1"/>
      <c r="Z23" s="5">
        <f t="shared" si="7"/>
        <v>0</v>
      </c>
    </row>
    <row r="24" spans="1:26" s="24" customFormat="1" hidden="1" outlineLevel="2" x14ac:dyDescent="0.3">
      <c r="A24" s="27"/>
      <c r="B24" s="11" t="str">
        <f>CONCATENATE("          ", "6284", " - ", "TRASH REMOVAL EXPENSE")</f>
        <v xml:space="preserve">          6284 - TRASH REMOVAL EXPENSE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/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0</v>
      </c>
      <c r="Y24" s="2"/>
      <c r="Z24" s="6">
        <f t="shared" si="7"/>
        <v>0</v>
      </c>
    </row>
    <row r="25" spans="1:26" s="55" customFormat="1" x14ac:dyDescent="0.3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3">
      <c r="A26" s="10"/>
      <c r="B26" s="25" t="s">
        <v>293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3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10"/>
      <c r="B28" s="26" t="s">
        <v>277</v>
      </c>
      <c r="C28" s="26"/>
      <c r="D28" s="21">
        <f>+D16-D18+D26</f>
        <v>-479.29</v>
      </c>
      <c r="E28" s="13"/>
      <c r="F28" s="22">
        <f>IF(D$12=0,0,D28/D$12)</f>
        <v>0</v>
      </c>
      <c r="G28" s="13"/>
      <c r="H28" s="21">
        <f>+H16-H18+H26</f>
        <v>-479</v>
      </c>
      <c r="I28" s="13"/>
      <c r="J28" s="22">
        <f>IF(H$12=0,0,H28/H$12)</f>
        <v>0</v>
      </c>
      <c r="K28" s="15"/>
      <c r="L28" s="21">
        <f>+D28-H28</f>
        <v>-0.29000000000002046</v>
      </c>
      <c r="M28" s="15"/>
      <c r="N28" s="22">
        <f>IF(H28=0,0,L28/H28)</f>
        <v>6.054279749478506E-4</v>
      </c>
      <c r="O28" s="25"/>
      <c r="P28" s="21">
        <f>+P16-P18+P26</f>
        <v>-3359.03</v>
      </c>
      <c r="Q28" s="13"/>
      <c r="R28" s="22">
        <f>IF(P$12=0,0,P28/P$12)</f>
        <v>0</v>
      </c>
      <c r="S28" s="13"/>
      <c r="T28" s="21">
        <f>+T16-T18+T26</f>
        <v>-3353</v>
      </c>
      <c r="U28" s="13"/>
      <c r="V28" s="22">
        <f>IF(T$12=0,0,T28/T$12)</f>
        <v>0</v>
      </c>
      <c r="W28" s="15"/>
      <c r="X28" s="21">
        <f>+P28-T28</f>
        <v>-6.0300000000002001</v>
      </c>
      <c r="Y28" s="15"/>
      <c r="Z28" s="22">
        <f>IF(T28=0,0,X28/T28)</f>
        <v>1.7983895019386222E-3</v>
      </c>
    </row>
    <row r="29" spans="1:26" x14ac:dyDescent="0.3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52"/>
      <c r="B30" s="10" t="s">
        <v>128</v>
      </c>
      <c r="C30" s="10"/>
      <c r="D30" s="4"/>
      <c r="E30" s="4"/>
      <c r="F30" s="12">
        <f>IF(D$12=0,0,D30/D$12)</f>
        <v>0</v>
      </c>
      <c r="G30" s="4"/>
      <c r="H30" s="4"/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/>
      <c r="Q30" s="4"/>
      <c r="R30" s="12">
        <f>IF(P$12=0,0,P30/P$12)</f>
        <v>0</v>
      </c>
      <c r="S30" s="4"/>
      <c r="T30" s="4"/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3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" thickBot="1" x14ac:dyDescent="0.35">
      <c r="A32" s="10"/>
      <c r="B32" s="26" t="s">
        <v>126</v>
      </c>
      <c r="C32" s="26"/>
      <c r="D32" s="32">
        <f>+D28-D30</f>
        <v>-479.29</v>
      </c>
      <c r="E32" s="13"/>
      <c r="F32" s="31">
        <f>IF(D$12=0,0,D32/D$12)</f>
        <v>0</v>
      </c>
      <c r="G32" s="13"/>
      <c r="H32" s="32">
        <f>+H28-H30</f>
        <v>-479</v>
      </c>
      <c r="I32" s="13"/>
      <c r="J32" s="31">
        <f>IF(H$12=0,0,H32/H$12)</f>
        <v>0</v>
      </c>
      <c r="K32" s="15"/>
      <c r="L32" s="32">
        <f>D32-H32</f>
        <v>-0.29000000000002046</v>
      </c>
      <c r="M32" s="15"/>
      <c r="N32" s="31">
        <f>IF(H32=0,0,L32/H32)</f>
        <v>6.054279749478506E-4</v>
      </c>
      <c r="O32" s="25"/>
      <c r="P32" s="32">
        <f>+P28-P30</f>
        <v>-3359.03</v>
      </c>
      <c r="Q32" s="13"/>
      <c r="R32" s="31">
        <f>IF(P$12=0,0,P32/P$12)</f>
        <v>0</v>
      </c>
      <c r="S32" s="13"/>
      <c r="T32" s="32">
        <f>+T28-T30</f>
        <v>-3353</v>
      </c>
      <c r="U32" s="13"/>
      <c r="V32" s="31">
        <f>IF(T$12=0,0,T32/T$12)</f>
        <v>0</v>
      </c>
      <c r="W32" s="15"/>
      <c r="X32" s="32">
        <f>P32-T32</f>
        <v>-6.0300000000002001</v>
      </c>
      <c r="Y32" s="15"/>
      <c r="Z32" s="31">
        <f>IF(T32=0,0,X32/T32)</f>
        <v>1.7983895019386222E-3</v>
      </c>
    </row>
    <row r="33" spans="1:26" ht="15" thickTop="1" x14ac:dyDescent="0.3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3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" thickBot="1" x14ac:dyDescent="0.35">
      <c r="A35" s="10"/>
      <c r="B35" s="26" t="s">
        <v>294</v>
      </c>
      <c r="C35" s="26"/>
      <c r="D35" s="34">
        <f>SUM(D32:D34)</f>
        <v>-479.29</v>
      </c>
      <c r="E35" s="13"/>
      <c r="F35" s="35">
        <f>IF(D$12=0,0,D35/D$12)</f>
        <v>0</v>
      </c>
      <c r="G35" s="13"/>
      <c r="H35" s="34">
        <f>SUM(H32:H34)</f>
        <v>-479</v>
      </c>
      <c r="I35" s="13"/>
      <c r="J35" s="35">
        <f>IF(H$12=0,0,H35/H$12)</f>
        <v>0</v>
      </c>
      <c r="K35" s="15"/>
      <c r="L35" s="34">
        <f>+D35-H35</f>
        <v>-0.29000000000002046</v>
      </c>
      <c r="M35" s="15"/>
      <c r="N35" s="35">
        <f>IF(H35=0,0,L35/H35)</f>
        <v>6.054279749478506E-4</v>
      </c>
      <c r="O35" s="25"/>
      <c r="P35" s="34">
        <f>SUM(P32:P34)</f>
        <v>-3359.03</v>
      </c>
      <c r="Q35" s="13"/>
      <c r="R35" s="35">
        <f>IF(P$12=0,0,P35/P$12)</f>
        <v>0</v>
      </c>
      <c r="S35" s="13"/>
      <c r="T35" s="34">
        <f>SUM(T32:T34)</f>
        <v>-3353</v>
      </c>
      <c r="U35" s="13"/>
      <c r="V35" s="35">
        <f>IF(T$12=0,0,T35/T$12)</f>
        <v>0</v>
      </c>
      <c r="W35" s="15"/>
      <c r="X35" s="34">
        <f>+P35-T35</f>
        <v>-6.0300000000002001</v>
      </c>
      <c r="Y35" s="15"/>
      <c r="Z35" s="35">
        <f>IF(T35=0,0,X35/T35)</f>
        <v>1.7983895019386222E-3</v>
      </c>
    </row>
    <row r="36" spans="1:26" ht="15" thickTop="1" x14ac:dyDescent="0.3">
      <c r="A36" s="9"/>
      <c r="C36" s="9"/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  <row r="37" spans="1:26" x14ac:dyDescent="0.3">
      <c r="A37" s="9"/>
      <c r="B37" s="53">
        <v>44604.019995405091</v>
      </c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63" t="s">
        <v>56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/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92D050"/>
    <outlinePr summaryBelow="0" summaryRight="0"/>
  </sheetPr>
  <dimension ref="A2:Z4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","425", " - ", "Events Center")</f>
        <v>Department 425 - Events Center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1412.89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1412.89</v>
      </c>
      <c r="M12" s="4"/>
      <c r="N12" s="12">
        <f t="shared" ref="N12:N13" si="1">IF(H12=0,0,L12/H12)</f>
        <v>0</v>
      </c>
      <c r="O12" s="10"/>
      <c r="P12" s="4">
        <f>SUM(OSRRefP13x_0)</f>
        <v>8792.4699999999993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8792.4699999999993</v>
      </c>
      <c r="Y12" s="4"/>
      <c r="Z12" s="12">
        <f t="shared" ref="Z12:Z13" si="3">IF(T12=0,0,X12/T12)</f>
        <v>0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--1412.89</f>
        <v>1412.89</v>
      </c>
      <c r="E13" s="2"/>
      <c r="F13" s="19"/>
      <c r="G13" s="2"/>
      <c r="H13" s="2"/>
      <c r="I13" s="2"/>
      <c r="J13" s="19"/>
      <c r="K13" s="2"/>
      <c r="L13" s="2">
        <f t="shared" si="0"/>
        <v>1412.89</v>
      </c>
      <c r="M13" s="2"/>
      <c r="N13" s="19">
        <f t="shared" si="1"/>
        <v>0</v>
      </c>
      <c r="O13" s="11"/>
      <c r="P13" s="2">
        <f>--8792.47</f>
        <v>8792.4699999999993</v>
      </c>
      <c r="Q13" s="2"/>
      <c r="R13" s="19"/>
      <c r="S13" s="2"/>
      <c r="T13" s="2"/>
      <c r="U13" s="2"/>
      <c r="V13" s="19"/>
      <c r="W13" s="2"/>
      <c r="X13" s="2">
        <f t="shared" si="2"/>
        <v>8792.4699999999993</v>
      </c>
      <c r="Y13" s="2"/>
      <c r="Z13" s="19">
        <f t="shared" si="3"/>
        <v>0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SUM(OSRRefP16x_0)</f>
        <v>7039.77</v>
      </c>
      <c r="Q15" s="4"/>
      <c r="R15" s="12">
        <f t="shared" ref="R15:R16" si="8">IF(P$12=0,0,P15/P$12)</f>
        <v>0.80065897296209154</v>
      </c>
      <c r="S15" s="4"/>
      <c r="T15" s="4">
        <f>SUM(OSRRefT16x_0)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7039.77</v>
      </c>
      <c r="Y15" s="4"/>
      <c r="Z15" s="12">
        <f t="shared" ref="Z15:Z16" si="11">IF(T15=0,0,X15/T15)</f>
        <v>0</v>
      </c>
    </row>
    <row r="16" spans="1:26" s="24" customFormat="1" hidden="1" outlineLevel="1" x14ac:dyDescent="0.3">
      <c r="A16" s="44"/>
      <c r="B16" s="11" t="str">
        <f>CONCATENATE("          ", "5053", " - ", "PURCHASES @ COST-FOOD")</f>
        <v xml:space="preserve">          5053 - PURCHASES @ COST-FOOD</v>
      </c>
      <c r="C16" s="11"/>
      <c r="D16" s="2"/>
      <c r="E16" s="2"/>
      <c r="F16" s="19">
        <f t="shared" si="4"/>
        <v>0</v>
      </c>
      <c r="G16" s="2"/>
      <c r="H16" s="2"/>
      <c r="I16" s="2"/>
      <c r="J16" s="19">
        <f t="shared" si="5"/>
        <v>0</v>
      </c>
      <c r="K16" s="2"/>
      <c r="L16" s="2">
        <f t="shared" si="6"/>
        <v>0</v>
      </c>
      <c r="M16" s="2"/>
      <c r="N16" s="19">
        <f t="shared" si="7"/>
        <v>0</v>
      </c>
      <c r="O16" s="11"/>
      <c r="P16" s="2">
        <v>7039.77</v>
      </c>
      <c r="Q16" s="2"/>
      <c r="R16" s="19">
        <f t="shared" si="8"/>
        <v>0.80065897296209154</v>
      </c>
      <c r="S16" s="2"/>
      <c r="T16" s="2"/>
      <c r="U16" s="2"/>
      <c r="V16" s="19">
        <f t="shared" si="9"/>
        <v>0</v>
      </c>
      <c r="W16" s="2"/>
      <c r="X16" s="2">
        <f t="shared" si="10"/>
        <v>7039.77</v>
      </c>
      <c r="Y16" s="2"/>
      <c r="Z16" s="19">
        <f t="shared" si="11"/>
        <v>0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>
        <f>D12-D15</f>
        <v>1412.89</v>
      </c>
      <c r="E18" s="13"/>
      <c r="F18" s="22">
        <f>IF(D$12=0,0,D18/D$12)</f>
        <v>1</v>
      </c>
      <c r="G18" s="13"/>
      <c r="H18" s="21">
        <f>H12-H15</f>
        <v>0</v>
      </c>
      <c r="I18" s="13"/>
      <c r="J18" s="22">
        <f>IF(H$12=0,0,H18/H$12)</f>
        <v>0</v>
      </c>
      <c r="K18" s="15"/>
      <c r="L18" s="21">
        <f>+D18-H18</f>
        <v>1412.89</v>
      </c>
      <c r="M18" s="15"/>
      <c r="N18" s="22">
        <f>IF(H18=0,0,L18/H18)</f>
        <v>0</v>
      </c>
      <c r="O18" s="25"/>
      <c r="P18" s="21">
        <f>P12-P15</f>
        <v>1752.6999999999989</v>
      </c>
      <c r="Q18" s="13"/>
      <c r="R18" s="22">
        <f>IF(P$12=0,0,P18/P$12)</f>
        <v>0.19934102703790846</v>
      </c>
      <c r="S18" s="13"/>
      <c r="T18" s="21">
        <f>T12-T15</f>
        <v>0</v>
      </c>
      <c r="U18" s="13"/>
      <c r="V18" s="22">
        <f>IF(T$12=0,0,T18/T$12)</f>
        <v>0</v>
      </c>
      <c r="W18" s="15"/>
      <c r="X18" s="21">
        <f>+P18-T18</f>
        <v>1752.6999999999989</v>
      </c>
      <c r="Y18" s="15"/>
      <c r="Z18" s="22">
        <f>IF(T18=0,0,X18/T18)</f>
        <v>0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>
        <f>SUM(OSRRefD22x_0)</f>
        <v>1934.57</v>
      </c>
      <c r="E20" s="20"/>
      <c r="F20" s="33">
        <f t="shared" ref="F20:F32" si="12">IF(D$12=0,0,D20/D$12)</f>
        <v>1.3692290270297049</v>
      </c>
      <c r="G20" s="20"/>
      <c r="H20" s="20">
        <f>SUM(OSRRefH22x_0)</f>
        <v>1001</v>
      </c>
      <c r="I20" s="20"/>
      <c r="J20" s="33">
        <f t="shared" ref="J20:J32" si="13">IF(H$12=0,0,H20/H$12)</f>
        <v>0</v>
      </c>
      <c r="K20" s="4"/>
      <c r="L20" s="20">
        <f t="shared" ref="L20:L32" si="14">+D20-H20</f>
        <v>933.56999999999994</v>
      </c>
      <c r="M20" s="4"/>
      <c r="N20" s="33">
        <f t="shared" ref="N20:N32" si="15">IF(H20=0,0,L20/H20)</f>
        <v>0.93263736263736252</v>
      </c>
      <c r="O20" s="10"/>
      <c r="P20" s="20">
        <f>SUM(OSRRefP22x_0)</f>
        <v>12489.609999999999</v>
      </c>
      <c r="Q20" s="20"/>
      <c r="R20" s="33">
        <f t="shared" ref="R20:R32" si="16">IF(P$12=0,0,P20/P$12)</f>
        <v>1.4204893505465472</v>
      </c>
      <c r="S20" s="20"/>
      <c r="T20" s="20">
        <f>SUM(OSRRefT22x_0)</f>
        <v>7007</v>
      </c>
      <c r="U20" s="20"/>
      <c r="V20" s="33">
        <f t="shared" ref="V20:V32" si="17">IF(T$12=0,0,T20/T$12)</f>
        <v>0</v>
      </c>
      <c r="W20" s="4"/>
      <c r="X20" s="20">
        <f t="shared" ref="X20:X32" si="18">+P20-T20</f>
        <v>5482.6099999999988</v>
      </c>
      <c r="Y20" s="4"/>
      <c r="Z20" s="33">
        <f t="shared" ref="Z20:Z32" si="19">IF(T20=0,0,X20/T20)</f>
        <v>0.78244755244755226</v>
      </c>
    </row>
    <row r="21" spans="1:26" s="28" customFormat="1" outlineLevel="1" collapsed="1" x14ac:dyDescent="0.3">
      <c r="A21" s="29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SUM(OSRRefD22_0x_0)</f>
        <v>33.659999999999997</v>
      </c>
      <c r="E21" s="1"/>
      <c r="F21" s="5">
        <f t="shared" si="12"/>
        <v>2.382351067669811E-2</v>
      </c>
      <c r="G21" s="1"/>
      <c r="H21" s="1">
        <f>SUM(OSRRefH22_0x_0)</f>
        <v>0</v>
      </c>
      <c r="I21" s="1"/>
      <c r="J21" s="5">
        <f t="shared" si="13"/>
        <v>0</v>
      </c>
      <c r="K21" s="1"/>
      <c r="L21" s="1">
        <f t="shared" si="14"/>
        <v>33.659999999999997</v>
      </c>
      <c r="M21" s="1"/>
      <c r="N21" s="5">
        <f t="shared" si="15"/>
        <v>0</v>
      </c>
      <c r="O21" s="14"/>
      <c r="P21" s="1">
        <f>SUM(OSRRefP22_0x_0)</f>
        <v>167.07</v>
      </c>
      <c r="Q21" s="1"/>
      <c r="R21" s="5">
        <f t="shared" si="16"/>
        <v>1.9001486499243103E-2</v>
      </c>
      <c r="S21" s="1"/>
      <c r="T21" s="1">
        <f>SUM(OSRRefT22_0x_0)</f>
        <v>0</v>
      </c>
      <c r="U21" s="1"/>
      <c r="V21" s="5">
        <f t="shared" si="17"/>
        <v>0</v>
      </c>
      <c r="W21" s="1"/>
      <c r="X21" s="1">
        <f t="shared" si="18"/>
        <v>167.07</v>
      </c>
      <c r="Y21" s="1"/>
      <c r="Z21" s="5">
        <f t="shared" si="19"/>
        <v>0</v>
      </c>
    </row>
    <row r="22" spans="1:26" s="24" customFormat="1" hidden="1" outlineLevel="2" x14ac:dyDescent="0.3">
      <c r="A22" s="27"/>
      <c r="B22" s="11" t="str">
        <f>CONCATENATE("          ", "6381", " - ", "BANK/CREDIT CARD FEES")</f>
        <v xml:space="preserve">          6381 - BANK/CREDIT CARD FEES</v>
      </c>
      <c r="C22" s="11"/>
      <c r="D22" s="7">
        <v>33.659999999999997</v>
      </c>
      <c r="E22" s="2"/>
      <c r="F22" s="6">
        <f t="shared" si="12"/>
        <v>2.382351067669811E-2</v>
      </c>
      <c r="G22" s="2"/>
      <c r="H22" s="7"/>
      <c r="I22" s="2"/>
      <c r="J22" s="6">
        <f t="shared" si="13"/>
        <v>0</v>
      </c>
      <c r="K22" s="2"/>
      <c r="L22" s="7">
        <f t="shared" si="14"/>
        <v>33.659999999999997</v>
      </c>
      <c r="M22" s="2"/>
      <c r="N22" s="6">
        <f t="shared" si="15"/>
        <v>0</v>
      </c>
      <c r="O22" s="11"/>
      <c r="P22" s="7">
        <v>167.07</v>
      </c>
      <c r="Q22" s="2"/>
      <c r="R22" s="6">
        <f t="shared" si="16"/>
        <v>1.9001486499243103E-2</v>
      </c>
      <c r="S22" s="2"/>
      <c r="T22" s="7"/>
      <c r="U22" s="2"/>
      <c r="V22" s="6">
        <f t="shared" si="17"/>
        <v>0</v>
      </c>
      <c r="W22" s="2"/>
      <c r="X22" s="7">
        <f t="shared" si="18"/>
        <v>167.07</v>
      </c>
      <c r="Y22" s="2"/>
      <c r="Z22" s="6">
        <f t="shared" si="19"/>
        <v>0</v>
      </c>
    </row>
    <row r="23" spans="1:26" s="28" customFormat="1" outlineLevel="1" collapsed="1" x14ac:dyDescent="0.3">
      <c r="A23" s="29"/>
      <c r="B23" s="14" t="str">
        <f>CONCATENATE("     ","Depreciation                                      ")</f>
        <v xml:space="preserve">     Depreciation                                      </v>
      </c>
      <c r="C23" s="14"/>
      <c r="D23" s="1">
        <f>SUM(OSRRefD22_1x_0)</f>
        <v>1000.91</v>
      </c>
      <c r="E23" s="1"/>
      <c r="F23" s="5">
        <f t="shared" si="12"/>
        <v>0.7084132522701696</v>
      </c>
      <c r="G23" s="1"/>
      <c r="H23" s="1">
        <f>SUM(OSRRefH22_1x_0)</f>
        <v>1001</v>
      </c>
      <c r="I23" s="1"/>
      <c r="J23" s="5">
        <f t="shared" si="13"/>
        <v>0</v>
      </c>
      <c r="K23" s="1"/>
      <c r="L23" s="1">
        <f t="shared" si="14"/>
        <v>-9.0000000000031832E-2</v>
      </c>
      <c r="M23" s="1"/>
      <c r="N23" s="5">
        <f t="shared" si="15"/>
        <v>-8.9910089910121704E-5</v>
      </c>
      <c r="O23" s="14"/>
      <c r="P23" s="1">
        <f>SUM(OSRRefP22_1x_0)</f>
        <v>7006.37</v>
      </c>
      <c r="Q23" s="1"/>
      <c r="R23" s="5">
        <f t="shared" si="16"/>
        <v>0.79686026793381159</v>
      </c>
      <c r="S23" s="1"/>
      <c r="T23" s="1">
        <f>SUM(OSRRefT22_1x_0)</f>
        <v>7007</v>
      </c>
      <c r="U23" s="1"/>
      <c r="V23" s="5">
        <f t="shared" si="17"/>
        <v>0</v>
      </c>
      <c r="W23" s="1"/>
      <c r="X23" s="1">
        <f t="shared" si="18"/>
        <v>-0.63000000000010914</v>
      </c>
      <c r="Y23" s="1"/>
      <c r="Z23" s="5">
        <f t="shared" si="19"/>
        <v>-8.9910089910105482E-5</v>
      </c>
    </row>
    <row r="24" spans="1:26" s="24" customFormat="1" hidden="1" outlineLevel="2" x14ac:dyDescent="0.3">
      <c r="A24" s="27"/>
      <c r="B24" s="11" t="str">
        <f>CONCATENATE("          ", "6322", " - ", "EQUIPMENT DEPRECIATION EXPENSE")</f>
        <v xml:space="preserve">          6322 - EQUIPMENT DEPRECIATION EXPENSE</v>
      </c>
      <c r="C24" s="11"/>
      <c r="D24" s="7">
        <v>1000.91</v>
      </c>
      <c r="E24" s="2"/>
      <c r="F24" s="6">
        <f t="shared" si="12"/>
        <v>0.7084132522701696</v>
      </c>
      <c r="G24" s="2"/>
      <c r="H24" s="7">
        <v>1001</v>
      </c>
      <c r="I24" s="2"/>
      <c r="J24" s="6">
        <f t="shared" si="13"/>
        <v>0</v>
      </c>
      <c r="K24" s="2"/>
      <c r="L24" s="7">
        <f t="shared" si="14"/>
        <v>-9.0000000000031832E-2</v>
      </c>
      <c r="M24" s="2"/>
      <c r="N24" s="6">
        <f t="shared" si="15"/>
        <v>-8.9910089910121704E-5</v>
      </c>
      <c r="O24" s="11"/>
      <c r="P24" s="7">
        <v>7006.37</v>
      </c>
      <c r="Q24" s="2"/>
      <c r="R24" s="6">
        <f t="shared" si="16"/>
        <v>0.79686026793381159</v>
      </c>
      <c r="S24" s="2"/>
      <c r="T24" s="7">
        <v>7007</v>
      </c>
      <c r="U24" s="2"/>
      <c r="V24" s="6">
        <f t="shared" si="17"/>
        <v>0</v>
      </c>
      <c r="W24" s="2"/>
      <c r="X24" s="7">
        <f t="shared" si="18"/>
        <v>-0.63000000000010914</v>
      </c>
      <c r="Y24" s="2"/>
      <c r="Z24" s="6">
        <f t="shared" si="19"/>
        <v>-8.9910089910105482E-5</v>
      </c>
    </row>
    <row r="25" spans="1:26" s="28" customFormat="1" outlineLevel="1" collapsed="1" x14ac:dyDescent="0.3">
      <c r="A25" s="29"/>
      <c r="B25" s="14" t="str">
        <f>CONCATENATE("     ","General                                           ")</f>
        <v xml:space="preserve">     General                                           </v>
      </c>
      <c r="C25" s="14"/>
      <c r="D25" s="1">
        <f>SUM(OSRRefD22_2x_0)</f>
        <v>900</v>
      </c>
      <c r="E25" s="1"/>
      <c r="F25" s="5">
        <f t="shared" si="12"/>
        <v>0.63699226408283727</v>
      </c>
      <c r="G25" s="1"/>
      <c r="H25" s="1">
        <f>SUM(OSRRefH22_2x_0)</f>
        <v>0</v>
      </c>
      <c r="I25" s="1"/>
      <c r="J25" s="5">
        <f t="shared" si="13"/>
        <v>0</v>
      </c>
      <c r="K25" s="1"/>
      <c r="L25" s="1">
        <f t="shared" si="14"/>
        <v>900</v>
      </c>
      <c r="M25" s="1"/>
      <c r="N25" s="5">
        <f t="shared" si="15"/>
        <v>0</v>
      </c>
      <c r="O25" s="14"/>
      <c r="P25" s="1">
        <f>SUM(OSRRefP22_2x_0)</f>
        <v>3355</v>
      </c>
      <c r="Q25" s="1"/>
      <c r="R25" s="5">
        <f t="shared" si="16"/>
        <v>0.3815765080802096</v>
      </c>
      <c r="S25" s="1"/>
      <c r="T25" s="1">
        <f>SUM(OSRRefT22_2x_0)</f>
        <v>0</v>
      </c>
      <c r="U25" s="1"/>
      <c r="V25" s="5">
        <f t="shared" si="17"/>
        <v>0</v>
      </c>
      <c r="W25" s="1"/>
      <c r="X25" s="1">
        <f t="shared" si="18"/>
        <v>3355</v>
      </c>
      <c r="Y25" s="1"/>
      <c r="Z25" s="5">
        <f t="shared" si="19"/>
        <v>0</v>
      </c>
    </row>
    <row r="26" spans="1:26" s="24" customFormat="1" hidden="1" outlineLevel="2" x14ac:dyDescent="0.3">
      <c r="A26" s="27"/>
      <c r="B26" s="11" t="str">
        <f>CONCATENATE("          ", "6279", " - ", "GENERAL EXPENSE")</f>
        <v xml:space="preserve">          6279 - GENERAL EXPENSE</v>
      </c>
      <c r="C26" s="11"/>
      <c r="D26" s="7">
        <v>900</v>
      </c>
      <c r="E26" s="2"/>
      <c r="F26" s="6">
        <f t="shared" si="12"/>
        <v>0.63699226408283727</v>
      </c>
      <c r="G26" s="2"/>
      <c r="H26" s="7"/>
      <c r="I26" s="2"/>
      <c r="J26" s="6">
        <f t="shared" si="13"/>
        <v>0</v>
      </c>
      <c r="K26" s="2"/>
      <c r="L26" s="7">
        <f t="shared" si="14"/>
        <v>900</v>
      </c>
      <c r="M26" s="2"/>
      <c r="N26" s="6">
        <f t="shared" si="15"/>
        <v>0</v>
      </c>
      <c r="O26" s="11"/>
      <c r="P26" s="7">
        <v>3355</v>
      </c>
      <c r="Q26" s="2"/>
      <c r="R26" s="6">
        <f t="shared" si="16"/>
        <v>0.3815765080802096</v>
      </c>
      <c r="S26" s="2"/>
      <c r="T26" s="7"/>
      <c r="U26" s="2"/>
      <c r="V26" s="6">
        <f t="shared" si="17"/>
        <v>0</v>
      </c>
      <c r="W26" s="2"/>
      <c r="X26" s="7">
        <f t="shared" si="18"/>
        <v>3355</v>
      </c>
      <c r="Y26" s="2"/>
      <c r="Z26" s="6">
        <f t="shared" si="19"/>
        <v>0</v>
      </c>
    </row>
    <row r="27" spans="1:26" s="28" customFormat="1" outlineLevel="1" collapsed="1" x14ac:dyDescent="0.3">
      <c r="A27" s="29"/>
      <c r="B27" s="14" t="str">
        <f>CONCATENATE("     ","Royalty &amp; Commissions                             ")</f>
        <v xml:space="preserve">     Royalty &amp; Commissions                             </v>
      </c>
      <c r="C27" s="14"/>
      <c r="D27" s="1">
        <f>SUM(OSRRefD22_3x_0)</f>
        <v>0</v>
      </c>
      <c r="E27" s="1"/>
      <c r="F27" s="5">
        <f t="shared" si="12"/>
        <v>0</v>
      </c>
      <c r="G27" s="1"/>
      <c r="H27" s="1">
        <f>SUM(OSRRefH22_3x_0)</f>
        <v>0</v>
      </c>
      <c r="I27" s="1"/>
      <c r="J27" s="5">
        <f t="shared" si="13"/>
        <v>0</v>
      </c>
      <c r="K27" s="1"/>
      <c r="L27" s="1">
        <f t="shared" si="14"/>
        <v>0</v>
      </c>
      <c r="M27" s="1"/>
      <c r="N27" s="5">
        <f t="shared" si="15"/>
        <v>0</v>
      </c>
      <c r="O27" s="14"/>
      <c r="P27" s="1">
        <f>SUM(OSRRefP22_3x_0)</f>
        <v>1844.91</v>
      </c>
      <c r="Q27" s="1"/>
      <c r="R27" s="5">
        <f t="shared" si="16"/>
        <v>0.20982840999173158</v>
      </c>
      <c r="S27" s="1"/>
      <c r="T27" s="1">
        <f>SUM(OSRRefT22_3x_0)</f>
        <v>0</v>
      </c>
      <c r="U27" s="1"/>
      <c r="V27" s="5">
        <f t="shared" si="17"/>
        <v>0</v>
      </c>
      <c r="W27" s="1"/>
      <c r="X27" s="1">
        <f t="shared" si="18"/>
        <v>1844.91</v>
      </c>
      <c r="Y27" s="1"/>
      <c r="Z27" s="5">
        <f t="shared" si="19"/>
        <v>0</v>
      </c>
    </row>
    <row r="28" spans="1:26" s="24" customFormat="1" hidden="1" outlineLevel="2" x14ac:dyDescent="0.3">
      <c r="A28" s="27"/>
      <c r="B28" s="11" t="str">
        <f>CONCATENATE("          ", "6254", " - ", "ROYALTY &amp; COMMISSIONS")</f>
        <v xml:space="preserve">          6254 - ROYALTY &amp; COMMISSIONS</v>
      </c>
      <c r="C28" s="11"/>
      <c r="D28" s="7"/>
      <c r="E28" s="2"/>
      <c r="F28" s="6">
        <f t="shared" si="12"/>
        <v>0</v>
      </c>
      <c r="G28" s="2"/>
      <c r="H28" s="7"/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>
        <v>1844.91</v>
      </c>
      <c r="Q28" s="2"/>
      <c r="R28" s="6">
        <f t="shared" si="16"/>
        <v>0.20982840999173158</v>
      </c>
      <c r="S28" s="2"/>
      <c r="T28" s="7"/>
      <c r="U28" s="2"/>
      <c r="V28" s="6">
        <f t="shared" si="17"/>
        <v>0</v>
      </c>
      <c r="W28" s="2"/>
      <c r="X28" s="7">
        <f t="shared" si="18"/>
        <v>1844.91</v>
      </c>
      <c r="Y28" s="2"/>
      <c r="Z28" s="6">
        <f t="shared" si="19"/>
        <v>0</v>
      </c>
    </row>
    <row r="29" spans="1:26" s="28" customFormat="1" outlineLevel="1" collapsed="1" x14ac:dyDescent="0.3">
      <c r="A29" s="29"/>
      <c r="B29" s="14" t="str">
        <f>CONCATENATE("     ","Services                                          ")</f>
        <v xml:space="preserve">     Services                                          </v>
      </c>
      <c r="C29" s="14"/>
      <c r="D29" s="1">
        <f>SUM(OSRRefD22_4x_0)</f>
        <v>0</v>
      </c>
      <c r="E29" s="1"/>
      <c r="F29" s="5">
        <f t="shared" si="12"/>
        <v>0</v>
      </c>
      <c r="G29" s="1"/>
      <c r="H29" s="1">
        <f>SUM(OSRRefH22_4x_0)</f>
        <v>0</v>
      </c>
      <c r="I29" s="1"/>
      <c r="J29" s="5">
        <f t="shared" si="13"/>
        <v>0</v>
      </c>
      <c r="K29" s="1"/>
      <c r="L29" s="1">
        <f t="shared" si="14"/>
        <v>0</v>
      </c>
      <c r="M29" s="1"/>
      <c r="N29" s="5">
        <f t="shared" si="15"/>
        <v>0</v>
      </c>
      <c r="O29" s="14"/>
      <c r="P29" s="1">
        <f>SUM(OSRRefP22_4x_0)</f>
        <v>0</v>
      </c>
      <c r="Q29" s="1"/>
      <c r="R29" s="5">
        <f t="shared" si="16"/>
        <v>0</v>
      </c>
      <c r="S29" s="1"/>
      <c r="T29" s="1">
        <f>SUM(OSRRefT22_4x_0)</f>
        <v>0</v>
      </c>
      <c r="U29" s="1"/>
      <c r="V29" s="5">
        <f t="shared" si="17"/>
        <v>0</v>
      </c>
      <c r="W29" s="1"/>
      <c r="X29" s="1">
        <f t="shared" si="18"/>
        <v>0</v>
      </c>
      <c r="Y29" s="1"/>
      <c r="Z29" s="5">
        <f t="shared" si="19"/>
        <v>0</v>
      </c>
    </row>
    <row r="30" spans="1:26" s="24" customFormat="1" hidden="1" outlineLevel="2" x14ac:dyDescent="0.3">
      <c r="A30" s="27"/>
      <c r="B30" s="11" t="str">
        <f>CONCATENATE("          ", "6284", " - ", "TRASH REMOVAL EXPENSE")</f>
        <v xml:space="preserve">          6284 - TRASH REMOVAL EXPENSE</v>
      </c>
      <c r="C30" s="11"/>
      <c r="D30" s="7"/>
      <c r="E30" s="2"/>
      <c r="F30" s="6">
        <f t="shared" si="12"/>
        <v>0</v>
      </c>
      <c r="G30" s="2"/>
      <c r="H30" s="7"/>
      <c r="I30" s="2"/>
      <c r="J30" s="6">
        <f t="shared" si="13"/>
        <v>0</v>
      </c>
      <c r="K30" s="2"/>
      <c r="L30" s="7">
        <f t="shared" si="14"/>
        <v>0</v>
      </c>
      <c r="M30" s="2"/>
      <c r="N30" s="6">
        <f t="shared" si="15"/>
        <v>0</v>
      </c>
      <c r="O30" s="11"/>
      <c r="P30" s="7"/>
      <c r="Q30" s="2"/>
      <c r="R30" s="6">
        <f t="shared" si="16"/>
        <v>0</v>
      </c>
      <c r="S30" s="2"/>
      <c r="T30" s="7">
        <v>0</v>
      </c>
      <c r="U30" s="2"/>
      <c r="V30" s="6">
        <f t="shared" si="17"/>
        <v>0</v>
      </c>
      <c r="W30" s="2"/>
      <c r="X30" s="7">
        <f t="shared" si="18"/>
        <v>0</v>
      </c>
      <c r="Y30" s="2"/>
      <c r="Z30" s="6">
        <f t="shared" si="19"/>
        <v>0</v>
      </c>
    </row>
    <row r="31" spans="1:26" s="28" customFormat="1" outlineLevel="1" collapsed="1" x14ac:dyDescent="0.3">
      <c r="A31" s="29"/>
      <c r="B31" s="14" t="str">
        <f>CONCATENATE("     ","Supplies                                          ")</f>
        <v xml:space="preserve">     Supplies                                          </v>
      </c>
      <c r="C31" s="14"/>
      <c r="D31" s="1">
        <f>SUM(OSRRefD22_5x_0)</f>
        <v>0</v>
      </c>
      <c r="E31" s="1"/>
      <c r="F31" s="5">
        <f t="shared" si="12"/>
        <v>0</v>
      </c>
      <c r="G31" s="1"/>
      <c r="H31" s="1">
        <f>SUM(OSRRefH22_5x_0)</f>
        <v>0</v>
      </c>
      <c r="I31" s="1"/>
      <c r="J31" s="5">
        <f t="shared" si="13"/>
        <v>0</v>
      </c>
      <c r="K31" s="1"/>
      <c r="L31" s="1">
        <f t="shared" si="14"/>
        <v>0</v>
      </c>
      <c r="M31" s="1"/>
      <c r="N31" s="5">
        <f t="shared" si="15"/>
        <v>0</v>
      </c>
      <c r="O31" s="14"/>
      <c r="P31" s="1">
        <f>SUM(OSRRefP22_5x_0)</f>
        <v>116.26</v>
      </c>
      <c r="Q31" s="1"/>
      <c r="R31" s="5">
        <f t="shared" si="16"/>
        <v>1.3222678041551465E-2</v>
      </c>
      <c r="S31" s="1"/>
      <c r="T31" s="1">
        <f>SUM(OSRRefT22_5x_0)</f>
        <v>0</v>
      </c>
      <c r="U31" s="1"/>
      <c r="V31" s="5">
        <f t="shared" si="17"/>
        <v>0</v>
      </c>
      <c r="W31" s="1"/>
      <c r="X31" s="1">
        <f t="shared" si="18"/>
        <v>116.26</v>
      </c>
      <c r="Y31" s="1"/>
      <c r="Z31" s="5">
        <f t="shared" si="19"/>
        <v>0</v>
      </c>
    </row>
    <row r="32" spans="1:26" s="24" customFormat="1" hidden="1" outlineLevel="2" x14ac:dyDescent="0.3">
      <c r="A32" s="27"/>
      <c r="B32" s="11" t="str">
        <f>CONCATENATE("          ", "6243", " - ", "PAPER SUPPLIES")</f>
        <v xml:space="preserve">          6243 - PAPER SUPPLIES</v>
      </c>
      <c r="C32" s="11"/>
      <c r="D32" s="7"/>
      <c r="E32" s="2"/>
      <c r="F32" s="6">
        <f t="shared" si="12"/>
        <v>0</v>
      </c>
      <c r="G32" s="2"/>
      <c r="H32" s="7"/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>
        <v>116.26</v>
      </c>
      <c r="Q32" s="2"/>
      <c r="R32" s="6">
        <f t="shared" si="16"/>
        <v>1.3222678041551465E-2</v>
      </c>
      <c r="S32" s="2"/>
      <c r="T32" s="7"/>
      <c r="U32" s="2"/>
      <c r="V32" s="6">
        <f t="shared" si="17"/>
        <v>0</v>
      </c>
      <c r="W32" s="2"/>
      <c r="X32" s="7">
        <f t="shared" si="18"/>
        <v>116.26</v>
      </c>
      <c r="Y32" s="2"/>
      <c r="Z32" s="6">
        <f t="shared" si="19"/>
        <v>0</v>
      </c>
    </row>
    <row r="33" spans="1:26" s="55" customFormat="1" x14ac:dyDescent="0.3">
      <c r="A33" s="36"/>
      <c r="B33" s="36"/>
      <c r="C33" s="36"/>
      <c r="D33" s="1"/>
      <c r="E33" s="1"/>
      <c r="F33" s="5"/>
      <c r="G33" s="1"/>
      <c r="H33" s="1"/>
      <c r="I33" s="1"/>
      <c r="J33" s="5"/>
      <c r="K33" s="1"/>
      <c r="L33" s="1"/>
      <c r="M33" s="1"/>
      <c r="N33" s="5"/>
      <c r="O33" s="36"/>
      <c r="P33" s="1"/>
      <c r="Q33" s="1"/>
      <c r="R33" s="5"/>
      <c r="S33" s="1"/>
      <c r="T33" s="1"/>
      <c r="U33" s="1"/>
      <c r="V33" s="5"/>
      <c r="W33" s="1"/>
      <c r="X33" s="1"/>
      <c r="Y33" s="1"/>
      <c r="Z33" s="5"/>
    </row>
    <row r="34" spans="1:26" s="23" customFormat="1" x14ac:dyDescent="0.3">
      <c r="A34" s="10"/>
      <c r="B34" s="25" t="s">
        <v>293</v>
      </c>
      <c r="C34" s="10"/>
      <c r="D34" s="4">
        <f>SUM(0)</f>
        <v>0</v>
      </c>
      <c r="E34" s="4"/>
      <c r="F34" s="12">
        <f>IF(D$12=0,0,D34/D$12)</f>
        <v>0</v>
      </c>
      <c r="G34" s="4"/>
      <c r="H34" s="4">
        <f>SUM(0)</f>
        <v>0</v>
      </c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>
        <f>SUM(0)</f>
        <v>0</v>
      </c>
      <c r="Q34" s="4"/>
      <c r="R34" s="12">
        <f>IF(P$12=0,0,P34/P$12)</f>
        <v>0</v>
      </c>
      <c r="S34" s="4"/>
      <c r="T34" s="4">
        <f>SUM(0)</f>
        <v>0</v>
      </c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3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x14ac:dyDescent="0.3">
      <c r="A36" s="10"/>
      <c r="B36" s="26" t="s">
        <v>277</v>
      </c>
      <c r="C36" s="26"/>
      <c r="D36" s="21">
        <f>+D18-D20+D34</f>
        <v>-521.67999999999984</v>
      </c>
      <c r="E36" s="13"/>
      <c r="F36" s="22">
        <f>IF(D$12=0,0,D36/D$12)</f>
        <v>-0.36922902702970495</v>
      </c>
      <c r="G36" s="13"/>
      <c r="H36" s="21">
        <f>+H18-H20+H34</f>
        <v>-1001</v>
      </c>
      <c r="I36" s="13"/>
      <c r="J36" s="22">
        <f>IF(H$12=0,0,H36/H$12)</f>
        <v>0</v>
      </c>
      <c r="K36" s="15"/>
      <c r="L36" s="21">
        <f>+D36-H36</f>
        <v>479.32000000000016</v>
      </c>
      <c r="M36" s="15"/>
      <c r="N36" s="22">
        <f>IF(H36=0,0,L36/H36)</f>
        <v>-0.47884115884115902</v>
      </c>
      <c r="O36" s="25"/>
      <c r="P36" s="21">
        <f>+P18-P20+P34</f>
        <v>-10736.91</v>
      </c>
      <c r="Q36" s="13"/>
      <c r="R36" s="22">
        <f>IF(P$12=0,0,P36/P$12)</f>
        <v>-1.2211483235086387</v>
      </c>
      <c r="S36" s="13"/>
      <c r="T36" s="21">
        <f>+T18-T20+T34</f>
        <v>-7007</v>
      </c>
      <c r="U36" s="13"/>
      <c r="V36" s="22">
        <f>IF(T$12=0,0,T36/T$12)</f>
        <v>0</v>
      </c>
      <c r="W36" s="15"/>
      <c r="X36" s="21">
        <f>+P36-T36</f>
        <v>-3729.91</v>
      </c>
      <c r="Y36" s="15"/>
      <c r="Z36" s="22">
        <f>IF(T36=0,0,X36/T36)</f>
        <v>0.53231197374054517</v>
      </c>
    </row>
    <row r="37" spans="1:26" x14ac:dyDescent="0.3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x14ac:dyDescent="0.3">
      <c r="A38" s="52"/>
      <c r="B38" s="10" t="s">
        <v>128</v>
      </c>
      <c r="C38" s="10"/>
      <c r="D38" s="4">
        <v>275.55</v>
      </c>
      <c r="E38" s="4"/>
      <c r="F38" s="12">
        <f>IF(D$12=0,0,D38/D$12)</f>
        <v>0.19502579818669535</v>
      </c>
      <c r="G38" s="4"/>
      <c r="H38" s="4"/>
      <c r="I38" s="4"/>
      <c r="J38" s="12">
        <f>IF(H$12=0,0,H38/H$12)</f>
        <v>0</v>
      </c>
      <c r="K38" s="4"/>
      <c r="L38" s="4">
        <f>+D38-H38</f>
        <v>275.55</v>
      </c>
      <c r="M38" s="4"/>
      <c r="N38" s="12">
        <f>IF(H38=0,0,L38/H38)</f>
        <v>0</v>
      </c>
      <c r="O38" s="10"/>
      <c r="P38" s="4">
        <v>1163.8399999999999</v>
      </c>
      <c r="Q38" s="4"/>
      <c r="R38" s="12">
        <f>IF(P$12=0,0,P38/P$12)</f>
        <v>0.13236781018303162</v>
      </c>
      <c r="S38" s="4"/>
      <c r="T38" s="4"/>
      <c r="U38" s="4"/>
      <c r="V38" s="12">
        <f>IF(T$12=0,0,T38/T$12)</f>
        <v>0</v>
      </c>
      <c r="W38" s="4"/>
      <c r="X38" s="4">
        <f>+P38-T38</f>
        <v>1163.8399999999999</v>
      </c>
      <c r="Y38" s="4"/>
      <c r="Z38" s="12">
        <f>IF(T38=0,0,X38/T38)</f>
        <v>0</v>
      </c>
    </row>
    <row r="39" spans="1:26" x14ac:dyDescent="0.3">
      <c r="A39" s="9"/>
      <c r="B39" s="10"/>
      <c r="C39" s="10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O39" s="10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" thickBot="1" x14ac:dyDescent="0.35">
      <c r="A40" s="10"/>
      <c r="B40" s="26" t="s">
        <v>126</v>
      </c>
      <c r="C40" s="26"/>
      <c r="D40" s="32">
        <f>+D36-D38</f>
        <v>-797.22999999999979</v>
      </c>
      <c r="E40" s="13"/>
      <c r="F40" s="31">
        <f>IF(D$12=0,0,D40/D$12)</f>
        <v>-0.56425482521640025</v>
      </c>
      <c r="G40" s="13"/>
      <c r="H40" s="32">
        <f>+H36-H38</f>
        <v>-1001</v>
      </c>
      <c r="I40" s="13"/>
      <c r="J40" s="31">
        <f>IF(H$12=0,0,H40/H$12)</f>
        <v>0</v>
      </c>
      <c r="K40" s="15"/>
      <c r="L40" s="32">
        <f>D40-H40</f>
        <v>203.77000000000021</v>
      </c>
      <c r="M40" s="15"/>
      <c r="N40" s="31">
        <f>IF(H40=0,0,L40/H40)</f>
        <v>-0.20356643356643378</v>
      </c>
      <c r="O40" s="25"/>
      <c r="P40" s="32">
        <f>+P36-P38</f>
        <v>-11900.75</v>
      </c>
      <c r="Q40" s="13"/>
      <c r="R40" s="31">
        <f>IF(P$12=0,0,P40/P$12)</f>
        <v>-1.3535161336916703</v>
      </c>
      <c r="S40" s="13"/>
      <c r="T40" s="32">
        <f>+T36-T38</f>
        <v>-7007</v>
      </c>
      <c r="U40" s="13"/>
      <c r="V40" s="31">
        <f>IF(T$12=0,0,T40/T$12)</f>
        <v>0</v>
      </c>
      <c r="W40" s="15"/>
      <c r="X40" s="32">
        <f>P40-T40</f>
        <v>-4893.75</v>
      </c>
      <c r="Y40" s="15"/>
      <c r="Z40" s="31">
        <f>IF(T40=0,0,X40/T40)</f>
        <v>0.69840873412301985</v>
      </c>
    </row>
    <row r="41" spans="1:26" ht="15" thickTop="1" x14ac:dyDescent="0.3">
      <c r="A41" s="9"/>
      <c r="B41" s="9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x14ac:dyDescent="0.3">
      <c r="A42" s="9"/>
      <c r="B42" s="9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ht="15" thickBot="1" x14ac:dyDescent="0.35">
      <c r="A43" s="10"/>
      <c r="B43" s="26" t="s">
        <v>294</v>
      </c>
      <c r="C43" s="26"/>
      <c r="D43" s="34">
        <f>SUM(D40:D42)</f>
        <v>-797.22999999999979</v>
      </c>
      <c r="E43" s="13"/>
      <c r="F43" s="35">
        <f>IF(D$12=0,0,D43/D$12)</f>
        <v>-0.56425482521640025</v>
      </c>
      <c r="G43" s="13"/>
      <c r="H43" s="34">
        <f>SUM(H40:H42)</f>
        <v>-1001</v>
      </c>
      <c r="I43" s="13"/>
      <c r="J43" s="35">
        <f>IF(H$12=0,0,H43/H$12)</f>
        <v>0</v>
      </c>
      <c r="K43" s="15"/>
      <c r="L43" s="34">
        <f>+D43-H43</f>
        <v>203.77000000000021</v>
      </c>
      <c r="M43" s="15"/>
      <c r="N43" s="35">
        <f>IF(H43=0,0,L43/H43)</f>
        <v>-0.20356643356643378</v>
      </c>
      <c r="O43" s="25"/>
      <c r="P43" s="34">
        <f>SUM(P40:P42)</f>
        <v>-11900.75</v>
      </c>
      <c r="Q43" s="13"/>
      <c r="R43" s="35">
        <f>IF(P$12=0,0,P43/P$12)</f>
        <v>-1.3535161336916703</v>
      </c>
      <c r="S43" s="13"/>
      <c r="T43" s="34">
        <f>SUM(T40:T42)</f>
        <v>-7007</v>
      </c>
      <c r="U43" s="13"/>
      <c r="V43" s="35">
        <f>IF(T$12=0,0,T43/T$12)</f>
        <v>0</v>
      </c>
      <c r="W43" s="15"/>
      <c r="X43" s="34">
        <f>+P43-T43</f>
        <v>-4893.75</v>
      </c>
      <c r="Y43" s="15"/>
      <c r="Z43" s="35">
        <f>IF(T43=0,0,X43/T43)</f>
        <v>0.69840873412301985</v>
      </c>
    </row>
    <row r="44" spans="1:26" ht="15" thickTop="1" x14ac:dyDescent="0.3">
      <c r="A44" s="9"/>
      <c r="C44" s="9"/>
      <c r="D44" s="17"/>
      <c r="E44" s="17"/>
      <c r="G44" s="17"/>
      <c r="H44" s="17"/>
      <c r="I44" s="17"/>
      <c r="J44" s="43"/>
      <c r="K44" s="17"/>
      <c r="L44" s="17"/>
      <c r="M44" s="17"/>
      <c r="P44" s="17"/>
      <c r="Q44" s="17"/>
      <c r="R44" s="43"/>
      <c r="S44" s="17"/>
      <c r="T44" s="17"/>
      <c r="U44" s="17"/>
      <c r="V44" s="43"/>
      <c r="W44" s="17"/>
      <c r="X44" s="17"/>
    </row>
    <row r="45" spans="1:26" x14ac:dyDescent="0.3">
      <c r="A45" s="9"/>
      <c r="B45" s="53">
        <v>44604.019995405091</v>
      </c>
      <c r="D45" s="17"/>
      <c r="E45" s="17"/>
      <c r="G45" s="17"/>
      <c r="H45" s="17"/>
      <c r="I45" s="17"/>
      <c r="J45" s="43"/>
      <c r="K45" s="17"/>
      <c r="L45" s="17"/>
      <c r="M45" s="17"/>
      <c r="P45" s="17"/>
      <c r="Q45" s="17"/>
      <c r="R45" s="43"/>
      <c r="S45" s="17"/>
      <c r="T45" s="17"/>
      <c r="U45" s="17"/>
      <c r="V45" s="43"/>
      <c r="W45" s="17"/>
      <c r="X45" s="17"/>
    </row>
    <row r="46" spans="1:26" x14ac:dyDescent="0.3">
      <c r="A46" s="9"/>
      <c r="B46" s="63" t="s">
        <v>56</v>
      </c>
      <c r="D46" s="17"/>
      <c r="E46" s="17"/>
      <c r="G46" s="17"/>
      <c r="H46" s="17"/>
      <c r="I46" s="17"/>
      <c r="J46" s="43"/>
      <c r="K46" s="17"/>
      <c r="L46" s="17"/>
      <c r="M46" s="17"/>
      <c r="P46" s="17"/>
      <c r="Q46" s="17"/>
      <c r="R46" s="43"/>
      <c r="S46" s="17"/>
      <c r="T46" s="17"/>
      <c r="U46" s="17"/>
      <c r="V46" s="43"/>
      <c r="W46" s="17"/>
      <c r="X46" s="17"/>
    </row>
    <row r="47" spans="1:26" x14ac:dyDescent="0.3">
      <c r="A47" s="9"/>
      <c r="B47" s="58"/>
      <c r="D47" s="17"/>
      <c r="E47" s="17"/>
      <c r="G47" s="17"/>
      <c r="H47" s="17"/>
      <c r="I47" s="17"/>
      <c r="J47" s="43"/>
      <c r="K47" s="17"/>
      <c r="L47" s="17"/>
      <c r="M47" s="17"/>
      <c r="P47" s="17"/>
      <c r="Q47" s="17"/>
      <c r="R47" s="43"/>
      <c r="S47" s="17"/>
      <c r="T47" s="17"/>
      <c r="U47" s="17"/>
      <c r="V47" s="43"/>
      <c r="W47" s="17"/>
      <c r="X47" s="17"/>
    </row>
    <row r="48" spans="1:26" x14ac:dyDescent="0.3">
      <c r="D48" s="17"/>
      <c r="E48" s="17"/>
      <c r="G48" s="17"/>
      <c r="H48" s="17"/>
      <c r="I48" s="17"/>
      <c r="J48" s="43"/>
      <c r="K48" s="17"/>
      <c r="L48" s="17"/>
      <c r="M48" s="17"/>
      <c r="P48" s="17"/>
      <c r="Q48" s="17"/>
      <c r="R48" s="43"/>
      <c r="S48" s="17"/>
      <c r="T48" s="17"/>
      <c r="U48" s="17"/>
      <c r="V48" s="43"/>
      <c r="W48" s="17"/>
      <c r="X48" s="17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  <outlinePr summaryBelow="0" summaryRight="0"/>
  </sheetPr>
  <dimension ref="A2:Z11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183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633381.82999999996</v>
      </c>
      <c r="E12" s="4"/>
      <c r="F12" s="12"/>
      <c r="G12" s="4"/>
      <c r="H12" s="4">
        <f>SUM(OSRRefH13x_0)</f>
        <v>443520</v>
      </c>
      <c r="I12" s="4"/>
      <c r="J12" s="12"/>
      <c r="K12" s="4"/>
      <c r="L12" s="4">
        <f t="shared" ref="L12:L16" si="0">+D12-H12</f>
        <v>189861.82999999996</v>
      </c>
      <c r="M12" s="4"/>
      <c r="N12" s="12">
        <f t="shared" ref="N12:N16" si="1">IF(H12=0,0,L12/H12)</f>
        <v>0.42807952290764784</v>
      </c>
      <c r="O12" s="10"/>
      <c r="P12" s="4">
        <f>SUM(OSRRefP13x_0)</f>
        <v>6426331.46</v>
      </c>
      <c r="Q12" s="4"/>
      <c r="R12" s="12"/>
      <c r="S12" s="4"/>
      <c r="T12" s="4">
        <f>SUM(OSRRefT13x_0)</f>
        <v>4959360</v>
      </c>
      <c r="U12" s="4"/>
      <c r="V12" s="12"/>
      <c r="W12" s="4"/>
      <c r="X12" s="4">
        <f t="shared" ref="X12:X16" si="2">+P12-T12</f>
        <v>1466971.46</v>
      </c>
      <c r="Y12" s="4"/>
      <c r="Z12" s="12">
        <f t="shared" ref="Z12:Z16" si="3">IF(T12=0,0,X12/T12)</f>
        <v>0.29579854255387789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--100.09</f>
        <v>100.09</v>
      </c>
      <c r="E13" s="2"/>
      <c r="F13" s="19"/>
      <c r="G13" s="2"/>
      <c r="H13" s="2"/>
      <c r="I13" s="2"/>
      <c r="J13" s="19"/>
      <c r="K13" s="2"/>
      <c r="L13" s="2">
        <f t="shared" si="0"/>
        <v>100.09</v>
      </c>
      <c r="M13" s="2"/>
      <c r="N13" s="19">
        <f t="shared" si="1"/>
        <v>0</v>
      </c>
      <c r="O13" s="11"/>
      <c r="P13" s="2">
        <f>--2683.96</f>
        <v>2683.96</v>
      </c>
      <c r="Q13" s="2"/>
      <c r="R13" s="19"/>
      <c r="S13" s="2"/>
      <c r="T13" s="2"/>
      <c r="U13" s="2"/>
      <c r="V13" s="19"/>
      <c r="W13" s="2"/>
      <c r="X13" s="2">
        <f t="shared" si="2"/>
        <v>2683.96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443520</v>
      </c>
      <c r="I14" s="2"/>
      <c r="J14" s="19"/>
      <c r="K14" s="2"/>
      <c r="L14" s="2">
        <f t="shared" si="0"/>
        <v>-443520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4959360</v>
      </c>
      <c r="U14" s="2"/>
      <c r="V14" s="19"/>
      <c r="W14" s="2"/>
      <c r="X14" s="2">
        <f t="shared" si="2"/>
        <v>-4959360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--628266.41</f>
        <v>628266.41</v>
      </c>
      <c r="E15" s="2"/>
      <c r="F15" s="19"/>
      <c r="G15" s="2"/>
      <c r="H15" s="2"/>
      <c r="I15" s="2"/>
      <c r="J15" s="19"/>
      <c r="K15" s="2"/>
      <c r="L15" s="2">
        <f t="shared" si="0"/>
        <v>628266.41</v>
      </c>
      <c r="M15" s="2"/>
      <c r="N15" s="19">
        <f t="shared" si="1"/>
        <v>0</v>
      </c>
      <c r="O15" s="11"/>
      <c r="P15" s="2">
        <f>--6362166.18</f>
        <v>6362166.1799999997</v>
      </c>
      <c r="Q15" s="2"/>
      <c r="R15" s="19"/>
      <c r="S15" s="2"/>
      <c r="T15" s="2"/>
      <c r="U15" s="2"/>
      <c r="V15" s="19"/>
      <c r="W15" s="2"/>
      <c r="X15" s="2">
        <f t="shared" si="2"/>
        <v>6362166.1799999997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--5015.33</f>
        <v>5015.33</v>
      </c>
      <c r="E16" s="2"/>
      <c r="F16" s="19"/>
      <c r="G16" s="2"/>
      <c r="H16" s="2"/>
      <c r="I16" s="2"/>
      <c r="J16" s="19"/>
      <c r="K16" s="2"/>
      <c r="L16" s="2">
        <f t="shared" si="0"/>
        <v>5015.33</v>
      </c>
      <c r="M16" s="2"/>
      <c r="N16" s="19">
        <f t="shared" si="1"/>
        <v>0</v>
      </c>
      <c r="O16" s="11"/>
      <c r="P16" s="2">
        <f>--61481.32</f>
        <v>61481.32</v>
      </c>
      <c r="Q16" s="2"/>
      <c r="R16" s="19"/>
      <c r="S16" s="2"/>
      <c r="T16" s="2"/>
      <c r="U16" s="2"/>
      <c r="V16" s="19"/>
      <c r="W16" s="2"/>
      <c r="X16" s="2">
        <f t="shared" si="2"/>
        <v>61481.32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98661.01999999999</v>
      </c>
      <c r="E18" s="4"/>
      <c r="F18" s="12">
        <f t="shared" ref="F18:F21" si="4">IF(D$12=0,0,D18/D$12)</f>
        <v>0.15576863011684436</v>
      </c>
      <c r="G18" s="4"/>
      <c r="H18" s="4">
        <f>SUM(OSRRefH16x_0)</f>
        <v>130363</v>
      </c>
      <c r="I18" s="4"/>
      <c r="J18" s="12">
        <f t="shared" ref="J18:J21" si="5">IF(H$12=0,0,H18/H$12)</f>
        <v>0.2939281204906205</v>
      </c>
      <c r="K18" s="4"/>
      <c r="L18" s="4">
        <f t="shared" ref="L18:L21" si="6">+D18-H18</f>
        <v>-31701.98000000001</v>
      </c>
      <c r="M18" s="4"/>
      <c r="N18" s="12">
        <f t="shared" ref="N18:N21" si="7">IF(H18=0,0,L18/H18)</f>
        <v>-0.24318234468369102</v>
      </c>
      <c r="O18" s="10"/>
      <c r="P18" s="4">
        <f>SUM(OSRRefP16x_0)</f>
        <v>1602809.29</v>
      </c>
      <c r="Q18" s="4"/>
      <c r="R18" s="12">
        <f t="shared" ref="R18:R21" si="8">IF(P$12=0,0,P18/P$12)</f>
        <v>0.24941279483893911</v>
      </c>
      <c r="S18" s="4"/>
      <c r="T18" s="4">
        <f>SUM(OSRRefT16x_0)</f>
        <v>1417365</v>
      </c>
      <c r="U18" s="4"/>
      <c r="V18" s="12">
        <f t="shared" ref="V18:V21" si="9">IF(T$12=0,0,T18/T$12)</f>
        <v>0.28579594947735193</v>
      </c>
      <c r="W18" s="4"/>
      <c r="X18" s="4">
        <f t="shared" ref="X18:X21" si="10">+P18-T18</f>
        <v>185444.29000000004</v>
      </c>
      <c r="Y18" s="4"/>
      <c r="Z18" s="12">
        <f t="shared" ref="Z18:Z21" si="11">IF(T18=0,0,X18/T18)</f>
        <v>0.13083735664419541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130363</v>
      </c>
      <c r="I19" s="2"/>
      <c r="J19" s="19">
        <f t="shared" si="5"/>
        <v>0.2939281204906205</v>
      </c>
      <c r="K19" s="2"/>
      <c r="L19" s="2">
        <f t="shared" si="6"/>
        <v>-130363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1417365</v>
      </c>
      <c r="U19" s="2"/>
      <c r="V19" s="19">
        <f t="shared" si="9"/>
        <v>0.28579594947735193</v>
      </c>
      <c r="W19" s="2"/>
      <c r="X19" s="2">
        <f t="shared" si="10"/>
        <v>-1417365</v>
      </c>
      <c r="Y19" s="2"/>
      <c r="Z19" s="19">
        <f t="shared" si="11"/>
        <v>-1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131261.01999999999</v>
      </c>
      <c r="E20" s="2"/>
      <c r="F20" s="19">
        <f t="shared" si="4"/>
        <v>0.20723837309952514</v>
      </c>
      <c r="G20" s="2"/>
      <c r="H20" s="2"/>
      <c r="I20" s="2"/>
      <c r="J20" s="19">
        <f t="shared" si="5"/>
        <v>0</v>
      </c>
      <c r="K20" s="2"/>
      <c r="L20" s="2">
        <f t="shared" si="6"/>
        <v>131261.01999999999</v>
      </c>
      <c r="M20" s="2"/>
      <c r="N20" s="19">
        <f t="shared" si="7"/>
        <v>0</v>
      </c>
      <c r="O20" s="11"/>
      <c r="P20" s="2">
        <v>1642668.35</v>
      </c>
      <c r="Q20" s="2"/>
      <c r="R20" s="19">
        <f t="shared" si="8"/>
        <v>0.25561525424335957</v>
      </c>
      <c r="S20" s="2"/>
      <c r="T20" s="2"/>
      <c r="U20" s="2"/>
      <c r="V20" s="19">
        <f t="shared" si="9"/>
        <v>0</v>
      </c>
      <c r="W20" s="2"/>
      <c r="X20" s="2">
        <f t="shared" si="10"/>
        <v>1642668.35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-32600</v>
      </c>
      <c r="E21" s="2"/>
      <c r="F21" s="19">
        <f t="shared" si="4"/>
        <v>-5.1469742982680769E-2</v>
      </c>
      <c r="G21" s="2"/>
      <c r="H21" s="2"/>
      <c r="I21" s="2"/>
      <c r="J21" s="19">
        <f t="shared" si="5"/>
        <v>0</v>
      </c>
      <c r="K21" s="2"/>
      <c r="L21" s="2">
        <f t="shared" si="6"/>
        <v>-32600</v>
      </c>
      <c r="M21" s="2"/>
      <c r="N21" s="19">
        <f t="shared" si="7"/>
        <v>0</v>
      </c>
      <c r="O21" s="11"/>
      <c r="P21" s="2">
        <v>-39859.06</v>
      </c>
      <c r="Q21" s="2"/>
      <c r="R21" s="19">
        <f t="shared" si="8"/>
        <v>-6.2024594044204498E-3</v>
      </c>
      <c r="S21" s="2"/>
      <c r="T21" s="2"/>
      <c r="U21" s="2"/>
      <c r="V21" s="19">
        <f t="shared" si="9"/>
        <v>0</v>
      </c>
      <c r="W21" s="2"/>
      <c r="X21" s="2">
        <f t="shared" si="10"/>
        <v>-39859.06</v>
      </c>
      <c r="Y21" s="2"/>
      <c r="Z21" s="19">
        <f t="shared" si="11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1">
        <f>D12-D18</f>
        <v>534720.80999999994</v>
      </c>
      <c r="E23" s="13"/>
      <c r="F23" s="22">
        <f>IF(D$12=0,0,D23/D$12)</f>
        <v>0.84423136988315561</v>
      </c>
      <c r="G23" s="13"/>
      <c r="H23" s="21">
        <f>H12-H18</f>
        <v>313157</v>
      </c>
      <c r="I23" s="13"/>
      <c r="J23" s="22">
        <f>IF(H$12=0,0,H23/H$12)</f>
        <v>0.70607187950937955</v>
      </c>
      <c r="K23" s="15"/>
      <c r="L23" s="21">
        <f>+D23-H23</f>
        <v>221563.80999999994</v>
      </c>
      <c r="M23" s="15"/>
      <c r="N23" s="22">
        <f>IF(H23=0,0,L23/H23)</f>
        <v>0.70751670887126883</v>
      </c>
      <c r="O23" s="25"/>
      <c r="P23" s="21">
        <f>P12-P18</f>
        <v>4823522.17</v>
      </c>
      <c r="Q23" s="13"/>
      <c r="R23" s="22">
        <f>IF(P$12=0,0,P23/P$12)</f>
        <v>0.75058720516106092</v>
      </c>
      <c r="S23" s="13"/>
      <c r="T23" s="21">
        <f>T12-T18</f>
        <v>3541995</v>
      </c>
      <c r="U23" s="13"/>
      <c r="V23" s="22">
        <f>IF(T$12=0,0,T23/T$12)</f>
        <v>0.71420405052264813</v>
      </c>
      <c r="W23" s="15"/>
      <c r="X23" s="21">
        <f>+P23-T23</f>
        <v>1281527.17</v>
      </c>
      <c r="Y23" s="15"/>
      <c r="Z23" s="22">
        <f>IF(T23=0,0,X23/T23)</f>
        <v>0.36180942378518322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0">
        <f>SUM(OSRRefD22x_0)</f>
        <v>354706.53999999992</v>
      </c>
      <c r="E25" s="20"/>
      <c r="F25" s="33">
        <f t="shared" ref="F25:F36" si="12">IF(D$12=0,0,D25/D$12)</f>
        <v>0.56002007509435492</v>
      </c>
      <c r="G25" s="20"/>
      <c r="H25" s="20">
        <f>SUM(OSRRefH22x_0)</f>
        <v>504909.95429658255</v>
      </c>
      <c r="I25" s="20"/>
      <c r="J25" s="33">
        <f t="shared" ref="J25:J36" si="13">IF(H$12=0,0,H25/H$12)</f>
        <v>1.1384153009933771</v>
      </c>
      <c r="K25" s="4"/>
      <c r="L25" s="20">
        <f t="shared" ref="L25:L36" si="14">+D25-H25</f>
        <v>-150203.41429658263</v>
      </c>
      <c r="M25" s="4"/>
      <c r="N25" s="33">
        <f t="shared" ref="N25:N36" si="15">IF(H25=0,0,L25/H25)</f>
        <v>-0.29748554770689589</v>
      </c>
      <c r="O25" s="10"/>
      <c r="P25" s="20">
        <f>SUM(OSRRefP22x_0)</f>
        <v>3053968.7699999996</v>
      </c>
      <c r="Q25" s="20"/>
      <c r="R25" s="33">
        <f t="shared" ref="R25:R36" si="16">IF(P$12=0,0,P25/P$12)</f>
        <v>0.47522739668955694</v>
      </c>
      <c r="S25" s="20"/>
      <c r="T25" s="20">
        <f>SUM(OSRRefT22x_0)</f>
        <v>3496186.4889095118</v>
      </c>
      <c r="U25" s="20"/>
      <c r="V25" s="33">
        <f t="shared" ref="V25:V36" si="17">IF(T$12=0,0,T25/T$12)</f>
        <v>0.70496727176682306</v>
      </c>
      <c r="W25" s="4"/>
      <c r="X25" s="20">
        <f t="shared" ref="X25:X36" si="18">+P25-T25</f>
        <v>-442217.71890951227</v>
      </c>
      <c r="Y25" s="4"/>
      <c r="Z25" s="33">
        <f t="shared" ref="Z25:Z36" si="19">IF(T25=0,0,X25/T25)</f>
        <v>-0.12648573533256902</v>
      </c>
    </row>
    <row r="26" spans="1:26" s="28" customFormat="1" outlineLevel="1" collapsed="1" x14ac:dyDescent="0.3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89533.7</v>
      </c>
      <c r="E26" s="1"/>
      <c r="F26" s="5">
        <f t="shared" si="12"/>
        <v>0.14135817568369463</v>
      </c>
      <c r="G26" s="1"/>
      <c r="H26" s="1">
        <f>SUM(OSRRefH22_0x_0)</f>
        <v>124537.751104275</v>
      </c>
      <c r="I26" s="1"/>
      <c r="J26" s="5">
        <f t="shared" si="13"/>
        <v>0.28079399148691153</v>
      </c>
      <c r="K26" s="1"/>
      <c r="L26" s="1">
        <f t="shared" si="14"/>
        <v>-35004.051104275</v>
      </c>
      <c r="M26" s="1"/>
      <c r="N26" s="5">
        <f t="shared" si="15"/>
        <v>-0.28107180990418107</v>
      </c>
      <c r="O26" s="14"/>
      <c r="P26" s="1">
        <f>SUM(OSRRefP22_0x_0)</f>
        <v>600703.31999999995</v>
      </c>
      <c r="Q26" s="1"/>
      <c r="R26" s="5">
        <f t="shared" si="16"/>
        <v>9.3475309161846432E-2</v>
      </c>
      <c r="S26" s="1"/>
      <c r="T26" s="1">
        <f>SUM(OSRRefT22_0x_0)</f>
        <v>797122.31801720476</v>
      </c>
      <c r="U26" s="1"/>
      <c r="V26" s="5">
        <f t="shared" si="17"/>
        <v>0.16073088423046619</v>
      </c>
      <c r="W26" s="1"/>
      <c r="X26" s="1">
        <f t="shared" si="18"/>
        <v>-196418.99801720481</v>
      </c>
      <c r="Y26" s="1"/>
      <c r="Z26" s="5">
        <f t="shared" si="19"/>
        <v>-0.24641010993869247</v>
      </c>
    </row>
    <row r="27" spans="1:26" s="24" customFormat="1" hidden="1" outlineLevel="2" x14ac:dyDescent="0.3">
      <c r="A27" s="27"/>
      <c r="B27" s="11" t="str">
        <f>CONCATENATE("          ", "6111", " - ", "F.I.C.A.")</f>
        <v xml:space="preserve">          6111 - F.I.C.A.</v>
      </c>
      <c r="C27" s="11"/>
      <c r="D27" s="7">
        <v>8909.86</v>
      </c>
      <c r="E27" s="2"/>
      <c r="F27" s="6">
        <f t="shared" si="12"/>
        <v>1.4067122828578776E-2</v>
      </c>
      <c r="G27" s="2"/>
      <c r="H27" s="7">
        <v>14536.486302351899</v>
      </c>
      <c r="I27" s="2"/>
      <c r="J27" s="6">
        <f t="shared" si="13"/>
        <v>3.2775266735100783E-2</v>
      </c>
      <c r="K27" s="2"/>
      <c r="L27" s="7">
        <f t="shared" si="14"/>
        <v>-5626.6263023518986</v>
      </c>
      <c r="M27" s="2"/>
      <c r="N27" s="6">
        <f t="shared" si="15"/>
        <v>-0.38706921227873003</v>
      </c>
      <c r="O27" s="11"/>
      <c r="P27" s="7">
        <v>81699.98</v>
      </c>
      <c r="Q27" s="2"/>
      <c r="R27" s="6">
        <f t="shared" si="16"/>
        <v>1.2713315599815015E-2</v>
      </c>
      <c r="S27" s="2"/>
      <c r="T27" s="7">
        <v>91419.816205281895</v>
      </c>
      <c r="U27" s="2"/>
      <c r="V27" s="6">
        <f t="shared" si="17"/>
        <v>1.8433793111466378E-2</v>
      </c>
      <c r="W27" s="2"/>
      <c r="X27" s="7">
        <f t="shared" si="18"/>
        <v>-9719.8362052818993</v>
      </c>
      <c r="Y27" s="2"/>
      <c r="Z27" s="6">
        <f t="shared" si="19"/>
        <v>-0.1063208898107621</v>
      </c>
    </row>
    <row r="28" spans="1:26" s="24" customFormat="1" hidden="1" outlineLevel="2" x14ac:dyDescent="0.3">
      <c r="A28" s="27"/>
      <c r="B28" s="11" t="str">
        <f>CONCATENATE("          ", "6112", " - ", "COMPENSATION INSURANCE")</f>
        <v xml:space="preserve">          6112 - COMPENSATION INSURANCE</v>
      </c>
      <c r="C28" s="11"/>
      <c r="D28" s="7">
        <v>4637.2700000000004</v>
      </c>
      <c r="E28" s="2"/>
      <c r="F28" s="6">
        <f t="shared" si="12"/>
        <v>7.3214446331685912E-3</v>
      </c>
      <c r="G28" s="2"/>
      <c r="H28" s="7">
        <v>10570.9747878654</v>
      </c>
      <c r="I28" s="2"/>
      <c r="J28" s="6">
        <f t="shared" si="13"/>
        <v>2.3834268551283819E-2</v>
      </c>
      <c r="K28" s="2"/>
      <c r="L28" s="7">
        <f t="shared" si="14"/>
        <v>-5933.7047878653993</v>
      </c>
      <c r="M28" s="2"/>
      <c r="N28" s="6">
        <f t="shared" si="15"/>
        <v>-0.56132049379937976</v>
      </c>
      <c r="O28" s="11"/>
      <c r="P28" s="7">
        <v>49404.83</v>
      </c>
      <c r="Q28" s="2"/>
      <c r="R28" s="6">
        <f t="shared" si="16"/>
        <v>7.6878745373647446E-3</v>
      </c>
      <c r="S28" s="2"/>
      <c r="T28" s="7">
        <v>70626.343827765406</v>
      </c>
      <c r="U28" s="2"/>
      <c r="V28" s="6">
        <f t="shared" si="17"/>
        <v>1.4241019774278416E-2</v>
      </c>
      <c r="W28" s="2"/>
      <c r="X28" s="7">
        <f t="shared" si="18"/>
        <v>-21221.513827765404</v>
      </c>
      <c r="Y28" s="2"/>
      <c r="Z28" s="6">
        <f t="shared" si="19"/>
        <v>-0.30047589437048799</v>
      </c>
    </row>
    <row r="29" spans="1:26" s="24" customFormat="1" hidden="1" outlineLevel="2" x14ac:dyDescent="0.3">
      <c r="A29" s="27"/>
      <c r="B29" s="11" t="str">
        <f>CONCATENATE("          ", "6113", " - ", "GROUP INSURANCE")</f>
        <v xml:space="preserve">          6113 - GROUP INSURANCE</v>
      </c>
      <c r="C29" s="11"/>
      <c r="D29" s="7">
        <v>41931.949999999997</v>
      </c>
      <c r="E29" s="2"/>
      <c r="F29" s="6">
        <f t="shared" si="12"/>
        <v>6.6203272676767497E-2</v>
      </c>
      <c r="G29" s="2"/>
      <c r="H29" s="7">
        <v>73881.615384615405</v>
      </c>
      <c r="I29" s="2"/>
      <c r="J29" s="6">
        <f t="shared" si="13"/>
        <v>0.16658012126762131</v>
      </c>
      <c r="K29" s="2"/>
      <c r="L29" s="7">
        <f t="shared" si="14"/>
        <v>-31949.665384615408</v>
      </c>
      <c r="M29" s="2"/>
      <c r="N29" s="6">
        <f t="shared" si="15"/>
        <v>-0.43244405551084342</v>
      </c>
      <c r="O29" s="11"/>
      <c r="P29" s="7">
        <v>300944.82</v>
      </c>
      <c r="Q29" s="2"/>
      <c r="R29" s="6">
        <f t="shared" si="16"/>
        <v>4.6829956075748386E-2</v>
      </c>
      <c r="S29" s="2"/>
      <c r="T29" s="7">
        <v>469191.61538461503</v>
      </c>
      <c r="U29" s="2"/>
      <c r="V29" s="6">
        <f t="shared" si="17"/>
        <v>9.460729113930326E-2</v>
      </c>
      <c r="W29" s="2"/>
      <c r="X29" s="7">
        <f t="shared" si="18"/>
        <v>-168246.79538461502</v>
      </c>
      <c r="Y29" s="2"/>
      <c r="Z29" s="6">
        <f t="shared" si="19"/>
        <v>-0.3585886658411328</v>
      </c>
    </row>
    <row r="30" spans="1:26" s="24" customFormat="1" hidden="1" outlineLevel="2" x14ac:dyDescent="0.3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7">
        <v>334.9</v>
      </c>
      <c r="E30" s="2"/>
      <c r="F30" s="6">
        <f t="shared" si="12"/>
        <v>5.2874898542637386E-4</v>
      </c>
      <c r="G30" s="2"/>
      <c r="H30" s="7">
        <v>585.72683521153897</v>
      </c>
      <c r="I30" s="2"/>
      <c r="J30" s="6">
        <f t="shared" si="13"/>
        <v>1.3206322943983113E-3</v>
      </c>
      <c r="K30" s="2"/>
      <c r="L30" s="7">
        <f t="shared" si="14"/>
        <v>-250.82683521153899</v>
      </c>
      <c r="M30" s="2"/>
      <c r="N30" s="6">
        <f t="shared" si="15"/>
        <v>-0.42823176288474352</v>
      </c>
      <c r="O30" s="11"/>
      <c r="P30" s="7">
        <v>3568.12</v>
      </c>
      <c r="Q30" s="2"/>
      <c r="R30" s="6">
        <f t="shared" si="16"/>
        <v>5.5523435450060025E-4</v>
      </c>
      <c r="S30" s="2"/>
      <c r="T30" s="7">
        <v>3913.3330353115398</v>
      </c>
      <c r="U30" s="2"/>
      <c r="V30" s="6">
        <f t="shared" si="17"/>
        <v>7.8908025134524209E-4</v>
      </c>
      <c r="W30" s="2"/>
      <c r="X30" s="7">
        <f t="shared" si="18"/>
        <v>-345.2130353115399</v>
      </c>
      <c r="Y30" s="2"/>
      <c r="Z30" s="6">
        <f t="shared" si="19"/>
        <v>-8.8214581329150166E-2</v>
      </c>
    </row>
    <row r="31" spans="1:26" s="24" customFormat="1" hidden="1" outlineLevel="2" x14ac:dyDescent="0.3">
      <c r="A31" s="27"/>
      <c r="B31" s="11" t="str">
        <f>CONCATENATE("          ", "6115", " - ", "P.E.R.S.")</f>
        <v xml:space="preserve">          6115 - P.E.R.S.</v>
      </c>
      <c r="C31" s="11"/>
      <c r="D31" s="7">
        <v>4106.9799999999996</v>
      </c>
      <c r="E31" s="2"/>
      <c r="F31" s="6">
        <f t="shared" si="12"/>
        <v>6.4842087434052219E-3</v>
      </c>
      <c r="G31" s="2"/>
      <c r="H31" s="7">
        <v>4818.8604096153904</v>
      </c>
      <c r="I31" s="2"/>
      <c r="J31" s="6">
        <f t="shared" si="13"/>
        <v>1.0865035194839895E-2</v>
      </c>
      <c r="K31" s="2"/>
      <c r="L31" s="7">
        <f t="shared" si="14"/>
        <v>-711.88040961539082</v>
      </c>
      <c r="M31" s="2"/>
      <c r="N31" s="6">
        <f t="shared" si="15"/>
        <v>-0.14772795829381752</v>
      </c>
      <c r="O31" s="11"/>
      <c r="P31" s="7">
        <v>29505.5</v>
      </c>
      <c r="Q31" s="2"/>
      <c r="R31" s="6">
        <f t="shared" si="16"/>
        <v>4.5913442503944541E-3</v>
      </c>
      <c r="S31" s="2"/>
      <c r="T31" s="7">
        <v>29726.708879615398</v>
      </c>
      <c r="U31" s="2"/>
      <c r="V31" s="6">
        <f t="shared" si="17"/>
        <v>5.9940615078589573E-3</v>
      </c>
      <c r="W31" s="2"/>
      <c r="X31" s="7">
        <f t="shared" si="18"/>
        <v>-221.20887961539847</v>
      </c>
      <c r="Y31" s="2"/>
      <c r="Z31" s="6">
        <f t="shared" si="19"/>
        <v>-7.4414184399366461E-3</v>
      </c>
    </row>
    <row r="32" spans="1:26" s="24" customFormat="1" hidden="1" outlineLevel="2" x14ac:dyDescent="0.3">
      <c r="A32" s="27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3">
      <c r="A33" s="27"/>
      <c r="B33" s="11" t="str">
        <f>CONCATENATE("          ", "6117", " - ", "RETIREMENT STAFF HOURLY")</f>
        <v xml:space="preserve">          6117 - RETIREMENT STAFF HOURLY</v>
      </c>
      <c r="C33" s="11"/>
      <c r="D33" s="7">
        <v>2041.18</v>
      </c>
      <c r="E33" s="2"/>
      <c r="F33" s="6">
        <f t="shared" si="12"/>
        <v>3.2226690178339978E-3</v>
      </c>
      <c r="G33" s="2"/>
      <c r="H33" s="7"/>
      <c r="I33" s="2"/>
      <c r="J33" s="6">
        <f t="shared" si="13"/>
        <v>0</v>
      </c>
      <c r="K33" s="2"/>
      <c r="L33" s="7">
        <f t="shared" si="14"/>
        <v>2041.18</v>
      </c>
      <c r="M33" s="2"/>
      <c r="N33" s="6">
        <f t="shared" si="15"/>
        <v>0</v>
      </c>
      <c r="O33" s="11"/>
      <c r="P33" s="7">
        <v>11985.41</v>
      </c>
      <c r="Q33" s="2"/>
      <c r="R33" s="6">
        <f t="shared" si="16"/>
        <v>1.8650469672474689E-3</v>
      </c>
      <c r="S33" s="2"/>
      <c r="T33" s="7"/>
      <c r="U33" s="2"/>
      <c r="V33" s="6">
        <f t="shared" si="17"/>
        <v>0</v>
      </c>
      <c r="W33" s="2"/>
      <c r="X33" s="7">
        <f t="shared" si="18"/>
        <v>11985.41</v>
      </c>
      <c r="Y33" s="2"/>
      <c r="Z33" s="6">
        <f t="shared" si="19"/>
        <v>0</v>
      </c>
    </row>
    <row r="34" spans="1:26" s="24" customFormat="1" hidden="1" outlineLevel="2" x14ac:dyDescent="0.3">
      <c r="A34" s="27"/>
      <c r="B34" s="11" t="str">
        <f>CONCATENATE("          ", "6118", " - ", "VACATION")</f>
        <v xml:space="preserve">          6118 - VACATION</v>
      </c>
      <c r="C34" s="11"/>
      <c r="D34" s="7">
        <v>13200.39</v>
      </c>
      <c r="E34" s="2"/>
      <c r="F34" s="6">
        <f t="shared" si="12"/>
        <v>2.0841125170894152E-2</v>
      </c>
      <c r="G34" s="2"/>
      <c r="H34" s="7">
        <v>7101.5818173076896</v>
      </c>
      <c r="I34" s="2"/>
      <c r="J34" s="6">
        <f t="shared" si="13"/>
        <v>1.6011863765574699E-2</v>
      </c>
      <c r="K34" s="2"/>
      <c r="L34" s="7">
        <f t="shared" si="14"/>
        <v>6098.8081826923099</v>
      </c>
      <c r="M34" s="2"/>
      <c r="N34" s="6">
        <f t="shared" si="15"/>
        <v>0.85879573587796165</v>
      </c>
      <c r="O34" s="11"/>
      <c r="P34" s="7">
        <v>56920.32</v>
      </c>
      <c r="Q34" s="2"/>
      <c r="R34" s="6">
        <f t="shared" si="16"/>
        <v>8.8573582539734109E-3</v>
      </c>
      <c r="S34" s="2"/>
      <c r="T34" s="7">
        <v>43977.402967307702</v>
      </c>
      <c r="U34" s="2"/>
      <c r="V34" s="6">
        <f t="shared" si="17"/>
        <v>8.8675560893558252E-3</v>
      </c>
      <c r="W34" s="2"/>
      <c r="X34" s="7">
        <f t="shared" si="18"/>
        <v>12942.917032692298</v>
      </c>
      <c r="Y34" s="2"/>
      <c r="Z34" s="6">
        <f t="shared" si="19"/>
        <v>0.29430835291283375</v>
      </c>
    </row>
    <row r="35" spans="1:26" s="24" customFormat="1" hidden="1" outlineLevel="2" x14ac:dyDescent="0.3">
      <c r="A35" s="27"/>
      <c r="B35" s="11" t="str">
        <f>CONCATENATE("          ", "6119", " - ", "SICK LEAVE")</f>
        <v xml:space="preserve">          6119 - SICK LEAVE</v>
      </c>
      <c r="C35" s="11"/>
      <c r="D35" s="7">
        <v>12102.14</v>
      </c>
      <c r="E35" s="2"/>
      <c r="F35" s="6">
        <f t="shared" si="12"/>
        <v>1.9107178998172398E-2</v>
      </c>
      <c r="G35" s="2"/>
      <c r="H35" s="7">
        <v>8842.5055673076895</v>
      </c>
      <c r="I35" s="2"/>
      <c r="J35" s="6">
        <f t="shared" si="13"/>
        <v>1.9937106708395765E-2</v>
      </c>
      <c r="K35" s="2"/>
      <c r="L35" s="7">
        <f t="shared" si="14"/>
        <v>3259.6344326923099</v>
      </c>
      <c r="M35" s="2"/>
      <c r="N35" s="6">
        <f t="shared" si="15"/>
        <v>0.36863244335901313</v>
      </c>
      <c r="O35" s="11"/>
      <c r="P35" s="7">
        <v>44045.22</v>
      </c>
      <c r="Q35" s="2"/>
      <c r="R35" s="6">
        <f t="shared" si="16"/>
        <v>6.8538668249769992E-3</v>
      </c>
      <c r="S35" s="2"/>
      <c r="T35" s="7">
        <v>58867.097717307697</v>
      </c>
      <c r="U35" s="2"/>
      <c r="V35" s="6">
        <f t="shared" si="17"/>
        <v>1.1869898075015263E-2</v>
      </c>
      <c r="W35" s="2"/>
      <c r="X35" s="7">
        <f t="shared" si="18"/>
        <v>-14821.877717307696</v>
      </c>
      <c r="Y35" s="2"/>
      <c r="Z35" s="6">
        <f t="shared" si="19"/>
        <v>-0.25178543349436894</v>
      </c>
    </row>
    <row r="36" spans="1:26" s="24" customFormat="1" hidden="1" outlineLevel="2" x14ac:dyDescent="0.3">
      <c r="A36" s="27"/>
      <c r="B36" s="11" t="str">
        <f>CONCATENATE("          ", "6156", " - ", "EMPLOYEE MEALS")</f>
        <v xml:space="preserve">          6156 - EMPLOYEE MEALS</v>
      </c>
      <c r="C36" s="11"/>
      <c r="D36" s="7">
        <v>2269.0300000000002</v>
      </c>
      <c r="E36" s="2"/>
      <c r="F36" s="6">
        <f t="shared" si="12"/>
        <v>3.5824046294476121E-3</v>
      </c>
      <c r="G36" s="2"/>
      <c r="H36" s="7">
        <v>4200</v>
      </c>
      <c r="I36" s="2"/>
      <c r="J36" s="6">
        <f t="shared" si="13"/>
        <v>9.46969696969697E-3</v>
      </c>
      <c r="K36" s="2"/>
      <c r="L36" s="7">
        <f t="shared" si="14"/>
        <v>-1930.9699999999998</v>
      </c>
      <c r="M36" s="2"/>
      <c r="N36" s="6">
        <f t="shared" si="15"/>
        <v>-0.45975476190476183</v>
      </c>
      <c r="O36" s="11"/>
      <c r="P36" s="7">
        <v>22629.119999999999</v>
      </c>
      <c r="Q36" s="2"/>
      <c r="R36" s="6">
        <f t="shared" si="16"/>
        <v>3.5213122978253598E-3</v>
      </c>
      <c r="S36" s="2"/>
      <c r="T36" s="7">
        <v>29400</v>
      </c>
      <c r="U36" s="2"/>
      <c r="V36" s="6">
        <f t="shared" si="17"/>
        <v>5.9281842818428186E-3</v>
      </c>
      <c r="W36" s="2"/>
      <c r="X36" s="7">
        <f t="shared" si="18"/>
        <v>-6770.880000000001</v>
      </c>
      <c r="Y36" s="2"/>
      <c r="Z36" s="6">
        <f t="shared" si="19"/>
        <v>-0.23030204081632658</v>
      </c>
    </row>
    <row r="37" spans="1:26" s="28" customFormat="1" outlineLevel="1" collapsed="1" x14ac:dyDescent="0.3">
      <c r="A37" s="29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176832.12999999998</v>
      </c>
      <c r="E37" s="1"/>
      <c r="F37" s="5">
        <f t="shared" ref="F37:F47" si="20">IF(D$12=0,0,D37/D$12)</f>
        <v>0.27918724791963168</v>
      </c>
      <c r="G37" s="1"/>
      <c r="H37" s="1">
        <f>SUM(OSRRefH22_1x_0)</f>
        <v>264300.20319230756</v>
      </c>
      <c r="I37" s="1"/>
      <c r="J37" s="5">
        <f t="shared" ref="J37:J47" si="21">IF(H$12=0,0,H37/H$12)</f>
        <v>0.59591496030011626</v>
      </c>
      <c r="K37" s="1"/>
      <c r="L37" s="1">
        <f t="shared" ref="L37:L47" si="22">+D37-H37</f>
        <v>-87468.07319230758</v>
      </c>
      <c r="M37" s="1"/>
      <c r="N37" s="5">
        <f t="shared" ref="N37:N47" si="23">IF(H37=0,0,L37/H37)</f>
        <v>-0.33094213373973425</v>
      </c>
      <c r="O37" s="14"/>
      <c r="P37" s="1">
        <f>SUM(OSRRefP22_1x_0)</f>
        <v>1511463.79</v>
      </c>
      <c r="Q37" s="1"/>
      <c r="R37" s="5">
        <f t="shared" ref="R37:R47" si="24">IF(P$12=0,0,P37/P$12)</f>
        <v>0.23519854203100815</v>
      </c>
      <c r="S37" s="1"/>
      <c r="T37" s="1">
        <f>SUM(OSRRefT22_1x_0)</f>
        <v>1767707.1708923068</v>
      </c>
      <c r="U37" s="1"/>
      <c r="V37" s="5">
        <f t="shared" ref="V37:V47" si="25">IF(T$12=0,0,T37/T$12)</f>
        <v>0.35643856684981667</v>
      </c>
      <c r="W37" s="1"/>
      <c r="X37" s="1">
        <f t="shared" ref="X37:X47" si="26">+P37-T37</f>
        <v>-256243.3808923068</v>
      </c>
      <c r="Y37" s="1"/>
      <c r="Z37" s="5">
        <f t="shared" ref="Z37:Z47" si="27">IF(T37=0,0,X37/T37)</f>
        <v>-0.14495804797972264</v>
      </c>
    </row>
    <row r="38" spans="1:26" s="24" customFormat="1" hidden="1" outlineLevel="2" x14ac:dyDescent="0.3">
      <c r="A38" s="27"/>
      <c r="B38" s="11" t="str">
        <f>CONCATENATE("          ", "6001", " - ", "ADMINISTRATIVE SALARIES")</f>
        <v xml:space="preserve">          6001 - ADMINISTRATIVE SALARIES</v>
      </c>
      <c r="C38" s="11"/>
      <c r="D38" s="7">
        <v>9783.33</v>
      </c>
      <c r="E38" s="2"/>
      <c r="F38" s="6">
        <f t="shared" si="20"/>
        <v>1.5446180386955529E-2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9783.33</v>
      </c>
      <c r="M38" s="2"/>
      <c r="N38" s="6">
        <f t="shared" si="23"/>
        <v>0</v>
      </c>
      <c r="O38" s="11"/>
      <c r="P38" s="7">
        <v>65529.53</v>
      </c>
      <c r="Q38" s="2"/>
      <c r="R38" s="6">
        <f t="shared" si="24"/>
        <v>1.0197035494960293E-2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65529.53</v>
      </c>
      <c r="Y38" s="2"/>
      <c r="Z38" s="6">
        <f t="shared" si="27"/>
        <v>0</v>
      </c>
    </row>
    <row r="39" spans="1:26" s="24" customFormat="1" hidden="1" outlineLevel="2" x14ac:dyDescent="0.3">
      <c r="A39" s="27"/>
      <c r="B39" s="11" t="str">
        <f>CONCATENATE("          ", "6002", " - ", "STAFF SALARIES")</f>
        <v xml:space="preserve">          6002 - STAFF SALARIES</v>
      </c>
      <c r="C39" s="11"/>
      <c r="D39" s="7">
        <v>38829.83</v>
      </c>
      <c r="E39" s="2"/>
      <c r="F39" s="6">
        <f t="shared" si="20"/>
        <v>6.1305563501876909E-2</v>
      </c>
      <c r="G39" s="2"/>
      <c r="H39" s="7">
        <v>52786.5991923076</v>
      </c>
      <c r="I39" s="2"/>
      <c r="J39" s="6">
        <f t="shared" si="21"/>
        <v>0.11901740438381042</v>
      </c>
      <c r="K39" s="2"/>
      <c r="L39" s="7">
        <f t="shared" si="22"/>
        <v>-13956.769192307598</v>
      </c>
      <c r="M39" s="2"/>
      <c r="N39" s="6">
        <f t="shared" si="23"/>
        <v>-0.26439985537733729</v>
      </c>
      <c r="O39" s="11"/>
      <c r="P39" s="7">
        <v>263579.39</v>
      </c>
      <c r="Q39" s="2"/>
      <c r="R39" s="6">
        <f t="shared" si="24"/>
        <v>4.1015529877445819E-2</v>
      </c>
      <c r="S39" s="2"/>
      <c r="T39" s="7">
        <v>325617.44549230702</v>
      </c>
      <c r="U39" s="2"/>
      <c r="V39" s="6">
        <f t="shared" si="25"/>
        <v>6.5657150417051197E-2</v>
      </c>
      <c r="W39" s="2"/>
      <c r="X39" s="7">
        <f t="shared" si="26"/>
        <v>-62038.055492307001</v>
      </c>
      <c r="Y39" s="2"/>
      <c r="Z39" s="6">
        <f t="shared" si="27"/>
        <v>-0.19052436026119707</v>
      </c>
    </row>
    <row r="40" spans="1:26" s="24" customFormat="1" hidden="1" outlineLevel="2" x14ac:dyDescent="0.3">
      <c r="A40" s="27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3">
      <c r="A41" s="27"/>
      <c r="B41" s="11" t="str">
        <f>CONCATENATE("          ", "6004", " - ", "STAFF HOURLY")</f>
        <v xml:space="preserve">          6004 - STAFF HOURLY</v>
      </c>
      <c r="C41" s="11"/>
      <c r="D41" s="7">
        <v>51707.72</v>
      </c>
      <c r="E41" s="2"/>
      <c r="F41" s="6">
        <f t="shared" si="20"/>
        <v>8.1637517135595764E-2</v>
      </c>
      <c r="G41" s="2"/>
      <c r="H41" s="7">
        <v>124648.432</v>
      </c>
      <c r="I41" s="2"/>
      <c r="J41" s="6">
        <f t="shared" si="21"/>
        <v>0.28104354256854258</v>
      </c>
      <c r="K41" s="2"/>
      <c r="L41" s="7">
        <f t="shared" si="22"/>
        <v>-72940.712</v>
      </c>
      <c r="M41" s="2"/>
      <c r="N41" s="6">
        <f t="shared" si="23"/>
        <v>-0.5851715166380913</v>
      </c>
      <c r="O41" s="11"/>
      <c r="P41" s="7">
        <v>513422.36</v>
      </c>
      <c r="Q41" s="2"/>
      <c r="R41" s="6">
        <f t="shared" si="24"/>
        <v>7.9893538513495843E-2</v>
      </c>
      <c r="S41" s="2"/>
      <c r="T41" s="7">
        <v>747320.27839999995</v>
      </c>
      <c r="U41" s="2"/>
      <c r="V41" s="6">
        <f t="shared" si="25"/>
        <v>0.15068885469092785</v>
      </c>
      <c r="W41" s="2"/>
      <c r="X41" s="7">
        <f t="shared" si="26"/>
        <v>-233897.91839999997</v>
      </c>
      <c r="Y41" s="2"/>
      <c r="Z41" s="6">
        <f t="shared" si="27"/>
        <v>-0.31298216462260525</v>
      </c>
    </row>
    <row r="42" spans="1:26" s="24" customFormat="1" hidden="1" outlineLevel="2" x14ac:dyDescent="0.3">
      <c r="A42" s="27"/>
      <c r="B42" s="11" t="str">
        <f>CONCATENATE("          ", "6005", " - ", "TEMPORARY WAGES-HOURLY")</f>
        <v xml:space="preserve">          6005 - TEMPORARY WAGES-HOURLY</v>
      </c>
      <c r="C42" s="11"/>
      <c r="D42" s="7">
        <v>17763.560000000001</v>
      </c>
      <c r="E42" s="2"/>
      <c r="F42" s="6">
        <f t="shared" si="20"/>
        <v>2.8045578762497816E-2</v>
      </c>
      <c r="G42" s="2"/>
      <c r="H42" s="7">
        <v>18198.169999999998</v>
      </c>
      <c r="I42" s="2"/>
      <c r="J42" s="6">
        <f t="shared" si="21"/>
        <v>4.1031227453102448E-2</v>
      </c>
      <c r="K42" s="2"/>
      <c r="L42" s="7">
        <f t="shared" si="22"/>
        <v>-434.60999999999694</v>
      </c>
      <c r="M42" s="2"/>
      <c r="N42" s="6">
        <f t="shared" si="23"/>
        <v>-2.3882071658853445E-2</v>
      </c>
      <c r="O42" s="11"/>
      <c r="P42" s="7">
        <v>266716.18</v>
      </c>
      <c r="Q42" s="2"/>
      <c r="R42" s="6">
        <f t="shared" si="24"/>
        <v>4.1503645067196705E-2</v>
      </c>
      <c r="S42" s="2"/>
      <c r="T42" s="7">
        <v>134359.065</v>
      </c>
      <c r="U42" s="2"/>
      <c r="V42" s="6">
        <f t="shared" si="25"/>
        <v>2.7092016913472707E-2</v>
      </c>
      <c r="W42" s="2"/>
      <c r="X42" s="7">
        <f t="shared" si="26"/>
        <v>132357.11499999999</v>
      </c>
      <c r="Y42" s="2"/>
      <c r="Z42" s="6">
        <f t="shared" si="27"/>
        <v>0.98510000050982782</v>
      </c>
    </row>
    <row r="43" spans="1:26" s="24" customFormat="1" hidden="1" outlineLevel="2" x14ac:dyDescent="0.3">
      <c r="A43" s="27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3">
      <c r="A44" s="27"/>
      <c r="B44" s="11" t="str">
        <f>CONCATENATE("          ", "6007", " - ", "STUDENT HOURLY")</f>
        <v xml:space="preserve">          6007 - STUDENT HOURLY</v>
      </c>
      <c r="C44" s="11"/>
      <c r="D44" s="7">
        <v>50006.36</v>
      </c>
      <c r="E44" s="2"/>
      <c r="F44" s="6">
        <f t="shared" si="20"/>
        <v>7.8951364929429696E-2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50006.36</v>
      </c>
      <c r="M44" s="2"/>
      <c r="N44" s="6">
        <f t="shared" si="23"/>
        <v>0</v>
      </c>
      <c r="O44" s="11"/>
      <c r="P44" s="7">
        <v>318074.99</v>
      </c>
      <c r="Q44" s="2"/>
      <c r="R44" s="6">
        <f t="shared" si="24"/>
        <v>4.9495577994976309E-2</v>
      </c>
      <c r="S44" s="2"/>
      <c r="T44" s="7">
        <v>42825.5</v>
      </c>
      <c r="U44" s="2"/>
      <c r="V44" s="6">
        <f t="shared" si="25"/>
        <v>8.6352876177571303E-3</v>
      </c>
      <c r="W44" s="2"/>
      <c r="X44" s="7">
        <f t="shared" si="26"/>
        <v>275249.49</v>
      </c>
      <c r="Y44" s="2"/>
      <c r="Z44" s="6">
        <f t="shared" si="27"/>
        <v>6.4272335407642638</v>
      </c>
    </row>
    <row r="45" spans="1:26" s="24" customFormat="1" hidden="1" outlineLevel="2" x14ac:dyDescent="0.3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7">
        <v>8741.33</v>
      </c>
      <c r="E45" s="2"/>
      <c r="F45" s="6">
        <f t="shared" si="20"/>
        <v>1.3801043203275977E-2</v>
      </c>
      <c r="G45" s="2"/>
      <c r="H45" s="7">
        <v>68667.001999999993</v>
      </c>
      <c r="I45" s="2"/>
      <c r="J45" s="6">
        <f t="shared" si="21"/>
        <v>0.15482278589466089</v>
      </c>
      <c r="K45" s="2"/>
      <c r="L45" s="7">
        <f t="shared" si="22"/>
        <v>-59925.671999999991</v>
      </c>
      <c r="M45" s="2"/>
      <c r="N45" s="6">
        <f t="shared" si="23"/>
        <v>-0.87269969934030323</v>
      </c>
      <c r="O45" s="11"/>
      <c r="P45" s="7">
        <v>84141.34</v>
      </c>
      <c r="Q45" s="2"/>
      <c r="R45" s="6">
        <f t="shared" si="24"/>
        <v>1.3093215082933179E-2</v>
      </c>
      <c r="S45" s="2"/>
      <c r="T45" s="7">
        <v>517584.88199999998</v>
      </c>
      <c r="U45" s="2"/>
      <c r="V45" s="6">
        <f t="shared" si="25"/>
        <v>0.10436525721060781</v>
      </c>
      <c r="W45" s="2"/>
      <c r="X45" s="7">
        <f t="shared" si="26"/>
        <v>-433443.54200000002</v>
      </c>
      <c r="Y45" s="2"/>
      <c r="Z45" s="6">
        <f t="shared" si="27"/>
        <v>-0.83743470312566048</v>
      </c>
    </row>
    <row r="46" spans="1:26" s="24" customFormat="1" hidden="1" outlineLevel="2" x14ac:dyDescent="0.3">
      <c r="A46" s="27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3">
      <c r="A47" s="27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8" customFormat="1" outlineLevel="1" collapsed="1" x14ac:dyDescent="0.3">
      <c r="A48" s="29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223.57</v>
      </c>
      <c r="E48" s="1"/>
      <c r="F48" s="5">
        <f t="shared" ref="F48:F71" si="28">IF(D$12=0,0,D48/D$12)</f>
        <v>3.5297823431404722E-4</v>
      </c>
      <c r="G48" s="1"/>
      <c r="H48" s="1">
        <f>SUM(OSRRefH22_2x_0)</f>
        <v>1319</v>
      </c>
      <c r="I48" s="1"/>
      <c r="J48" s="5">
        <f t="shared" ref="J48:J71" si="29">IF(H$12=0,0,H48/H$12)</f>
        <v>2.9739357864357863E-3</v>
      </c>
      <c r="K48" s="1"/>
      <c r="L48" s="1">
        <f t="shared" ref="L48:L71" si="30">+D48-H48</f>
        <v>-1095.43</v>
      </c>
      <c r="M48" s="1"/>
      <c r="N48" s="5">
        <f t="shared" ref="N48:N71" si="31">IF(H48=0,0,L48/H48)</f>
        <v>-0.83050037907505692</v>
      </c>
      <c r="O48" s="14"/>
      <c r="P48" s="1">
        <f>SUM(OSRRefP22_2x_0)</f>
        <v>3421.07</v>
      </c>
      <c r="Q48" s="1"/>
      <c r="R48" s="5">
        <f t="shared" ref="R48:R71" si="32">IF(P$12=0,0,P48/P$12)</f>
        <v>5.3235193691674289E-4</v>
      </c>
      <c r="S48" s="1"/>
      <c r="T48" s="1">
        <f>SUM(OSRRefT22_2x_0)</f>
        <v>9233</v>
      </c>
      <c r="U48" s="1"/>
      <c r="V48" s="5">
        <f t="shared" ref="V48:V71" si="33">IF(T$12=0,0,T48/T$12)</f>
        <v>1.8617321589882566E-3</v>
      </c>
      <c r="W48" s="1"/>
      <c r="X48" s="1">
        <f t="shared" ref="X48:X71" si="34">+P48-T48</f>
        <v>-5811.93</v>
      </c>
      <c r="Y48" s="1"/>
      <c r="Z48" s="5">
        <f t="shared" ref="Z48:Z71" si="35">IF(T48=0,0,X48/T48)</f>
        <v>-0.62947362720675837</v>
      </c>
    </row>
    <row r="49" spans="1:26" s="24" customFormat="1" hidden="1" outlineLevel="2" x14ac:dyDescent="0.3">
      <c r="A49" s="27"/>
      <c r="B49" s="11" t="str">
        <f>CONCATENATE("          ", "6362", " - ", "ADVERTISING EXPENSE")</f>
        <v xml:space="preserve">          6362 - ADVERTISING EXPENSE</v>
      </c>
      <c r="C49" s="11"/>
      <c r="D49" s="7">
        <v>223.57</v>
      </c>
      <c r="E49" s="2"/>
      <c r="F49" s="6">
        <f t="shared" si="28"/>
        <v>3.5297823431404722E-4</v>
      </c>
      <c r="G49" s="2"/>
      <c r="H49" s="7">
        <v>1319</v>
      </c>
      <c r="I49" s="2"/>
      <c r="J49" s="6">
        <f t="shared" si="29"/>
        <v>2.9739357864357863E-3</v>
      </c>
      <c r="K49" s="2"/>
      <c r="L49" s="7">
        <f t="shared" si="30"/>
        <v>-1095.43</v>
      </c>
      <c r="M49" s="2"/>
      <c r="N49" s="6">
        <f t="shared" si="31"/>
        <v>-0.83050037907505692</v>
      </c>
      <c r="O49" s="11"/>
      <c r="P49" s="7">
        <v>3421.07</v>
      </c>
      <c r="Q49" s="2"/>
      <c r="R49" s="6">
        <f t="shared" si="32"/>
        <v>5.3235193691674289E-4</v>
      </c>
      <c r="S49" s="2"/>
      <c r="T49" s="7">
        <v>9233</v>
      </c>
      <c r="U49" s="2"/>
      <c r="V49" s="6">
        <f t="shared" si="33"/>
        <v>1.8617321589882566E-3</v>
      </c>
      <c r="W49" s="2"/>
      <c r="X49" s="7">
        <f t="shared" si="34"/>
        <v>-5811.93</v>
      </c>
      <c r="Y49" s="2"/>
      <c r="Z49" s="6">
        <f t="shared" si="35"/>
        <v>-0.62947362720675837</v>
      </c>
    </row>
    <row r="50" spans="1:26" s="28" customFormat="1" outlineLevel="1" collapsed="1" x14ac:dyDescent="0.3">
      <c r="A50" s="29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17.100000000000001</v>
      </c>
      <c r="E50" s="1"/>
      <c r="F50" s="5">
        <f t="shared" si="28"/>
        <v>2.6997932668829486E-5</v>
      </c>
      <c r="G50" s="1"/>
      <c r="H50" s="1">
        <f>SUM(OSRRefH22_3x_0)</f>
        <v>33</v>
      </c>
      <c r="I50" s="1"/>
      <c r="J50" s="5">
        <f t="shared" si="29"/>
        <v>7.4404761904761911E-5</v>
      </c>
      <c r="K50" s="1"/>
      <c r="L50" s="1">
        <f t="shared" si="30"/>
        <v>-15.899999999999999</v>
      </c>
      <c r="M50" s="1"/>
      <c r="N50" s="5">
        <f t="shared" si="31"/>
        <v>-0.48181818181818176</v>
      </c>
      <c r="O50" s="14"/>
      <c r="P50" s="1">
        <f>SUM(OSRRefP22_3x_0)</f>
        <v>-6.8</v>
      </c>
      <c r="Q50" s="1"/>
      <c r="R50" s="5">
        <f t="shared" si="32"/>
        <v>-1.0581464778662382E-6</v>
      </c>
      <c r="S50" s="1"/>
      <c r="T50" s="1">
        <f>SUM(OSRRefT22_3x_0)</f>
        <v>213</v>
      </c>
      <c r="U50" s="1"/>
      <c r="V50" s="5">
        <f t="shared" si="33"/>
        <v>4.2949090205187766E-5</v>
      </c>
      <c r="W50" s="1"/>
      <c r="X50" s="1">
        <f t="shared" si="34"/>
        <v>-219.8</v>
      </c>
      <c r="Y50" s="1"/>
      <c r="Z50" s="5">
        <f t="shared" si="35"/>
        <v>-1.0319248826291081</v>
      </c>
    </row>
    <row r="51" spans="1:26" s="24" customFormat="1" hidden="1" outlineLevel="2" x14ac:dyDescent="0.3">
      <c r="A51" s="27"/>
      <c r="B51" s="11" t="str">
        <f>CONCATENATE("          ", "6272", " - ", "CASH (OVER/SHORT)")</f>
        <v xml:space="preserve">          6272 - CASH (OVER/SHORT)</v>
      </c>
      <c r="C51" s="11"/>
      <c r="D51" s="7">
        <v>17.100000000000001</v>
      </c>
      <c r="E51" s="2"/>
      <c r="F51" s="6">
        <f t="shared" si="28"/>
        <v>2.6997932668829486E-5</v>
      </c>
      <c r="G51" s="2"/>
      <c r="H51" s="7">
        <v>33</v>
      </c>
      <c r="I51" s="2"/>
      <c r="J51" s="6">
        <f t="shared" si="29"/>
        <v>7.4404761904761911E-5</v>
      </c>
      <c r="K51" s="2"/>
      <c r="L51" s="7">
        <f t="shared" si="30"/>
        <v>-15.899999999999999</v>
      </c>
      <c r="M51" s="2"/>
      <c r="N51" s="6">
        <f t="shared" si="31"/>
        <v>-0.48181818181818176</v>
      </c>
      <c r="O51" s="11"/>
      <c r="P51" s="7">
        <v>-6.8</v>
      </c>
      <c r="Q51" s="2"/>
      <c r="R51" s="6">
        <f t="shared" si="32"/>
        <v>-1.0581464778662382E-6</v>
      </c>
      <c r="S51" s="2"/>
      <c r="T51" s="7">
        <v>213</v>
      </c>
      <c r="U51" s="2"/>
      <c r="V51" s="6">
        <f t="shared" si="33"/>
        <v>4.2949090205187766E-5</v>
      </c>
      <c r="W51" s="2"/>
      <c r="X51" s="7">
        <f t="shared" si="34"/>
        <v>-219.8</v>
      </c>
      <c r="Y51" s="2"/>
      <c r="Z51" s="6">
        <f t="shared" si="35"/>
        <v>-1.0319248826291081</v>
      </c>
    </row>
    <row r="52" spans="1:26" s="28" customFormat="1" outlineLevel="1" collapsed="1" x14ac:dyDescent="0.3">
      <c r="A52" s="29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58.62</v>
      </c>
      <c r="E52" s="1"/>
      <c r="F52" s="5">
        <f t="shared" si="28"/>
        <v>9.2550807780513689E-5</v>
      </c>
      <c r="G52" s="1"/>
      <c r="H52" s="1">
        <f>SUM(OSRRefH22_4x_0)</f>
        <v>410</v>
      </c>
      <c r="I52" s="1"/>
      <c r="J52" s="5">
        <f t="shared" si="29"/>
        <v>9.2442279942279938E-4</v>
      </c>
      <c r="K52" s="1"/>
      <c r="L52" s="1">
        <f t="shared" si="30"/>
        <v>-351.38</v>
      </c>
      <c r="M52" s="1"/>
      <c r="N52" s="5">
        <f t="shared" si="31"/>
        <v>-0.85702439024390242</v>
      </c>
      <c r="O52" s="14"/>
      <c r="P52" s="1">
        <f>SUM(OSRRefP22_4x_0)</f>
        <v>902.31</v>
      </c>
      <c r="Q52" s="1"/>
      <c r="R52" s="5">
        <f t="shared" si="32"/>
        <v>1.4040825712404196E-4</v>
      </c>
      <c r="S52" s="1"/>
      <c r="T52" s="1">
        <f>SUM(OSRRefT22_4x_0)</f>
        <v>2845</v>
      </c>
      <c r="U52" s="1"/>
      <c r="V52" s="5">
        <f t="shared" si="33"/>
        <v>5.7366273067492579E-4</v>
      </c>
      <c r="W52" s="1"/>
      <c r="X52" s="1">
        <f t="shared" si="34"/>
        <v>-1942.69</v>
      </c>
      <c r="Y52" s="1"/>
      <c r="Z52" s="5">
        <f t="shared" si="35"/>
        <v>-0.68284358523725841</v>
      </c>
    </row>
    <row r="53" spans="1:26" s="24" customFormat="1" hidden="1" outlineLevel="2" x14ac:dyDescent="0.3">
      <c r="A53" s="27"/>
      <c r="B53" s="11" t="str">
        <f>CONCATENATE("          ", "6381", " - ", "BANK/CREDIT CARD FEES")</f>
        <v xml:space="preserve">          6381 - BANK/CREDIT CARD FEES</v>
      </c>
      <c r="C53" s="11"/>
      <c r="D53" s="7">
        <v>58.62</v>
      </c>
      <c r="E53" s="2"/>
      <c r="F53" s="6">
        <f t="shared" si="28"/>
        <v>9.2550807780513689E-5</v>
      </c>
      <c r="G53" s="2"/>
      <c r="H53" s="7">
        <v>410</v>
      </c>
      <c r="I53" s="2"/>
      <c r="J53" s="6">
        <f t="shared" si="29"/>
        <v>9.2442279942279938E-4</v>
      </c>
      <c r="K53" s="2"/>
      <c r="L53" s="7">
        <f t="shared" si="30"/>
        <v>-351.38</v>
      </c>
      <c r="M53" s="2"/>
      <c r="N53" s="6">
        <f t="shared" si="31"/>
        <v>-0.85702439024390242</v>
      </c>
      <c r="O53" s="11"/>
      <c r="P53" s="7">
        <v>902.31</v>
      </c>
      <c r="Q53" s="2"/>
      <c r="R53" s="6">
        <f t="shared" si="32"/>
        <v>1.4040825712404196E-4</v>
      </c>
      <c r="S53" s="2"/>
      <c r="T53" s="7">
        <v>2845</v>
      </c>
      <c r="U53" s="2"/>
      <c r="V53" s="6">
        <f t="shared" si="33"/>
        <v>5.7366273067492579E-4</v>
      </c>
      <c r="W53" s="2"/>
      <c r="X53" s="7">
        <f t="shared" si="34"/>
        <v>-1942.69</v>
      </c>
      <c r="Y53" s="2"/>
      <c r="Z53" s="6">
        <f t="shared" si="35"/>
        <v>-0.68284358523725841</v>
      </c>
    </row>
    <row r="54" spans="1:26" s="28" customFormat="1" outlineLevel="1" collapsed="1" x14ac:dyDescent="0.3">
      <c r="A54" s="29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760.04</v>
      </c>
      <c r="E54" s="1"/>
      <c r="F54" s="5">
        <f t="shared" si="28"/>
        <v>1.1999712716735181E-3</v>
      </c>
      <c r="G54" s="1"/>
      <c r="H54" s="1">
        <f>SUM(OSRRefH22_5x_0)</f>
        <v>486</v>
      </c>
      <c r="I54" s="1"/>
      <c r="J54" s="5">
        <f t="shared" si="29"/>
        <v>1.0957792207792207E-3</v>
      </c>
      <c r="K54" s="1"/>
      <c r="L54" s="1">
        <f t="shared" si="30"/>
        <v>274.03999999999996</v>
      </c>
      <c r="M54" s="1"/>
      <c r="N54" s="5">
        <f t="shared" si="31"/>
        <v>0.56386831275720162</v>
      </c>
      <c r="O54" s="14"/>
      <c r="P54" s="1">
        <f>SUM(OSRRefP22_5x_0)</f>
        <v>5320.28</v>
      </c>
      <c r="Q54" s="1"/>
      <c r="R54" s="5">
        <f t="shared" si="32"/>
        <v>8.2788757989149845E-4</v>
      </c>
      <c r="S54" s="1"/>
      <c r="T54" s="1">
        <f>SUM(OSRRefT22_5x_0)</f>
        <v>3402</v>
      </c>
      <c r="U54" s="1"/>
      <c r="V54" s="5">
        <f t="shared" si="33"/>
        <v>6.8597560975609752E-4</v>
      </c>
      <c r="W54" s="1"/>
      <c r="X54" s="1">
        <f t="shared" si="34"/>
        <v>1918.2799999999997</v>
      </c>
      <c r="Y54" s="1"/>
      <c r="Z54" s="5">
        <f t="shared" si="35"/>
        <v>0.56386831275720162</v>
      </c>
    </row>
    <row r="55" spans="1:26" s="24" customFormat="1" hidden="1" outlineLevel="2" x14ac:dyDescent="0.3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760.04</v>
      </c>
      <c r="E55" s="2"/>
      <c r="F55" s="6">
        <f t="shared" si="28"/>
        <v>1.1999712716735181E-3</v>
      </c>
      <c r="G55" s="2"/>
      <c r="H55" s="7">
        <v>486</v>
      </c>
      <c r="I55" s="2"/>
      <c r="J55" s="6">
        <f t="shared" si="29"/>
        <v>1.0957792207792207E-3</v>
      </c>
      <c r="K55" s="2"/>
      <c r="L55" s="7">
        <f t="shared" si="30"/>
        <v>274.03999999999996</v>
      </c>
      <c r="M55" s="2"/>
      <c r="N55" s="6">
        <f t="shared" si="31"/>
        <v>0.56386831275720162</v>
      </c>
      <c r="O55" s="11"/>
      <c r="P55" s="7">
        <v>5320.28</v>
      </c>
      <c r="Q55" s="2"/>
      <c r="R55" s="6">
        <f t="shared" si="32"/>
        <v>8.2788757989149845E-4</v>
      </c>
      <c r="S55" s="2"/>
      <c r="T55" s="7">
        <v>3402</v>
      </c>
      <c r="U55" s="2"/>
      <c r="V55" s="6">
        <f t="shared" si="33"/>
        <v>6.8597560975609752E-4</v>
      </c>
      <c r="W55" s="2"/>
      <c r="X55" s="7">
        <f t="shared" si="34"/>
        <v>1918.2799999999997</v>
      </c>
      <c r="Y55" s="2"/>
      <c r="Z55" s="6">
        <f t="shared" si="35"/>
        <v>0.56386831275720162</v>
      </c>
    </row>
    <row r="56" spans="1:26" s="28" customFormat="1" outlineLevel="1" collapsed="1" x14ac:dyDescent="0.3">
      <c r="A56" s="29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4031.65</v>
      </c>
      <c r="E56" s="1"/>
      <c r="F56" s="5">
        <f t="shared" si="28"/>
        <v>6.3652757452799056E-3</v>
      </c>
      <c r="G56" s="1"/>
      <c r="H56" s="1">
        <f>SUM(OSRRefH22_6x_0)</f>
        <v>15500</v>
      </c>
      <c r="I56" s="1"/>
      <c r="J56" s="5">
        <f t="shared" si="29"/>
        <v>3.49476911976912E-2</v>
      </c>
      <c r="K56" s="1"/>
      <c r="L56" s="1">
        <f t="shared" si="30"/>
        <v>-11468.35</v>
      </c>
      <c r="M56" s="1"/>
      <c r="N56" s="5">
        <f t="shared" si="31"/>
        <v>-0.73989354838709676</v>
      </c>
      <c r="O56" s="14"/>
      <c r="P56" s="1">
        <f>SUM(OSRRefP22_6x_0)</f>
        <v>40626.65</v>
      </c>
      <c r="Q56" s="1"/>
      <c r="R56" s="5">
        <f t="shared" si="32"/>
        <v>6.3219039125006482E-3</v>
      </c>
      <c r="S56" s="1"/>
      <c r="T56" s="1">
        <f>SUM(OSRRefT22_6x_0)</f>
        <v>93000</v>
      </c>
      <c r="U56" s="1"/>
      <c r="V56" s="5">
        <f t="shared" si="33"/>
        <v>1.8752419667053814E-2</v>
      </c>
      <c r="W56" s="1"/>
      <c r="X56" s="1">
        <f t="shared" si="34"/>
        <v>-52373.35</v>
      </c>
      <c r="Y56" s="1"/>
      <c r="Z56" s="5">
        <f t="shared" si="35"/>
        <v>-0.56315430107526876</v>
      </c>
    </row>
    <row r="57" spans="1:26" s="24" customFormat="1" hidden="1" outlineLevel="2" x14ac:dyDescent="0.3">
      <c r="A57" s="27"/>
      <c r="B57" s="11" t="str">
        <f>CONCATENATE("          ", "6399", " - ", "DONATION-ON CAMPUS")</f>
        <v xml:space="preserve">          6399 - DONATION-ON CAMPUS</v>
      </c>
      <c r="C57" s="11"/>
      <c r="D57" s="7">
        <v>4031.65</v>
      </c>
      <c r="E57" s="2"/>
      <c r="F57" s="6">
        <f t="shared" si="28"/>
        <v>6.3652757452799056E-3</v>
      </c>
      <c r="G57" s="2"/>
      <c r="H57" s="7">
        <v>15500</v>
      </c>
      <c r="I57" s="2"/>
      <c r="J57" s="6">
        <f t="shared" si="29"/>
        <v>3.49476911976912E-2</v>
      </c>
      <c r="K57" s="2"/>
      <c r="L57" s="7">
        <f t="shared" si="30"/>
        <v>-11468.35</v>
      </c>
      <c r="M57" s="2"/>
      <c r="N57" s="6">
        <f t="shared" si="31"/>
        <v>-0.73989354838709676</v>
      </c>
      <c r="O57" s="11"/>
      <c r="P57" s="7">
        <v>40626.65</v>
      </c>
      <c r="Q57" s="2"/>
      <c r="R57" s="6">
        <f t="shared" si="32"/>
        <v>6.3219039125006482E-3</v>
      </c>
      <c r="S57" s="2"/>
      <c r="T57" s="7">
        <v>93000</v>
      </c>
      <c r="U57" s="2"/>
      <c r="V57" s="6">
        <f t="shared" si="33"/>
        <v>1.8752419667053814E-2</v>
      </c>
      <c r="W57" s="2"/>
      <c r="X57" s="7">
        <f t="shared" si="34"/>
        <v>-52373.35</v>
      </c>
      <c r="Y57" s="2"/>
      <c r="Z57" s="6">
        <f t="shared" si="35"/>
        <v>-0.56315430107526876</v>
      </c>
    </row>
    <row r="58" spans="1:26" s="28" customFormat="1" outlineLevel="1" collapsed="1" x14ac:dyDescent="0.3">
      <c r="A58" s="29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75.98</v>
      </c>
      <c r="E58" s="1"/>
      <c r="F58" s="5">
        <f t="shared" si="28"/>
        <v>1.1995923533202715E-4</v>
      </c>
      <c r="G58" s="1"/>
      <c r="H58" s="1">
        <f>SUM(OSRRefH22_7x_0)</f>
        <v>200</v>
      </c>
      <c r="I58" s="1"/>
      <c r="J58" s="5">
        <f t="shared" si="29"/>
        <v>4.5093795093795094E-4</v>
      </c>
      <c r="K58" s="1"/>
      <c r="L58" s="1">
        <f t="shared" si="30"/>
        <v>-124.02</v>
      </c>
      <c r="M58" s="1"/>
      <c r="N58" s="5">
        <f t="shared" si="31"/>
        <v>-0.62009999999999998</v>
      </c>
      <c r="O58" s="14"/>
      <c r="P58" s="1">
        <f>SUM(OSRRefP22_7x_0)</f>
        <v>238.34</v>
      </c>
      <c r="Q58" s="1"/>
      <c r="R58" s="5">
        <f t="shared" si="32"/>
        <v>3.7088034049211646E-5</v>
      </c>
      <c r="S58" s="1"/>
      <c r="T58" s="1">
        <f>SUM(OSRRefT22_7x_0)</f>
        <v>1900</v>
      </c>
      <c r="U58" s="1"/>
      <c r="V58" s="5">
        <f t="shared" si="33"/>
        <v>3.8311395018712091E-4</v>
      </c>
      <c r="W58" s="1"/>
      <c r="X58" s="1">
        <f t="shared" si="34"/>
        <v>-1661.66</v>
      </c>
      <c r="Y58" s="1"/>
      <c r="Z58" s="5">
        <f t="shared" si="35"/>
        <v>-0.8745578947368422</v>
      </c>
    </row>
    <row r="59" spans="1:26" s="24" customFormat="1" hidden="1" outlineLevel="2" x14ac:dyDescent="0.3">
      <c r="A59" s="27"/>
      <c r="B59" s="11" t="str">
        <f>CONCATENATE("          ", "6277", " - ", "EMPLOYEE APPRECIATION")</f>
        <v xml:space="preserve">          6277 - EMPLOYEE APPRECIATION</v>
      </c>
      <c r="C59" s="11"/>
      <c r="D59" s="7">
        <v>75.98</v>
      </c>
      <c r="E59" s="2"/>
      <c r="F59" s="6">
        <f t="shared" si="28"/>
        <v>1.1995923533202715E-4</v>
      </c>
      <c r="G59" s="2"/>
      <c r="H59" s="7">
        <v>200</v>
      </c>
      <c r="I59" s="2"/>
      <c r="J59" s="6">
        <f t="shared" si="29"/>
        <v>4.5093795093795094E-4</v>
      </c>
      <c r="K59" s="2"/>
      <c r="L59" s="7">
        <f t="shared" si="30"/>
        <v>-124.02</v>
      </c>
      <c r="M59" s="2"/>
      <c r="N59" s="6">
        <f t="shared" si="31"/>
        <v>-0.62009999999999998</v>
      </c>
      <c r="O59" s="11"/>
      <c r="P59" s="7">
        <v>238.34</v>
      </c>
      <c r="Q59" s="2"/>
      <c r="R59" s="6">
        <f t="shared" si="32"/>
        <v>3.7088034049211646E-5</v>
      </c>
      <c r="S59" s="2"/>
      <c r="T59" s="7">
        <v>1900</v>
      </c>
      <c r="U59" s="2"/>
      <c r="V59" s="6">
        <f t="shared" si="33"/>
        <v>3.8311395018712091E-4</v>
      </c>
      <c r="W59" s="2"/>
      <c r="X59" s="7">
        <f t="shared" si="34"/>
        <v>-1661.66</v>
      </c>
      <c r="Y59" s="2"/>
      <c r="Z59" s="6">
        <f t="shared" si="35"/>
        <v>-0.8745578947368422</v>
      </c>
    </row>
    <row r="60" spans="1:26" s="28" customFormat="1" outlineLevel="1" collapsed="1" x14ac:dyDescent="0.3">
      <c r="A60" s="29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393.42</v>
      </c>
      <c r="E60" s="1"/>
      <c r="F60" s="5">
        <f t="shared" si="28"/>
        <v>6.211419105597015E-4</v>
      </c>
      <c r="G60" s="1"/>
      <c r="H60" s="1">
        <f>SUM(OSRRefH22_8x_0)</f>
        <v>795</v>
      </c>
      <c r="I60" s="1"/>
      <c r="J60" s="5">
        <f t="shared" si="29"/>
        <v>1.792478354978355E-3</v>
      </c>
      <c r="K60" s="1"/>
      <c r="L60" s="1">
        <f t="shared" si="30"/>
        <v>-401.58</v>
      </c>
      <c r="M60" s="1"/>
      <c r="N60" s="5">
        <f t="shared" si="31"/>
        <v>-0.50513207547169814</v>
      </c>
      <c r="O60" s="14"/>
      <c r="P60" s="1">
        <f>SUM(OSRRefP22_8x_0)</f>
        <v>8658.1299999999992</v>
      </c>
      <c r="Q60" s="1"/>
      <c r="R60" s="5">
        <f t="shared" si="32"/>
        <v>1.3472896712364724E-3</v>
      </c>
      <c r="S60" s="1"/>
      <c r="T60" s="1">
        <f>SUM(OSRRefT22_8x_0)</f>
        <v>5565</v>
      </c>
      <c r="U60" s="1"/>
      <c r="V60" s="5">
        <f t="shared" si="33"/>
        <v>1.1221205962059621E-3</v>
      </c>
      <c r="W60" s="1"/>
      <c r="X60" s="1">
        <f t="shared" si="34"/>
        <v>3093.1299999999992</v>
      </c>
      <c r="Y60" s="1"/>
      <c r="Z60" s="5">
        <f t="shared" si="35"/>
        <v>0.55581850853548953</v>
      </c>
    </row>
    <row r="61" spans="1:26" s="24" customFormat="1" hidden="1" outlineLevel="2" x14ac:dyDescent="0.3">
      <c r="A61" s="27"/>
      <c r="B61" s="11" t="str">
        <f>CONCATENATE("          ", "6351", " - ", "EQUIPMENT RENTAL")</f>
        <v xml:space="preserve">          6351 - EQUIPMENT RENTAL</v>
      </c>
      <c r="C61" s="11"/>
      <c r="D61" s="7">
        <v>393.42</v>
      </c>
      <c r="E61" s="2"/>
      <c r="F61" s="6">
        <f t="shared" si="28"/>
        <v>6.211419105597015E-4</v>
      </c>
      <c r="G61" s="2"/>
      <c r="H61" s="7">
        <v>795</v>
      </c>
      <c r="I61" s="2"/>
      <c r="J61" s="6">
        <f t="shared" si="29"/>
        <v>1.792478354978355E-3</v>
      </c>
      <c r="K61" s="2"/>
      <c r="L61" s="7">
        <f t="shared" si="30"/>
        <v>-401.58</v>
      </c>
      <c r="M61" s="2"/>
      <c r="N61" s="6">
        <f t="shared" si="31"/>
        <v>-0.50513207547169814</v>
      </c>
      <c r="O61" s="11"/>
      <c r="P61" s="7">
        <v>8658.1299999999992</v>
      </c>
      <c r="Q61" s="2"/>
      <c r="R61" s="6">
        <f t="shared" si="32"/>
        <v>1.3472896712364724E-3</v>
      </c>
      <c r="S61" s="2"/>
      <c r="T61" s="7">
        <v>5565</v>
      </c>
      <c r="U61" s="2"/>
      <c r="V61" s="6">
        <f t="shared" si="33"/>
        <v>1.1221205962059621E-3</v>
      </c>
      <c r="W61" s="2"/>
      <c r="X61" s="7">
        <f t="shared" si="34"/>
        <v>3093.1299999999992</v>
      </c>
      <c r="Y61" s="2"/>
      <c r="Z61" s="6">
        <f t="shared" si="35"/>
        <v>0.55581850853548953</v>
      </c>
    </row>
    <row r="62" spans="1:26" s="28" customFormat="1" outlineLevel="1" collapsed="1" x14ac:dyDescent="0.3">
      <c r="A62" s="29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755.5</v>
      </c>
      <c r="E62" s="1"/>
      <c r="F62" s="5">
        <f t="shared" si="28"/>
        <v>1.1928033994912674E-3</v>
      </c>
      <c r="G62" s="1"/>
      <c r="H62" s="1">
        <f>SUM(OSRRefH22_9x_0)</f>
        <v>530</v>
      </c>
      <c r="I62" s="1"/>
      <c r="J62" s="5">
        <f t="shared" si="29"/>
        <v>1.19498556998557E-3</v>
      </c>
      <c r="K62" s="1"/>
      <c r="L62" s="1">
        <f t="shared" si="30"/>
        <v>225.5</v>
      </c>
      <c r="M62" s="1"/>
      <c r="N62" s="5">
        <f t="shared" si="31"/>
        <v>0.42547169811320756</v>
      </c>
      <c r="O62" s="14"/>
      <c r="P62" s="1">
        <f>SUM(OSRRefP22_9x_0)</f>
        <v>11928.21</v>
      </c>
      <c r="Q62" s="1"/>
      <c r="R62" s="5">
        <f t="shared" si="32"/>
        <v>1.8561460880512999E-3</v>
      </c>
      <c r="S62" s="1"/>
      <c r="T62" s="1">
        <f>SUM(OSRRefT22_9x_0)</f>
        <v>8660</v>
      </c>
      <c r="U62" s="1"/>
      <c r="V62" s="5">
        <f t="shared" si="33"/>
        <v>1.746193057168667E-3</v>
      </c>
      <c r="W62" s="1"/>
      <c r="X62" s="1">
        <f t="shared" si="34"/>
        <v>3268.2099999999991</v>
      </c>
      <c r="Y62" s="1"/>
      <c r="Z62" s="5">
        <f t="shared" si="35"/>
        <v>0.37739145496535786</v>
      </c>
    </row>
    <row r="63" spans="1:26" s="24" customFormat="1" hidden="1" outlineLevel="2" x14ac:dyDescent="0.3">
      <c r="A63" s="27"/>
      <c r="B63" s="11" t="str">
        <f>CONCATENATE("          ", "6279", " - ", "GENERAL EXPENSE")</f>
        <v xml:space="preserve">          6279 - GENERAL EXPENSE</v>
      </c>
      <c r="C63" s="11"/>
      <c r="D63" s="7">
        <v>755.5</v>
      </c>
      <c r="E63" s="2"/>
      <c r="F63" s="6">
        <f t="shared" si="28"/>
        <v>1.1928033994912674E-3</v>
      </c>
      <c r="G63" s="2"/>
      <c r="H63" s="7">
        <v>530</v>
      </c>
      <c r="I63" s="2"/>
      <c r="J63" s="6">
        <f t="shared" si="29"/>
        <v>1.19498556998557E-3</v>
      </c>
      <c r="K63" s="2"/>
      <c r="L63" s="7">
        <f t="shared" si="30"/>
        <v>225.5</v>
      </c>
      <c r="M63" s="2"/>
      <c r="N63" s="6">
        <f t="shared" si="31"/>
        <v>0.42547169811320756</v>
      </c>
      <c r="O63" s="11"/>
      <c r="P63" s="7">
        <v>11928.21</v>
      </c>
      <c r="Q63" s="2"/>
      <c r="R63" s="6">
        <f t="shared" si="32"/>
        <v>1.8561460880512999E-3</v>
      </c>
      <c r="S63" s="2"/>
      <c r="T63" s="7">
        <v>8660</v>
      </c>
      <c r="U63" s="2"/>
      <c r="V63" s="6">
        <f t="shared" si="33"/>
        <v>1.746193057168667E-3</v>
      </c>
      <c r="W63" s="2"/>
      <c r="X63" s="7">
        <f t="shared" si="34"/>
        <v>3268.2099999999991</v>
      </c>
      <c r="Y63" s="2"/>
      <c r="Z63" s="6">
        <f t="shared" si="35"/>
        <v>0.37739145496535786</v>
      </c>
    </row>
    <row r="64" spans="1:26" s="28" customFormat="1" outlineLevel="1" collapsed="1" x14ac:dyDescent="0.3">
      <c r="A64" s="29"/>
      <c r="B64" s="14" t="str">
        <f>CONCATENATE("     ","Insurance                                         ")</f>
        <v xml:space="preserve">     Insurance                                         </v>
      </c>
      <c r="C64" s="14"/>
      <c r="D64" s="1">
        <f>SUM(OSRRefD22_10x_0)</f>
        <v>5.21</v>
      </c>
      <c r="E64" s="1"/>
      <c r="F64" s="5">
        <f t="shared" si="28"/>
        <v>8.2256859183977538E-6</v>
      </c>
      <c r="G64" s="1"/>
      <c r="H64" s="1">
        <f>SUM(OSRRefH22_10x_0)</f>
        <v>10</v>
      </c>
      <c r="I64" s="1"/>
      <c r="J64" s="5">
        <f t="shared" si="29"/>
        <v>2.2546897546897547E-5</v>
      </c>
      <c r="K64" s="1"/>
      <c r="L64" s="1">
        <f t="shared" si="30"/>
        <v>-4.79</v>
      </c>
      <c r="M64" s="1"/>
      <c r="N64" s="5">
        <f t="shared" si="31"/>
        <v>-0.47899999999999998</v>
      </c>
      <c r="O64" s="14"/>
      <c r="P64" s="1">
        <f>SUM(OSRRefP22_10x_0)</f>
        <v>36.479999999999997</v>
      </c>
      <c r="Q64" s="1"/>
      <c r="R64" s="5">
        <f t="shared" si="32"/>
        <v>5.6766446342000538E-6</v>
      </c>
      <c r="S64" s="1"/>
      <c r="T64" s="1">
        <f>SUM(OSRRefT22_10x_0)</f>
        <v>70</v>
      </c>
      <c r="U64" s="1"/>
      <c r="V64" s="5">
        <f t="shared" si="33"/>
        <v>1.4114724480578139E-5</v>
      </c>
      <c r="W64" s="1"/>
      <c r="X64" s="1">
        <f t="shared" si="34"/>
        <v>-33.520000000000003</v>
      </c>
      <c r="Y64" s="1"/>
      <c r="Z64" s="5">
        <f t="shared" si="35"/>
        <v>-0.47885714285714293</v>
      </c>
    </row>
    <row r="65" spans="1:26" s="24" customFormat="1" hidden="1" outlineLevel="2" x14ac:dyDescent="0.3">
      <c r="A65" s="27"/>
      <c r="B65" s="11" t="str">
        <f>CONCATENATE("          ", "6314", " - ", "LIABILITY INSURANCE")</f>
        <v xml:space="preserve">          6314 - LIABILITY INSURANCE</v>
      </c>
      <c r="C65" s="11"/>
      <c r="D65" s="7">
        <v>5.21</v>
      </c>
      <c r="E65" s="2"/>
      <c r="F65" s="6">
        <f t="shared" si="28"/>
        <v>8.2256859183977538E-6</v>
      </c>
      <c r="G65" s="2"/>
      <c r="H65" s="7">
        <v>10</v>
      </c>
      <c r="I65" s="2"/>
      <c r="J65" s="6">
        <f t="shared" si="29"/>
        <v>2.2546897546897547E-5</v>
      </c>
      <c r="K65" s="2"/>
      <c r="L65" s="7">
        <f t="shared" si="30"/>
        <v>-4.79</v>
      </c>
      <c r="M65" s="2"/>
      <c r="N65" s="6">
        <f t="shared" si="31"/>
        <v>-0.47899999999999998</v>
      </c>
      <c r="O65" s="11"/>
      <c r="P65" s="7">
        <v>36.479999999999997</v>
      </c>
      <c r="Q65" s="2"/>
      <c r="R65" s="6">
        <f t="shared" si="32"/>
        <v>5.6766446342000538E-6</v>
      </c>
      <c r="S65" s="2"/>
      <c r="T65" s="7">
        <v>70</v>
      </c>
      <c r="U65" s="2"/>
      <c r="V65" s="6">
        <f t="shared" si="33"/>
        <v>1.4114724480578139E-5</v>
      </c>
      <c r="W65" s="2"/>
      <c r="X65" s="7">
        <f t="shared" si="34"/>
        <v>-33.520000000000003</v>
      </c>
      <c r="Y65" s="2"/>
      <c r="Z65" s="6">
        <f t="shared" si="35"/>
        <v>-0.47885714285714293</v>
      </c>
    </row>
    <row r="66" spans="1:26" s="28" customFormat="1" outlineLevel="1" collapsed="1" x14ac:dyDescent="0.3">
      <c r="A66" s="29"/>
      <c r="B66" s="14" t="str">
        <f>CONCATENATE("     ","R/H Commissions                                   ")</f>
        <v xml:space="preserve">     R/H Commissions                                   </v>
      </c>
      <c r="C66" s="14"/>
      <c r="D66" s="1">
        <f>SUM(OSRRefD22_11x_0)</f>
        <v>49958.66</v>
      </c>
      <c r="E66" s="1"/>
      <c r="F66" s="5">
        <f t="shared" si="28"/>
        <v>7.8876054906721921E-2</v>
      </c>
      <c r="G66" s="1"/>
      <c r="H66" s="1">
        <f>SUM(OSRRefH22_11x_0)</f>
        <v>35482</v>
      </c>
      <c r="I66" s="1"/>
      <c r="J66" s="5">
        <f t="shared" si="29"/>
        <v>8.0000901875901878E-2</v>
      </c>
      <c r="K66" s="1"/>
      <c r="L66" s="1">
        <f t="shared" si="30"/>
        <v>14476.660000000003</v>
      </c>
      <c r="M66" s="1"/>
      <c r="N66" s="5">
        <f t="shared" si="31"/>
        <v>0.40800011273321696</v>
      </c>
      <c r="O66" s="14"/>
      <c r="P66" s="1">
        <f>SUM(OSRRefP22_11x_0)</f>
        <v>499627.4</v>
      </c>
      <c r="Q66" s="1"/>
      <c r="R66" s="5">
        <f t="shared" si="32"/>
        <v>7.774690787580385E-2</v>
      </c>
      <c r="S66" s="1"/>
      <c r="T66" s="1">
        <f>SUM(OSRRefT22_11x_0)</f>
        <v>394589</v>
      </c>
      <c r="U66" s="1"/>
      <c r="V66" s="5">
        <f t="shared" si="33"/>
        <v>7.9564500258097817E-2</v>
      </c>
      <c r="W66" s="1"/>
      <c r="X66" s="1">
        <f t="shared" si="34"/>
        <v>105038.40000000002</v>
      </c>
      <c r="Y66" s="1"/>
      <c r="Z66" s="5">
        <f t="shared" si="35"/>
        <v>0.2661969796421087</v>
      </c>
    </row>
    <row r="67" spans="1:26" s="24" customFormat="1" hidden="1" outlineLevel="2" x14ac:dyDescent="0.3">
      <c r="A67" s="27"/>
      <c r="B67" s="11" t="str">
        <f>CONCATENATE("          ", "6387", " - ", "COMMISSION DUE HOUSING")</f>
        <v xml:space="preserve">          6387 - COMMISSION DUE HOUSING</v>
      </c>
      <c r="C67" s="11"/>
      <c r="D67" s="7">
        <v>49958.66</v>
      </c>
      <c r="E67" s="2"/>
      <c r="F67" s="6">
        <f t="shared" si="28"/>
        <v>7.8876054906721921E-2</v>
      </c>
      <c r="G67" s="2"/>
      <c r="H67" s="7">
        <v>35482</v>
      </c>
      <c r="I67" s="2"/>
      <c r="J67" s="6">
        <f t="shared" si="29"/>
        <v>8.0000901875901878E-2</v>
      </c>
      <c r="K67" s="2"/>
      <c r="L67" s="7">
        <f t="shared" si="30"/>
        <v>14476.660000000003</v>
      </c>
      <c r="M67" s="2"/>
      <c r="N67" s="6">
        <f t="shared" si="31"/>
        <v>0.40800011273321696</v>
      </c>
      <c r="O67" s="11"/>
      <c r="P67" s="7">
        <v>499627.4</v>
      </c>
      <c r="Q67" s="2"/>
      <c r="R67" s="6">
        <f t="shared" si="32"/>
        <v>7.774690787580385E-2</v>
      </c>
      <c r="S67" s="2"/>
      <c r="T67" s="7">
        <v>394589</v>
      </c>
      <c r="U67" s="2"/>
      <c r="V67" s="6">
        <f t="shared" si="33"/>
        <v>7.9564500258097817E-2</v>
      </c>
      <c r="W67" s="2"/>
      <c r="X67" s="7">
        <f t="shared" si="34"/>
        <v>105038.40000000002</v>
      </c>
      <c r="Y67" s="2"/>
      <c r="Z67" s="6">
        <f t="shared" si="35"/>
        <v>0.2661969796421087</v>
      </c>
    </row>
    <row r="68" spans="1:26" s="28" customFormat="1" outlineLevel="1" collapsed="1" x14ac:dyDescent="0.3">
      <c r="A68" s="29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SUM(OSRRefD22_12x_0)</f>
        <v>3662.85</v>
      </c>
      <c r="E68" s="1"/>
      <c r="F68" s="5">
        <f t="shared" si="28"/>
        <v>5.783004542457431E-3</v>
      </c>
      <c r="G68" s="1"/>
      <c r="H68" s="1">
        <f>SUM(OSRRefH22_12x_0)</f>
        <v>7550</v>
      </c>
      <c r="I68" s="1"/>
      <c r="J68" s="5">
        <f t="shared" si="29"/>
        <v>1.7022907647907648E-2</v>
      </c>
      <c r="K68" s="1"/>
      <c r="L68" s="1">
        <f t="shared" si="30"/>
        <v>-3887.15</v>
      </c>
      <c r="M68" s="1"/>
      <c r="N68" s="5">
        <f t="shared" si="31"/>
        <v>-0.51485430463576165</v>
      </c>
      <c r="O68" s="14"/>
      <c r="P68" s="1">
        <f>SUM(OSRRefP22_12x_0)</f>
        <v>30157.620000000003</v>
      </c>
      <c r="Q68" s="1"/>
      <c r="R68" s="5">
        <f t="shared" si="32"/>
        <v>4.6928204976218269E-3</v>
      </c>
      <c r="S68" s="1"/>
      <c r="T68" s="1">
        <f>SUM(OSRRefT22_12x_0)</f>
        <v>38950</v>
      </c>
      <c r="U68" s="1"/>
      <c r="V68" s="5">
        <f t="shared" si="33"/>
        <v>7.8538359788359793E-3</v>
      </c>
      <c r="W68" s="1"/>
      <c r="X68" s="1">
        <f t="shared" si="34"/>
        <v>-8792.3799999999974</v>
      </c>
      <c r="Y68" s="1"/>
      <c r="Z68" s="5">
        <f t="shared" si="35"/>
        <v>-0.22573504492939658</v>
      </c>
    </row>
    <row r="69" spans="1:26" s="24" customFormat="1" hidden="1" outlineLevel="2" x14ac:dyDescent="0.3">
      <c r="A69" s="27"/>
      <c r="B69" s="11" t="str">
        <f>CONCATENATE("          ", "6371", " - ", "COMPUTER SOFTWARE MAINTENANCE")</f>
        <v xml:space="preserve">          6371 - COMPUTER SOFTWARE MAINTENANCE</v>
      </c>
      <c r="C69" s="11"/>
      <c r="D69" s="7">
        <v>3500</v>
      </c>
      <c r="E69" s="2"/>
      <c r="F69" s="6">
        <f t="shared" si="28"/>
        <v>5.5258926515148066E-3</v>
      </c>
      <c r="G69" s="2"/>
      <c r="H69" s="7">
        <v>3500</v>
      </c>
      <c r="I69" s="2"/>
      <c r="J69" s="6">
        <f t="shared" si="29"/>
        <v>7.8914141414141419E-3</v>
      </c>
      <c r="K69" s="2"/>
      <c r="L69" s="7">
        <f t="shared" si="30"/>
        <v>0</v>
      </c>
      <c r="M69" s="2"/>
      <c r="N69" s="6">
        <f t="shared" si="31"/>
        <v>0</v>
      </c>
      <c r="O69" s="11"/>
      <c r="P69" s="7">
        <v>24500</v>
      </c>
      <c r="Q69" s="2"/>
      <c r="R69" s="6">
        <f t="shared" si="32"/>
        <v>3.8124395158415933E-3</v>
      </c>
      <c r="S69" s="2"/>
      <c r="T69" s="7">
        <v>24500</v>
      </c>
      <c r="U69" s="2"/>
      <c r="V69" s="6">
        <f t="shared" si="33"/>
        <v>4.940153568202349E-3</v>
      </c>
      <c r="W69" s="2"/>
      <c r="X69" s="7">
        <f t="shared" si="34"/>
        <v>0</v>
      </c>
      <c r="Y69" s="2"/>
      <c r="Z69" s="6">
        <f t="shared" si="35"/>
        <v>0</v>
      </c>
    </row>
    <row r="70" spans="1:26" s="24" customFormat="1" hidden="1" outlineLevel="2" x14ac:dyDescent="0.3">
      <c r="A70" s="27"/>
      <c r="B70" s="11" t="str">
        <f>CONCATENATE("          ", "6373", " - ", "MAINTENANCE CONTRACTS")</f>
        <v xml:space="preserve">          6373 - MAINTENANCE CONTRACTS</v>
      </c>
      <c r="C70" s="11"/>
      <c r="D70" s="7">
        <v>5.35</v>
      </c>
      <c r="E70" s="2"/>
      <c r="F70" s="6">
        <f t="shared" si="28"/>
        <v>8.4467216244583461E-6</v>
      </c>
      <c r="G70" s="2"/>
      <c r="H70" s="7">
        <v>3500</v>
      </c>
      <c r="I70" s="2"/>
      <c r="J70" s="6">
        <f t="shared" si="29"/>
        <v>7.8914141414141419E-3</v>
      </c>
      <c r="K70" s="2"/>
      <c r="L70" s="7">
        <f t="shared" si="30"/>
        <v>-3494.65</v>
      </c>
      <c r="M70" s="2"/>
      <c r="N70" s="6">
        <f t="shared" si="31"/>
        <v>-0.99847142857142857</v>
      </c>
      <c r="O70" s="11"/>
      <c r="P70" s="7">
        <v>610.74</v>
      </c>
      <c r="Q70" s="2"/>
      <c r="R70" s="6">
        <f t="shared" si="32"/>
        <v>9.5037114690003864E-5</v>
      </c>
      <c r="S70" s="2"/>
      <c r="T70" s="7">
        <v>10600</v>
      </c>
      <c r="U70" s="2"/>
      <c r="V70" s="6">
        <f t="shared" si="33"/>
        <v>2.1373725642018326E-3</v>
      </c>
      <c r="W70" s="2"/>
      <c r="X70" s="7">
        <f t="shared" si="34"/>
        <v>-9989.26</v>
      </c>
      <c r="Y70" s="2"/>
      <c r="Z70" s="6">
        <f t="shared" si="35"/>
        <v>-0.94238301886792453</v>
      </c>
    </row>
    <row r="71" spans="1:26" s="24" customFormat="1" hidden="1" outlineLevel="2" x14ac:dyDescent="0.3">
      <c r="A71" s="27"/>
      <c r="B71" s="11" t="str">
        <f>CONCATENATE("          ", "6375", " - ", "OUTSIDE REPAIRS &amp; MAINTENANCE")</f>
        <v xml:space="preserve">          6375 - OUTSIDE REPAIRS &amp; MAINTENANCE</v>
      </c>
      <c r="C71" s="11"/>
      <c r="D71" s="7">
        <v>157.5</v>
      </c>
      <c r="E71" s="2"/>
      <c r="F71" s="6">
        <f t="shared" si="28"/>
        <v>2.4866516931816628E-4</v>
      </c>
      <c r="G71" s="2"/>
      <c r="H71" s="7">
        <v>550</v>
      </c>
      <c r="I71" s="2"/>
      <c r="J71" s="6">
        <f t="shared" si="29"/>
        <v>1.240079365079365E-3</v>
      </c>
      <c r="K71" s="2"/>
      <c r="L71" s="7">
        <f t="shared" si="30"/>
        <v>-392.5</v>
      </c>
      <c r="M71" s="2"/>
      <c r="N71" s="6">
        <f t="shared" si="31"/>
        <v>-0.71363636363636362</v>
      </c>
      <c r="O71" s="11"/>
      <c r="P71" s="7">
        <v>5046.88</v>
      </c>
      <c r="Q71" s="2"/>
      <c r="R71" s="6">
        <f t="shared" si="32"/>
        <v>7.8534386709022946E-4</v>
      </c>
      <c r="S71" s="2"/>
      <c r="T71" s="7">
        <v>3850</v>
      </c>
      <c r="U71" s="2"/>
      <c r="V71" s="6">
        <f t="shared" si="33"/>
        <v>7.7630984643179768E-4</v>
      </c>
      <c r="W71" s="2"/>
      <c r="X71" s="7">
        <f t="shared" si="34"/>
        <v>1196.8800000000001</v>
      </c>
      <c r="Y71" s="2"/>
      <c r="Z71" s="6">
        <f t="shared" si="35"/>
        <v>0.31087792207792209</v>
      </c>
    </row>
    <row r="72" spans="1:26" s="28" customFormat="1" outlineLevel="1" collapsed="1" x14ac:dyDescent="0.3">
      <c r="A72" s="29"/>
      <c r="B72" s="14" t="str">
        <f>CONCATENATE("     ","Services                                          ")</f>
        <v xml:space="preserve">     Services                                          </v>
      </c>
      <c r="C72" s="14"/>
      <c r="D72" s="1">
        <f>SUM(OSRRefD22_13x_0)</f>
        <v>17762.11</v>
      </c>
      <c r="E72" s="1"/>
      <c r="F72" s="5">
        <f t="shared" ref="F72:F76" si="36">IF(D$12=0,0,D72/D$12)</f>
        <v>2.8043289464113618E-2</v>
      </c>
      <c r="G72" s="1"/>
      <c r="H72" s="1">
        <f>SUM(OSRRefH22_13x_0)</f>
        <v>21796</v>
      </c>
      <c r="I72" s="1"/>
      <c r="J72" s="5">
        <f t="shared" ref="J72:J76" si="37">IF(H$12=0,0,H72/H$12)</f>
        <v>4.9143217893217891E-2</v>
      </c>
      <c r="K72" s="1"/>
      <c r="L72" s="1">
        <f t="shared" ref="L72:L76" si="38">+D72-H72</f>
        <v>-4033.8899999999994</v>
      </c>
      <c r="M72" s="1"/>
      <c r="N72" s="5">
        <f t="shared" ref="N72:N76" si="39">IF(H72=0,0,L72/H72)</f>
        <v>-0.18507478436410349</v>
      </c>
      <c r="O72" s="14"/>
      <c r="P72" s="1">
        <f>SUM(OSRRefP22_13x_0)</f>
        <v>115029.53</v>
      </c>
      <c r="Q72" s="1"/>
      <c r="R72" s="5">
        <f t="shared" ref="R72:R76" si="40">IF(P$12=0,0,P72/P$12)</f>
        <v>1.789971941472188E-2</v>
      </c>
      <c r="S72" s="1"/>
      <c r="T72" s="1">
        <f>SUM(OSRRefT22_13x_0)</f>
        <v>147828</v>
      </c>
      <c r="U72" s="1"/>
      <c r="V72" s="5">
        <f t="shared" ref="V72:V76" si="41">IF(T$12=0,0,T72/T$12)</f>
        <v>2.9807878435927217E-2</v>
      </c>
      <c r="W72" s="1"/>
      <c r="X72" s="1">
        <f t="shared" ref="X72:X76" si="42">+P72-T72</f>
        <v>-32798.47</v>
      </c>
      <c r="Y72" s="1"/>
      <c r="Z72" s="5">
        <f t="shared" ref="Z72:Z76" si="43">IF(T72=0,0,X72/T72)</f>
        <v>-0.22186913169358985</v>
      </c>
    </row>
    <row r="73" spans="1:26" s="24" customFormat="1" hidden="1" outlineLevel="2" x14ac:dyDescent="0.3">
      <c r="A73" s="27"/>
      <c r="B73" s="11" t="str">
        <f>CONCATENATE("          ", "6282", " - ", "JANITORIAL/EXTERMINATOR EXPENS")</f>
        <v xml:space="preserve">          6282 - JANITORIAL/EXTERMINATOR EXPENS</v>
      </c>
      <c r="C73" s="11"/>
      <c r="D73" s="7">
        <v>914.2</v>
      </c>
      <c r="E73" s="2"/>
      <c r="F73" s="6">
        <f t="shared" si="36"/>
        <v>1.4433631605756674E-3</v>
      </c>
      <c r="G73" s="2"/>
      <c r="H73" s="7">
        <v>1570</v>
      </c>
      <c r="I73" s="2"/>
      <c r="J73" s="6">
        <f t="shared" si="37"/>
        <v>3.539862914862915E-3</v>
      </c>
      <c r="K73" s="2"/>
      <c r="L73" s="7">
        <f t="shared" si="38"/>
        <v>-655.8</v>
      </c>
      <c r="M73" s="2"/>
      <c r="N73" s="6">
        <f t="shared" si="39"/>
        <v>-0.4177070063694267</v>
      </c>
      <c r="O73" s="11"/>
      <c r="P73" s="7">
        <v>10766.02</v>
      </c>
      <c r="Q73" s="2"/>
      <c r="R73" s="6">
        <f t="shared" si="40"/>
        <v>1.6752979622996292E-3</v>
      </c>
      <c r="S73" s="2"/>
      <c r="T73" s="7">
        <v>10990</v>
      </c>
      <c r="U73" s="2"/>
      <c r="V73" s="6">
        <f t="shared" si="41"/>
        <v>2.2160117434507679E-3</v>
      </c>
      <c r="W73" s="2"/>
      <c r="X73" s="7">
        <f t="shared" si="42"/>
        <v>-223.97999999999956</v>
      </c>
      <c r="Y73" s="2"/>
      <c r="Z73" s="6">
        <f t="shared" si="43"/>
        <v>-2.0380345768880762E-2</v>
      </c>
    </row>
    <row r="74" spans="1:26" s="24" customFormat="1" hidden="1" outlineLevel="2" x14ac:dyDescent="0.3">
      <c r="A74" s="27"/>
      <c r="B74" s="11" t="str">
        <f>CONCATENATE("          ", "6284", " - ", "TRASH REMOVAL EXPENSE")</f>
        <v xml:space="preserve">          6284 - TRASH REMOVAL EXPENSE</v>
      </c>
      <c r="C74" s="11"/>
      <c r="D74" s="7"/>
      <c r="E74" s="2"/>
      <c r="F74" s="6">
        <f t="shared" si="36"/>
        <v>0</v>
      </c>
      <c r="G74" s="2"/>
      <c r="H74" s="7">
        <v>600</v>
      </c>
      <c r="I74" s="2"/>
      <c r="J74" s="6">
        <f t="shared" si="37"/>
        <v>1.3528138528138528E-3</v>
      </c>
      <c r="K74" s="2"/>
      <c r="L74" s="7">
        <f t="shared" si="38"/>
        <v>-600</v>
      </c>
      <c r="M74" s="2"/>
      <c r="N74" s="6">
        <f t="shared" si="39"/>
        <v>-1</v>
      </c>
      <c r="O74" s="11"/>
      <c r="P74" s="7"/>
      <c r="Q74" s="2"/>
      <c r="R74" s="6">
        <f t="shared" si="40"/>
        <v>0</v>
      </c>
      <c r="S74" s="2"/>
      <c r="T74" s="7">
        <v>4200</v>
      </c>
      <c r="U74" s="2"/>
      <c r="V74" s="6">
        <f t="shared" si="41"/>
        <v>8.468834688346884E-4</v>
      </c>
      <c r="W74" s="2"/>
      <c r="X74" s="7">
        <f t="shared" si="42"/>
        <v>-4200</v>
      </c>
      <c r="Y74" s="2"/>
      <c r="Z74" s="6">
        <f t="shared" si="43"/>
        <v>-1</v>
      </c>
    </row>
    <row r="75" spans="1:26" s="24" customFormat="1" hidden="1" outlineLevel="2" x14ac:dyDescent="0.3">
      <c r="A75" s="27"/>
      <c r="B75" s="11" t="str">
        <f>CONCATENATE("          ", "6285", " - ", "JANITORIAL SERVICES")</f>
        <v xml:space="preserve">          6285 - JANITORIAL SERVICES</v>
      </c>
      <c r="C75" s="11"/>
      <c r="D75" s="7">
        <v>14029.69</v>
      </c>
      <c r="E75" s="2"/>
      <c r="F75" s="6">
        <f t="shared" si="36"/>
        <v>2.2150445964008791E-2</v>
      </c>
      <c r="G75" s="2"/>
      <c r="H75" s="7">
        <v>14859</v>
      </c>
      <c r="I75" s="2"/>
      <c r="J75" s="6">
        <f t="shared" si="37"/>
        <v>3.3502435064935068E-2</v>
      </c>
      <c r="K75" s="2"/>
      <c r="L75" s="7">
        <f t="shared" si="38"/>
        <v>-829.30999999999949</v>
      </c>
      <c r="M75" s="2"/>
      <c r="N75" s="6">
        <f t="shared" si="39"/>
        <v>-5.5811965811965777E-2</v>
      </c>
      <c r="O75" s="11"/>
      <c r="P75" s="7">
        <v>86777.87</v>
      </c>
      <c r="Q75" s="2"/>
      <c r="R75" s="6">
        <f t="shared" si="40"/>
        <v>1.3503484926063866E-2</v>
      </c>
      <c r="S75" s="2"/>
      <c r="T75" s="7">
        <v>100869</v>
      </c>
      <c r="U75" s="2"/>
      <c r="V75" s="6">
        <f t="shared" si="41"/>
        <v>2.0339116337591948E-2</v>
      </c>
      <c r="W75" s="2"/>
      <c r="X75" s="7">
        <f t="shared" si="42"/>
        <v>-14091.130000000005</v>
      </c>
      <c r="Y75" s="2"/>
      <c r="Z75" s="6">
        <f t="shared" si="43"/>
        <v>-0.13969733020055722</v>
      </c>
    </row>
    <row r="76" spans="1:26" s="24" customFormat="1" hidden="1" outlineLevel="2" x14ac:dyDescent="0.3">
      <c r="A76" s="27"/>
      <c r="B76" s="11" t="str">
        <f>CONCATENATE("          ", "6286", " - ", "LAUNDRY EXPENSE")</f>
        <v xml:space="preserve">          6286 - LAUNDRY EXPENSE</v>
      </c>
      <c r="C76" s="11"/>
      <c r="D76" s="7">
        <v>2818.22</v>
      </c>
      <c r="E76" s="2"/>
      <c r="F76" s="6">
        <f t="shared" si="36"/>
        <v>4.4494803395291587E-3</v>
      </c>
      <c r="G76" s="2"/>
      <c r="H76" s="7">
        <v>4767</v>
      </c>
      <c r="I76" s="2"/>
      <c r="J76" s="6">
        <f t="shared" si="37"/>
        <v>1.074810606060606E-2</v>
      </c>
      <c r="K76" s="2"/>
      <c r="L76" s="7">
        <f t="shared" si="38"/>
        <v>-1948.7800000000002</v>
      </c>
      <c r="M76" s="2"/>
      <c r="N76" s="6">
        <f t="shared" si="39"/>
        <v>-0.40880637717642127</v>
      </c>
      <c r="O76" s="11"/>
      <c r="P76" s="7">
        <v>17485.64</v>
      </c>
      <c r="Q76" s="2"/>
      <c r="R76" s="6">
        <f t="shared" si="40"/>
        <v>2.7209365263583837E-3</v>
      </c>
      <c r="S76" s="2"/>
      <c r="T76" s="7">
        <v>31769</v>
      </c>
      <c r="U76" s="2"/>
      <c r="V76" s="6">
        <f t="shared" si="41"/>
        <v>6.405866886049813E-3</v>
      </c>
      <c r="W76" s="2"/>
      <c r="X76" s="7">
        <f t="shared" si="42"/>
        <v>-14283.36</v>
      </c>
      <c r="Y76" s="2"/>
      <c r="Z76" s="6">
        <f t="shared" si="43"/>
        <v>-0.44960055399918158</v>
      </c>
    </row>
    <row r="77" spans="1:26" s="28" customFormat="1" outlineLevel="1" collapsed="1" x14ac:dyDescent="0.3">
      <c r="A77" s="29"/>
      <c r="B77" s="14" t="str">
        <f>CONCATENATE("     ","Subscriptions &amp; Dues                              ")</f>
        <v xml:space="preserve">     Subscriptions &amp; Dues                              </v>
      </c>
      <c r="C77" s="14"/>
      <c r="D77" s="1">
        <f>SUM(OSRRefD22_14x_0)</f>
        <v>0</v>
      </c>
      <c r="E77" s="1"/>
      <c r="F77" s="5">
        <f t="shared" ref="F77:F87" si="44">IF(D$12=0,0,D77/D$12)</f>
        <v>0</v>
      </c>
      <c r="G77" s="1"/>
      <c r="H77" s="1">
        <f>SUM(OSRRefH22_14x_0)</f>
        <v>0</v>
      </c>
      <c r="I77" s="1"/>
      <c r="J77" s="5">
        <f t="shared" ref="J77:J87" si="45">IF(H$12=0,0,H77/H$12)</f>
        <v>0</v>
      </c>
      <c r="K77" s="1"/>
      <c r="L77" s="1">
        <f t="shared" ref="L77:L87" si="46">+D77-H77</f>
        <v>0</v>
      </c>
      <c r="M77" s="1"/>
      <c r="N77" s="5">
        <f t="shared" ref="N77:N87" si="47">IF(H77=0,0,L77/H77)</f>
        <v>0</v>
      </c>
      <c r="O77" s="14"/>
      <c r="P77" s="1">
        <f>SUM(OSRRefP22_14x_0)</f>
        <v>0</v>
      </c>
      <c r="Q77" s="1"/>
      <c r="R77" s="5">
        <f t="shared" ref="R77:R87" si="48">IF(P$12=0,0,P77/P$12)</f>
        <v>0</v>
      </c>
      <c r="S77" s="1"/>
      <c r="T77" s="1">
        <f>SUM(OSRRefT22_14x_0)</f>
        <v>795</v>
      </c>
      <c r="U77" s="1"/>
      <c r="V77" s="5">
        <f t="shared" ref="V77:V87" si="49">IF(T$12=0,0,T77/T$12)</f>
        <v>1.6030294231513743E-4</v>
      </c>
      <c r="W77" s="1"/>
      <c r="X77" s="1">
        <f t="shared" ref="X77:X87" si="50">+P77-T77</f>
        <v>-795</v>
      </c>
      <c r="Y77" s="1"/>
      <c r="Z77" s="5">
        <f t="shared" ref="Z77:Z87" si="51">IF(T77=0,0,X77/T77)</f>
        <v>-1</v>
      </c>
    </row>
    <row r="78" spans="1:26" s="24" customFormat="1" hidden="1" outlineLevel="2" x14ac:dyDescent="0.3">
      <c r="A78" s="27"/>
      <c r="B78" s="11" t="str">
        <f>CONCATENATE("          ", "6258", " - ", "MEMBERSHIP DUES")</f>
        <v xml:space="preserve">          6258 - MEMBERSHIP DUES</v>
      </c>
      <c r="C78" s="11"/>
      <c r="D78" s="7"/>
      <c r="E78" s="2"/>
      <c r="F78" s="6">
        <f t="shared" si="44"/>
        <v>0</v>
      </c>
      <c r="G78" s="2"/>
      <c r="H78" s="7"/>
      <c r="I78" s="2"/>
      <c r="J78" s="6">
        <f t="shared" si="45"/>
        <v>0</v>
      </c>
      <c r="K78" s="2"/>
      <c r="L78" s="7">
        <f t="shared" si="46"/>
        <v>0</v>
      </c>
      <c r="M78" s="2"/>
      <c r="N78" s="6">
        <f t="shared" si="47"/>
        <v>0</v>
      </c>
      <c r="O78" s="11"/>
      <c r="P78" s="7"/>
      <c r="Q78" s="2"/>
      <c r="R78" s="6">
        <f t="shared" si="48"/>
        <v>0</v>
      </c>
      <c r="S78" s="2"/>
      <c r="T78" s="7">
        <v>795</v>
      </c>
      <c r="U78" s="2"/>
      <c r="V78" s="6">
        <f t="shared" si="49"/>
        <v>1.6030294231513743E-4</v>
      </c>
      <c r="W78" s="2"/>
      <c r="X78" s="7">
        <f t="shared" si="50"/>
        <v>-795</v>
      </c>
      <c r="Y78" s="2"/>
      <c r="Z78" s="6">
        <f t="shared" si="51"/>
        <v>-1</v>
      </c>
    </row>
    <row r="79" spans="1:26" s="28" customFormat="1" outlineLevel="1" collapsed="1" x14ac:dyDescent="0.3">
      <c r="A79" s="29"/>
      <c r="B79" s="14" t="str">
        <f>CONCATENATE("     ","Supplies                                          ")</f>
        <v xml:space="preserve">     Supplies                                          </v>
      </c>
      <c r="C79" s="14"/>
      <c r="D79" s="1">
        <f>SUM(OSRRefD22_15x_0)</f>
        <v>9578.130000000001</v>
      </c>
      <c r="E79" s="1"/>
      <c r="F79" s="5">
        <f t="shared" si="44"/>
        <v>1.5122205194929576E-2</v>
      </c>
      <c r="G79" s="1"/>
      <c r="H79" s="1">
        <f>SUM(OSRRefH22_15x_0)</f>
        <v>29700</v>
      </c>
      <c r="I79" s="1"/>
      <c r="J79" s="5">
        <f t="shared" si="45"/>
        <v>6.6964285714285712E-2</v>
      </c>
      <c r="K79" s="1"/>
      <c r="L79" s="1">
        <f t="shared" si="46"/>
        <v>-20121.87</v>
      </c>
      <c r="M79" s="1"/>
      <c r="N79" s="5">
        <f t="shared" si="47"/>
        <v>-0.67750404040404033</v>
      </c>
      <c r="O79" s="14"/>
      <c r="P79" s="1">
        <f>SUM(OSRRefP22_15x_0)</f>
        <v>218749.7</v>
      </c>
      <c r="Q79" s="1"/>
      <c r="R79" s="5">
        <f t="shared" si="48"/>
        <v>3.4039591851367096E-2</v>
      </c>
      <c r="S79" s="1"/>
      <c r="T79" s="1">
        <f>SUM(OSRRefT22_15x_0)</f>
        <v>214600</v>
      </c>
      <c r="U79" s="1"/>
      <c r="V79" s="5">
        <f t="shared" si="49"/>
        <v>4.3271712479029549E-2</v>
      </c>
      <c r="W79" s="1"/>
      <c r="X79" s="1">
        <f t="shared" si="50"/>
        <v>4149.7000000000116</v>
      </c>
      <c r="Y79" s="1"/>
      <c r="Z79" s="5">
        <f t="shared" si="51"/>
        <v>1.9336905871388685E-2</v>
      </c>
    </row>
    <row r="80" spans="1:26" s="24" customFormat="1" hidden="1" outlineLevel="2" x14ac:dyDescent="0.3">
      <c r="A80" s="27"/>
      <c r="B80" s="11" t="str">
        <f>CONCATENATE("          ", "6234", " - ", "EXPENDABLE SUPPLIES &amp; EQUIPMEN")</f>
        <v xml:space="preserve">          6234 - EXPENDABLE SUPPLIES &amp; EQUIPMEN</v>
      </c>
      <c r="C80" s="11"/>
      <c r="D80" s="7"/>
      <c r="E80" s="2"/>
      <c r="F80" s="6">
        <f t="shared" si="44"/>
        <v>0</v>
      </c>
      <c r="G80" s="2"/>
      <c r="H80" s="7">
        <v>342</v>
      </c>
      <c r="I80" s="2"/>
      <c r="J80" s="6">
        <f t="shared" si="45"/>
        <v>7.7110389610389614E-4</v>
      </c>
      <c r="K80" s="2"/>
      <c r="L80" s="7">
        <f t="shared" si="46"/>
        <v>-342</v>
      </c>
      <c r="M80" s="2"/>
      <c r="N80" s="6">
        <f t="shared" si="47"/>
        <v>-1</v>
      </c>
      <c r="O80" s="11"/>
      <c r="P80" s="7">
        <v>336.98</v>
      </c>
      <c r="Q80" s="2"/>
      <c r="R80" s="6">
        <f t="shared" si="48"/>
        <v>5.2437382369318377E-5</v>
      </c>
      <c r="S80" s="2"/>
      <c r="T80" s="7">
        <v>2394</v>
      </c>
      <c r="U80" s="2"/>
      <c r="V80" s="6">
        <f t="shared" si="49"/>
        <v>4.8272357723577237E-4</v>
      </c>
      <c r="W80" s="2"/>
      <c r="X80" s="7">
        <f t="shared" si="50"/>
        <v>-2057.02</v>
      </c>
      <c r="Y80" s="2"/>
      <c r="Z80" s="6">
        <f t="shared" si="51"/>
        <v>-0.85923976608187136</v>
      </c>
    </row>
    <row r="81" spans="1:26" s="24" customFormat="1" hidden="1" outlineLevel="2" x14ac:dyDescent="0.3">
      <c r="A81" s="27"/>
      <c r="B81" s="11" t="str">
        <f>CONCATENATE("          ", "6237", " - ", "JANITORIAL SUPPLIES")</f>
        <v xml:space="preserve">          6237 - JANITORIAL SUPPLIES</v>
      </c>
      <c r="C81" s="11"/>
      <c r="D81" s="7">
        <v>2238.52</v>
      </c>
      <c r="E81" s="2"/>
      <c r="F81" s="6">
        <f t="shared" si="44"/>
        <v>3.534234633791121E-3</v>
      </c>
      <c r="G81" s="2"/>
      <c r="H81" s="7">
        <v>9750</v>
      </c>
      <c r="I81" s="2"/>
      <c r="J81" s="6">
        <f t="shared" si="45"/>
        <v>2.1983225108225108E-2</v>
      </c>
      <c r="K81" s="2"/>
      <c r="L81" s="7">
        <f t="shared" si="46"/>
        <v>-7511.48</v>
      </c>
      <c r="M81" s="2"/>
      <c r="N81" s="6">
        <f t="shared" si="47"/>
        <v>-0.77040820512820507</v>
      </c>
      <c r="O81" s="11"/>
      <c r="P81" s="7">
        <v>34036.14</v>
      </c>
      <c r="Q81" s="2"/>
      <c r="R81" s="6">
        <f t="shared" si="48"/>
        <v>5.2963561266414971E-3</v>
      </c>
      <c r="S81" s="2"/>
      <c r="T81" s="7">
        <v>71250</v>
      </c>
      <c r="U81" s="2"/>
      <c r="V81" s="6">
        <f t="shared" si="49"/>
        <v>1.4366773132017034E-2</v>
      </c>
      <c r="W81" s="2"/>
      <c r="X81" s="7">
        <f t="shared" si="50"/>
        <v>-37213.86</v>
      </c>
      <c r="Y81" s="2"/>
      <c r="Z81" s="6">
        <f t="shared" si="51"/>
        <v>-0.52229978947368427</v>
      </c>
    </row>
    <row r="82" spans="1:26" s="24" customFormat="1" hidden="1" outlineLevel="2" x14ac:dyDescent="0.3">
      <c r="A82" s="27"/>
      <c r="B82" s="11" t="str">
        <f>CONCATENATE("          ", "6239", " - ", "KITCHEN SUPPLIES")</f>
        <v xml:space="preserve">          6239 - KITCHEN SUPPLIES</v>
      </c>
      <c r="C82" s="11"/>
      <c r="D82" s="7">
        <v>1268.6600000000001</v>
      </c>
      <c r="E82" s="2"/>
      <c r="F82" s="6">
        <f t="shared" si="44"/>
        <v>2.0029939917916499E-3</v>
      </c>
      <c r="G82" s="2"/>
      <c r="H82" s="7">
        <v>3750</v>
      </c>
      <c r="I82" s="2"/>
      <c r="J82" s="6">
        <f t="shared" si="45"/>
        <v>8.45508658008658E-3</v>
      </c>
      <c r="K82" s="2"/>
      <c r="L82" s="7">
        <f t="shared" si="46"/>
        <v>-2481.34</v>
      </c>
      <c r="M82" s="2"/>
      <c r="N82" s="6">
        <f t="shared" si="47"/>
        <v>-0.66169066666666676</v>
      </c>
      <c r="O82" s="11"/>
      <c r="P82" s="7">
        <v>25428.59</v>
      </c>
      <c r="Q82" s="2"/>
      <c r="R82" s="6">
        <f t="shared" si="48"/>
        <v>3.9569371978830361E-3</v>
      </c>
      <c r="S82" s="2"/>
      <c r="T82" s="7">
        <v>31950</v>
      </c>
      <c r="U82" s="2"/>
      <c r="V82" s="6">
        <f t="shared" si="49"/>
        <v>6.4423635307781649E-3</v>
      </c>
      <c r="W82" s="2"/>
      <c r="X82" s="7">
        <f t="shared" si="50"/>
        <v>-6521.41</v>
      </c>
      <c r="Y82" s="2"/>
      <c r="Z82" s="6">
        <f t="shared" si="51"/>
        <v>-0.20411298904538341</v>
      </c>
    </row>
    <row r="83" spans="1:26" s="24" customFormat="1" hidden="1" outlineLevel="2" x14ac:dyDescent="0.3">
      <c r="A83" s="27"/>
      <c r="B83" s="11" t="str">
        <f>CONCATENATE("          ", "6241", " - ", "OFFICE EXPENSE")</f>
        <v xml:space="preserve">          6241 - OFFICE EXPENSE</v>
      </c>
      <c r="C83" s="11"/>
      <c r="D83" s="7">
        <v>487.38</v>
      </c>
      <c r="E83" s="2"/>
      <c r="F83" s="6">
        <f t="shared" si="44"/>
        <v>7.6948844585579611E-4</v>
      </c>
      <c r="G83" s="2"/>
      <c r="H83" s="7">
        <v>1445</v>
      </c>
      <c r="I83" s="2"/>
      <c r="J83" s="6">
        <f t="shared" si="45"/>
        <v>3.2580266955266955E-3</v>
      </c>
      <c r="K83" s="2"/>
      <c r="L83" s="7">
        <f t="shared" si="46"/>
        <v>-957.62</v>
      </c>
      <c r="M83" s="2"/>
      <c r="N83" s="6">
        <f t="shared" si="47"/>
        <v>-0.66271280276816613</v>
      </c>
      <c r="O83" s="11"/>
      <c r="P83" s="7">
        <v>14149.59</v>
      </c>
      <c r="Q83" s="2"/>
      <c r="R83" s="6">
        <f t="shared" si="48"/>
        <v>2.201814532610492E-3</v>
      </c>
      <c r="S83" s="2"/>
      <c r="T83" s="7">
        <v>10115</v>
      </c>
      <c r="U83" s="2"/>
      <c r="V83" s="6">
        <f t="shared" si="49"/>
        <v>2.0395776874435412E-3</v>
      </c>
      <c r="W83" s="2"/>
      <c r="X83" s="7">
        <f t="shared" si="50"/>
        <v>4034.59</v>
      </c>
      <c r="Y83" s="2"/>
      <c r="Z83" s="6">
        <f t="shared" si="51"/>
        <v>0.3988719723183391</v>
      </c>
    </row>
    <row r="84" spans="1:26" s="24" customFormat="1" hidden="1" outlineLevel="2" x14ac:dyDescent="0.3">
      <c r="A84" s="27"/>
      <c r="B84" s="11" t="str">
        <f>CONCATENATE("          ", "6243", " - ", "PAPER SUPPLIES")</f>
        <v xml:space="preserve">          6243 - PAPER SUPPLIES</v>
      </c>
      <c r="C84" s="11"/>
      <c r="D84" s="7">
        <v>5583.57</v>
      </c>
      <c r="E84" s="2"/>
      <c r="F84" s="6">
        <f t="shared" si="44"/>
        <v>8.8154881234910071E-3</v>
      </c>
      <c r="G84" s="2"/>
      <c r="H84" s="7">
        <v>13300</v>
      </c>
      <c r="I84" s="2"/>
      <c r="J84" s="6">
        <f t="shared" si="45"/>
        <v>2.9987373737373736E-2</v>
      </c>
      <c r="K84" s="2"/>
      <c r="L84" s="7">
        <f t="shared" si="46"/>
        <v>-7716.43</v>
      </c>
      <c r="M84" s="2"/>
      <c r="N84" s="6">
        <f t="shared" si="47"/>
        <v>-0.5801827067669173</v>
      </c>
      <c r="O84" s="11"/>
      <c r="P84" s="7">
        <v>137942.46</v>
      </c>
      <c r="Q84" s="2"/>
      <c r="R84" s="6">
        <f t="shared" si="48"/>
        <v>2.1465195323118299E-2</v>
      </c>
      <c r="S84" s="2"/>
      <c r="T84" s="7">
        <v>91100</v>
      </c>
      <c r="U84" s="2"/>
      <c r="V84" s="6">
        <f t="shared" si="49"/>
        <v>1.8369305716866693E-2</v>
      </c>
      <c r="W84" s="2"/>
      <c r="X84" s="7">
        <f t="shared" si="50"/>
        <v>46842.459999999992</v>
      </c>
      <c r="Y84" s="2"/>
      <c r="Z84" s="6">
        <f t="shared" si="51"/>
        <v>0.51418726673984627</v>
      </c>
    </row>
    <row r="85" spans="1:26" s="24" customFormat="1" hidden="1" outlineLevel="2" x14ac:dyDescent="0.3">
      <c r="A85" s="27"/>
      <c r="B85" s="11" t="str">
        <f>CONCATENATE("          ", "6244", " - ", "SAFETY SUPPLY EXPENSE")</f>
        <v xml:space="preserve">          6244 - SAFETY SUPPLY EXPENSE</v>
      </c>
      <c r="C85" s="11"/>
      <c r="D85" s="7"/>
      <c r="E85" s="2"/>
      <c r="F85" s="6">
        <f t="shared" si="44"/>
        <v>0</v>
      </c>
      <c r="G85" s="2"/>
      <c r="H85" s="7">
        <v>525</v>
      </c>
      <c r="I85" s="2"/>
      <c r="J85" s="6">
        <f t="shared" si="45"/>
        <v>1.1837121212121212E-3</v>
      </c>
      <c r="K85" s="2"/>
      <c r="L85" s="7">
        <f t="shared" si="46"/>
        <v>-525</v>
      </c>
      <c r="M85" s="2"/>
      <c r="N85" s="6">
        <f t="shared" si="47"/>
        <v>-1</v>
      </c>
      <c r="O85" s="11"/>
      <c r="P85" s="7"/>
      <c r="Q85" s="2"/>
      <c r="R85" s="6">
        <f t="shared" si="48"/>
        <v>0</v>
      </c>
      <c r="S85" s="2"/>
      <c r="T85" s="7">
        <v>3675</v>
      </c>
      <c r="U85" s="2"/>
      <c r="V85" s="6">
        <f t="shared" si="49"/>
        <v>7.4102303523035232E-4</v>
      </c>
      <c r="W85" s="2"/>
      <c r="X85" s="7">
        <f t="shared" si="50"/>
        <v>-3675</v>
      </c>
      <c r="Y85" s="2"/>
      <c r="Z85" s="6">
        <f t="shared" si="51"/>
        <v>-1</v>
      </c>
    </row>
    <row r="86" spans="1:26" s="24" customFormat="1" hidden="1" outlineLevel="2" x14ac:dyDescent="0.3">
      <c r="A86" s="27"/>
      <c r="B86" s="11" t="str">
        <f>CONCATENATE("          ", "6247", " - ", "STORE SUPPLIES")</f>
        <v xml:space="preserve">          6247 - STORE SUPPLIES</v>
      </c>
      <c r="C86" s="11"/>
      <c r="D86" s="7"/>
      <c r="E86" s="2"/>
      <c r="F86" s="6">
        <f t="shared" si="44"/>
        <v>0</v>
      </c>
      <c r="G86" s="2"/>
      <c r="H86" s="7"/>
      <c r="I86" s="2"/>
      <c r="J86" s="6">
        <f t="shared" si="45"/>
        <v>0</v>
      </c>
      <c r="K86" s="2"/>
      <c r="L86" s="7">
        <f t="shared" si="46"/>
        <v>0</v>
      </c>
      <c r="M86" s="2"/>
      <c r="N86" s="6">
        <f t="shared" si="47"/>
        <v>0</v>
      </c>
      <c r="O86" s="11"/>
      <c r="P86" s="7">
        <v>1244.71</v>
      </c>
      <c r="Q86" s="2"/>
      <c r="R86" s="6">
        <f t="shared" si="48"/>
        <v>1.936890444801302E-4</v>
      </c>
      <c r="S86" s="2"/>
      <c r="T86" s="7"/>
      <c r="U86" s="2"/>
      <c r="V86" s="6">
        <f t="shared" si="49"/>
        <v>0</v>
      </c>
      <c r="W86" s="2"/>
      <c r="X86" s="7">
        <f t="shared" si="50"/>
        <v>1244.71</v>
      </c>
      <c r="Y86" s="2"/>
      <c r="Z86" s="6">
        <f t="shared" si="51"/>
        <v>0</v>
      </c>
    </row>
    <row r="87" spans="1:26" s="24" customFormat="1" hidden="1" outlineLevel="2" x14ac:dyDescent="0.3">
      <c r="A87" s="27"/>
      <c r="B87" s="11" t="str">
        <f>CONCATENATE("          ", "6248", " - ", "UNIFORMS")</f>
        <v xml:space="preserve">          6248 - UNIFORMS</v>
      </c>
      <c r="C87" s="11"/>
      <c r="D87" s="7"/>
      <c r="E87" s="2"/>
      <c r="F87" s="6">
        <f t="shared" si="44"/>
        <v>0</v>
      </c>
      <c r="G87" s="2"/>
      <c r="H87" s="7">
        <v>588</v>
      </c>
      <c r="I87" s="2"/>
      <c r="J87" s="6">
        <f t="shared" si="45"/>
        <v>1.3257575757575758E-3</v>
      </c>
      <c r="K87" s="2"/>
      <c r="L87" s="7">
        <f t="shared" si="46"/>
        <v>-588</v>
      </c>
      <c r="M87" s="2"/>
      <c r="N87" s="6">
        <f t="shared" si="47"/>
        <v>-1</v>
      </c>
      <c r="O87" s="11"/>
      <c r="P87" s="7">
        <v>5611.23</v>
      </c>
      <c r="Q87" s="2"/>
      <c r="R87" s="6">
        <f t="shared" si="48"/>
        <v>8.731622442643193E-4</v>
      </c>
      <c r="S87" s="2"/>
      <c r="T87" s="7">
        <v>4116</v>
      </c>
      <c r="U87" s="2"/>
      <c r="V87" s="6">
        <f t="shared" si="49"/>
        <v>8.2994579945799461E-4</v>
      </c>
      <c r="W87" s="2"/>
      <c r="X87" s="7">
        <f t="shared" si="50"/>
        <v>1495.2299999999996</v>
      </c>
      <c r="Y87" s="2"/>
      <c r="Z87" s="6">
        <f t="shared" si="51"/>
        <v>0.36327259475218648</v>
      </c>
    </row>
    <row r="88" spans="1:26" s="28" customFormat="1" outlineLevel="1" collapsed="1" x14ac:dyDescent="0.3">
      <c r="A88" s="29"/>
      <c r="B88" s="14" t="str">
        <f>CONCATENATE("     ","Telephone/Data Lines                              ")</f>
        <v xml:space="preserve">     Telephone/Data Lines                              </v>
      </c>
      <c r="C88" s="14"/>
      <c r="D88" s="1">
        <f>SUM(OSRRefD22_16x_0)</f>
        <v>734</v>
      </c>
      <c r="E88" s="1"/>
      <c r="F88" s="5">
        <f t="shared" ref="F88:F90" si="52">IF(D$12=0,0,D88/D$12)</f>
        <v>1.1588586303462479E-3</v>
      </c>
      <c r="G88" s="1"/>
      <c r="H88" s="1">
        <f>SUM(OSRRefH22_16x_0)</f>
        <v>601</v>
      </c>
      <c r="I88" s="1"/>
      <c r="J88" s="5">
        <f t="shared" ref="J88:J90" si="53">IF(H$12=0,0,H88/H$12)</f>
        <v>1.3550685425685425E-3</v>
      </c>
      <c r="K88" s="1"/>
      <c r="L88" s="1">
        <f t="shared" ref="L88:L90" si="54">+D88-H88</f>
        <v>133</v>
      </c>
      <c r="M88" s="1"/>
      <c r="N88" s="5">
        <f t="shared" ref="N88:N90" si="55">IF(H88=0,0,L88/H88)</f>
        <v>0.22129783693843594</v>
      </c>
      <c r="O88" s="14"/>
      <c r="P88" s="1">
        <f>SUM(OSRRefP22_16x_0)</f>
        <v>5019.8500000000004</v>
      </c>
      <c r="Q88" s="1"/>
      <c r="R88" s="5">
        <f t="shared" ref="R88:R90" si="56">IF(P$12=0,0,P88/P$12)</f>
        <v>7.8113773484071117E-4</v>
      </c>
      <c r="S88" s="1"/>
      <c r="T88" s="1">
        <f>SUM(OSRRefT22_16x_0)</f>
        <v>4207</v>
      </c>
      <c r="U88" s="1"/>
      <c r="V88" s="5">
        <f t="shared" ref="V88:V90" si="57">IF(T$12=0,0,T88/T$12)</f>
        <v>8.4829494128274617E-4</v>
      </c>
      <c r="W88" s="1"/>
      <c r="X88" s="1">
        <f t="shared" ref="X88:X90" si="58">+P88-T88</f>
        <v>812.85000000000036</v>
      </c>
      <c r="Y88" s="1"/>
      <c r="Z88" s="5">
        <f t="shared" ref="Z88:Z90" si="59">IF(T88=0,0,X88/T88)</f>
        <v>0.19321369146660336</v>
      </c>
    </row>
    <row r="89" spans="1:26" s="24" customFormat="1" hidden="1" outlineLevel="2" x14ac:dyDescent="0.3">
      <c r="A89" s="27"/>
      <c r="B89" s="11" t="str">
        <f>CONCATENATE("          ", "6303", " - ", "DATA PHONE LINES")</f>
        <v xml:space="preserve">          6303 - DATA PHONE LINES</v>
      </c>
      <c r="C89" s="11"/>
      <c r="D89" s="7"/>
      <c r="E89" s="2"/>
      <c r="F89" s="6">
        <f t="shared" si="52"/>
        <v>0</v>
      </c>
      <c r="G89" s="2"/>
      <c r="H89" s="7">
        <v>58</v>
      </c>
      <c r="I89" s="2"/>
      <c r="J89" s="6">
        <f t="shared" si="53"/>
        <v>1.3077200577200579E-4</v>
      </c>
      <c r="K89" s="2"/>
      <c r="L89" s="7">
        <f t="shared" si="54"/>
        <v>-58</v>
      </c>
      <c r="M89" s="2"/>
      <c r="N89" s="6">
        <f t="shared" si="55"/>
        <v>-1</v>
      </c>
      <c r="O89" s="11"/>
      <c r="P89" s="7"/>
      <c r="Q89" s="2"/>
      <c r="R89" s="6">
        <f t="shared" si="56"/>
        <v>0</v>
      </c>
      <c r="S89" s="2"/>
      <c r="T89" s="7">
        <v>406</v>
      </c>
      <c r="U89" s="2"/>
      <c r="V89" s="6">
        <f t="shared" si="57"/>
        <v>8.1865401987353211E-5</v>
      </c>
      <c r="W89" s="2"/>
      <c r="X89" s="7">
        <f t="shared" si="58"/>
        <v>-406</v>
      </c>
      <c r="Y89" s="2"/>
      <c r="Z89" s="6">
        <f t="shared" si="59"/>
        <v>-1</v>
      </c>
    </row>
    <row r="90" spans="1:26" s="24" customFormat="1" hidden="1" outlineLevel="2" x14ac:dyDescent="0.3">
      <c r="A90" s="27"/>
      <c r="B90" s="11" t="str">
        <f>CONCATENATE("          ", "6309", " - ", "TELEPHONE")</f>
        <v xml:space="preserve">          6309 - TELEPHONE</v>
      </c>
      <c r="C90" s="11"/>
      <c r="D90" s="7">
        <v>734</v>
      </c>
      <c r="E90" s="2"/>
      <c r="F90" s="6">
        <f t="shared" si="52"/>
        <v>1.1588586303462479E-3</v>
      </c>
      <c r="G90" s="2"/>
      <c r="H90" s="7">
        <v>543</v>
      </c>
      <c r="I90" s="2"/>
      <c r="J90" s="6">
        <f t="shared" si="53"/>
        <v>1.2242965367965368E-3</v>
      </c>
      <c r="K90" s="2"/>
      <c r="L90" s="7">
        <f t="shared" si="54"/>
        <v>191</v>
      </c>
      <c r="M90" s="2"/>
      <c r="N90" s="6">
        <f t="shared" si="55"/>
        <v>0.35174953959484345</v>
      </c>
      <c r="O90" s="11"/>
      <c r="P90" s="7">
        <v>5019.8500000000004</v>
      </c>
      <c r="Q90" s="2"/>
      <c r="R90" s="6">
        <f t="shared" si="56"/>
        <v>7.8113773484071117E-4</v>
      </c>
      <c r="S90" s="2"/>
      <c r="T90" s="7">
        <v>3801</v>
      </c>
      <c r="U90" s="2"/>
      <c r="V90" s="6">
        <f t="shared" si="57"/>
        <v>7.6642953929539296E-4</v>
      </c>
      <c r="W90" s="2"/>
      <c r="X90" s="7">
        <f t="shared" si="58"/>
        <v>1218.8500000000004</v>
      </c>
      <c r="Y90" s="2"/>
      <c r="Z90" s="6">
        <f t="shared" si="59"/>
        <v>0.32066561431202323</v>
      </c>
    </row>
    <row r="91" spans="1:26" s="28" customFormat="1" outlineLevel="1" collapsed="1" x14ac:dyDescent="0.3">
      <c r="A91" s="29"/>
      <c r="B91" s="14" t="str">
        <f>CONCATENATE("     ","Training                                          ")</f>
        <v xml:space="preserve">     Training                                          </v>
      </c>
      <c r="C91" s="14"/>
      <c r="D91" s="1">
        <f>SUM(OSRRefD22_17x_0)</f>
        <v>323.87</v>
      </c>
      <c r="E91" s="1"/>
      <c r="F91" s="5">
        <f t="shared" ref="F91:F95" si="60">IF(D$12=0,0,D91/D$12)</f>
        <v>5.1133452944174295E-4</v>
      </c>
      <c r="G91" s="1"/>
      <c r="H91" s="1">
        <f>SUM(OSRRefH22_17x_0)</f>
        <v>1660</v>
      </c>
      <c r="I91" s="1"/>
      <c r="J91" s="5">
        <f t="shared" ref="J91:J95" si="61">IF(H$12=0,0,H91/H$12)</f>
        <v>3.742784992784993E-3</v>
      </c>
      <c r="K91" s="1"/>
      <c r="L91" s="1">
        <f t="shared" ref="L91:L95" si="62">+D91-H91</f>
        <v>-1336.13</v>
      </c>
      <c r="M91" s="1"/>
      <c r="N91" s="5">
        <f t="shared" ref="N91:N95" si="63">IF(H91=0,0,L91/H91)</f>
        <v>-0.80489759036144581</v>
      </c>
      <c r="O91" s="14"/>
      <c r="P91" s="1">
        <f>SUM(OSRRefP22_17x_0)</f>
        <v>1393.87</v>
      </c>
      <c r="Q91" s="1"/>
      <c r="R91" s="5">
        <f t="shared" ref="R91:R95" si="64">IF(P$12=0,0,P91/P$12)</f>
        <v>2.1689979869167841E-4</v>
      </c>
      <c r="S91" s="1"/>
      <c r="T91" s="1">
        <f>SUM(OSRRefT22_17x_0)</f>
        <v>5500</v>
      </c>
      <c r="U91" s="1"/>
      <c r="V91" s="5">
        <f t="shared" ref="V91:V95" si="65">IF(T$12=0,0,T91/T$12)</f>
        <v>1.1090140663311395E-3</v>
      </c>
      <c r="W91" s="1"/>
      <c r="X91" s="1">
        <f t="shared" ref="X91:X95" si="66">+P91-T91</f>
        <v>-4106.13</v>
      </c>
      <c r="Y91" s="1"/>
      <c r="Z91" s="5">
        <f t="shared" ref="Z91:Z95" si="67">IF(T91=0,0,X91/T91)</f>
        <v>-0.74656909090909096</v>
      </c>
    </row>
    <row r="92" spans="1:26" s="24" customFormat="1" hidden="1" outlineLevel="2" x14ac:dyDescent="0.3">
      <c r="A92" s="27"/>
      <c r="B92" s="11" t="str">
        <f>CONCATENATE("          ", "6376", " - ", "TRAINING")</f>
        <v xml:space="preserve">          6376 - TRAINING</v>
      </c>
      <c r="C92" s="11"/>
      <c r="D92" s="7">
        <v>323.87</v>
      </c>
      <c r="E92" s="2"/>
      <c r="F92" s="6">
        <f t="shared" si="60"/>
        <v>5.1133452944174295E-4</v>
      </c>
      <c r="G92" s="2"/>
      <c r="H92" s="7">
        <v>1660</v>
      </c>
      <c r="I92" s="2"/>
      <c r="J92" s="6">
        <f t="shared" si="61"/>
        <v>3.742784992784993E-3</v>
      </c>
      <c r="K92" s="2"/>
      <c r="L92" s="7">
        <f t="shared" si="62"/>
        <v>-1336.13</v>
      </c>
      <c r="M92" s="2"/>
      <c r="N92" s="6">
        <f t="shared" si="63"/>
        <v>-0.80489759036144581</v>
      </c>
      <c r="O92" s="11"/>
      <c r="P92" s="7">
        <v>1393.87</v>
      </c>
      <c r="Q92" s="2"/>
      <c r="R92" s="6">
        <f t="shared" si="64"/>
        <v>2.1689979869167841E-4</v>
      </c>
      <c r="S92" s="2"/>
      <c r="T92" s="7">
        <v>5500</v>
      </c>
      <c r="U92" s="2"/>
      <c r="V92" s="6">
        <f t="shared" si="65"/>
        <v>1.1090140663311395E-3</v>
      </c>
      <c r="W92" s="2"/>
      <c r="X92" s="7">
        <f t="shared" si="66"/>
        <v>-4106.13</v>
      </c>
      <c r="Y92" s="2"/>
      <c r="Z92" s="6">
        <f t="shared" si="67"/>
        <v>-0.74656909090909096</v>
      </c>
    </row>
    <row r="93" spans="1:26" s="28" customFormat="1" outlineLevel="1" collapsed="1" x14ac:dyDescent="0.3">
      <c r="A93" s="29"/>
      <c r="B93" s="14" t="str">
        <f>CONCATENATE("     ","Travel                                            ")</f>
        <v xml:space="preserve">     Travel                                            </v>
      </c>
      <c r="C93" s="14"/>
      <c r="D93" s="1">
        <f>SUM(OSRRefD22_18x_0)</f>
        <v>0</v>
      </c>
      <c r="E93" s="1"/>
      <c r="F93" s="5">
        <f t="shared" si="60"/>
        <v>0</v>
      </c>
      <c r="G93" s="1"/>
      <c r="H93" s="1">
        <f>SUM(OSRRefH22_18x_0)</f>
        <v>0</v>
      </c>
      <c r="I93" s="1"/>
      <c r="J93" s="5">
        <f t="shared" si="61"/>
        <v>0</v>
      </c>
      <c r="K93" s="1"/>
      <c r="L93" s="1">
        <f t="shared" si="62"/>
        <v>0</v>
      </c>
      <c r="M93" s="1"/>
      <c r="N93" s="5">
        <f t="shared" si="63"/>
        <v>0</v>
      </c>
      <c r="O93" s="14"/>
      <c r="P93" s="1">
        <f>SUM(OSRRefP22_18x_0)</f>
        <v>699.02</v>
      </c>
      <c r="Q93" s="1"/>
      <c r="R93" s="5">
        <f t="shared" si="64"/>
        <v>1.0877434572912614E-4</v>
      </c>
      <c r="S93" s="1"/>
      <c r="T93" s="1">
        <f>SUM(OSRRefT22_18x_0)</f>
        <v>0</v>
      </c>
      <c r="U93" s="1"/>
      <c r="V93" s="5">
        <f t="shared" si="65"/>
        <v>0</v>
      </c>
      <c r="W93" s="1"/>
      <c r="X93" s="1">
        <f t="shared" si="66"/>
        <v>699.02</v>
      </c>
      <c r="Y93" s="1"/>
      <c r="Z93" s="5">
        <f t="shared" si="67"/>
        <v>0</v>
      </c>
    </row>
    <row r="94" spans="1:26" s="24" customFormat="1" hidden="1" outlineLevel="2" x14ac:dyDescent="0.3">
      <c r="A94" s="27"/>
      <c r="B94" s="11" t="str">
        <f>CONCATENATE("          ", "6292", " - ", "TRAVEL/CONFERENCE")</f>
        <v xml:space="preserve">          6292 - TRAVEL/CONFERENCE</v>
      </c>
      <c r="C94" s="11"/>
      <c r="D94" s="7"/>
      <c r="E94" s="2"/>
      <c r="F94" s="6">
        <f t="shared" si="60"/>
        <v>0</v>
      </c>
      <c r="G94" s="2"/>
      <c r="H94" s="7"/>
      <c r="I94" s="2"/>
      <c r="J94" s="6">
        <f t="shared" si="61"/>
        <v>0</v>
      </c>
      <c r="K94" s="2"/>
      <c r="L94" s="7">
        <f t="shared" si="62"/>
        <v>0</v>
      </c>
      <c r="M94" s="2"/>
      <c r="N94" s="6">
        <f t="shared" si="63"/>
        <v>0</v>
      </c>
      <c r="O94" s="11"/>
      <c r="P94" s="7">
        <v>595</v>
      </c>
      <c r="Q94" s="2"/>
      <c r="R94" s="6">
        <f t="shared" si="64"/>
        <v>9.2587816813295834E-5</v>
      </c>
      <c r="S94" s="2"/>
      <c r="T94" s="7"/>
      <c r="U94" s="2"/>
      <c r="V94" s="6">
        <f t="shared" si="65"/>
        <v>0</v>
      </c>
      <c r="W94" s="2"/>
      <c r="X94" s="7">
        <f t="shared" si="66"/>
        <v>595</v>
      </c>
      <c r="Y94" s="2"/>
      <c r="Z94" s="6">
        <f t="shared" si="67"/>
        <v>0</v>
      </c>
    </row>
    <row r="95" spans="1:26" s="24" customFormat="1" hidden="1" outlineLevel="2" x14ac:dyDescent="0.3">
      <c r="A95" s="27"/>
      <c r="B95" s="11" t="str">
        <f>CONCATENATE("          ", "6298", " - ", "VEHICLE MILEAGE")</f>
        <v xml:space="preserve">          6298 - VEHICLE MILEAGE</v>
      </c>
      <c r="C95" s="11"/>
      <c r="D95" s="7"/>
      <c r="E95" s="2"/>
      <c r="F95" s="6">
        <f t="shared" si="60"/>
        <v>0</v>
      </c>
      <c r="G95" s="2"/>
      <c r="H95" s="7"/>
      <c r="I95" s="2"/>
      <c r="J95" s="6">
        <f t="shared" si="61"/>
        <v>0</v>
      </c>
      <c r="K95" s="2"/>
      <c r="L95" s="7">
        <f t="shared" si="62"/>
        <v>0</v>
      </c>
      <c r="M95" s="2"/>
      <c r="N95" s="6">
        <f t="shared" si="63"/>
        <v>0</v>
      </c>
      <c r="O95" s="11"/>
      <c r="P95" s="7">
        <v>104.02</v>
      </c>
      <c r="Q95" s="2"/>
      <c r="R95" s="6">
        <f t="shared" si="64"/>
        <v>1.6186528915830306E-5</v>
      </c>
      <c r="S95" s="2"/>
      <c r="T95" s="7"/>
      <c r="U95" s="2"/>
      <c r="V95" s="6">
        <f t="shared" si="65"/>
        <v>0</v>
      </c>
      <c r="W95" s="2"/>
      <c r="X95" s="7">
        <f t="shared" si="66"/>
        <v>104.02</v>
      </c>
      <c r="Y95" s="2"/>
      <c r="Z95" s="6">
        <f t="shared" si="67"/>
        <v>0</v>
      </c>
    </row>
    <row r="96" spans="1:26" s="55" customFormat="1" x14ac:dyDescent="0.3">
      <c r="A96" s="36"/>
      <c r="B96" s="36"/>
      <c r="C96" s="36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6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x14ac:dyDescent="0.3">
      <c r="A97" s="10"/>
      <c r="B97" s="25" t="s">
        <v>293</v>
      </c>
      <c r="C97" s="10"/>
      <c r="D97" s="4">
        <f>SUM(0)</f>
        <v>0</v>
      </c>
      <c r="E97" s="4"/>
      <c r="F97" s="12">
        <f>IF(D$12=0,0,D97/D$12)</f>
        <v>0</v>
      </c>
      <c r="G97" s="4"/>
      <c r="H97" s="4">
        <f>SUM(0)</f>
        <v>0</v>
      </c>
      <c r="I97" s="4"/>
      <c r="J97" s="12">
        <f>IF(H$12=0,0,H97/H$12)</f>
        <v>0</v>
      </c>
      <c r="K97" s="4"/>
      <c r="L97" s="4">
        <f>+D97-H97</f>
        <v>0</v>
      </c>
      <c r="M97" s="4"/>
      <c r="N97" s="12">
        <f>IF(H97=0,0,L97/H97)</f>
        <v>0</v>
      </c>
      <c r="O97" s="10"/>
      <c r="P97" s="4">
        <f>SUM(0)</f>
        <v>0</v>
      </c>
      <c r="Q97" s="4"/>
      <c r="R97" s="12">
        <f>IF(P$12=0,0,P97/P$12)</f>
        <v>0</v>
      </c>
      <c r="S97" s="4"/>
      <c r="T97" s="4">
        <f>SUM(0)</f>
        <v>0</v>
      </c>
      <c r="U97" s="4"/>
      <c r="V97" s="12">
        <f>IF(T$12=0,0,T97/T$12)</f>
        <v>0</v>
      </c>
      <c r="W97" s="4"/>
      <c r="X97" s="4">
        <f>+P97-T97</f>
        <v>0</v>
      </c>
      <c r="Y97" s="4"/>
      <c r="Z97" s="12">
        <f>IF(T97=0,0,X97/T97)</f>
        <v>0</v>
      </c>
    </row>
    <row r="98" spans="1:26" x14ac:dyDescent="0.3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3">
      <c r="A99" s="10"/>
      <c r="B99" s="26" t="s">
        <v>277</v>
      </c>
      <c r="C99" s="26"/>
      <c r="D99" s="21">
        <f>+D23-D25+D97</f>
        <v>180014.27000000002</v>
      </c>
      <c r="E99" s="13"/>
      <c r="F99" s="22">
        <f>IF(D$12=0,0,D99/D$12)</f>
        <v>0.28421129478880069</v>
      </c>
      <c r="G99" s="13"/>
      <c r="H99" s="21">
        <f>+H23-H25+H97</f>
        <v>-191752.95429658255</v>
      </c>
      <c r="I99" s="13"/>
      <c r="J99" s="22">
        <f>IF(H$12=0,0,H99/H$12)</f>
        <v>-0.43234342148399746</v>
      </c>
      <c r="K99" s="15"/>
      <c r="L99" s="21">
        <f>+D99-H99</f>
        <v>371767.22429658257</v>
      </c>
      <c r="M99" s="15"/>
      <c r="N99" s="22">
        <f>IF(H99=0,0,L99/H99)</f>
        <v>-1.9387822506326218</v>
      </c>
      <c r="O99" s="25"/>
      <c r="P99" s="21">
        <f>+P23-P25+P97</f>
        <v>1769553.4000000004</v>
      </c>
      <c r="Q99" s="13"/>
      <c r="R99" s="22">
        <f>IF(P$12=0,0,P99/P$12)</f>
        <v>0.27535980847150393</v>
      </c>
      <c r="S99" s="13"/>
      <c r="T99" s="21">
        <f>+T23-T25+T97</f>
        <v>45808.511090488173</v>
      </c>
      <c r="U99" s="13"/>
      <c r="V99" s="22">
        <f>IF(T$12=0,0,T99/T$12)</f>
        <v>9.23677875582498E-3</v>
      </c>
      <c r="W99" s="15"/>
      <c r="X99" s="21">
        <f>+P99-T99</f>
        <v>1723744.8889095122</v>
      </c>
      <c r="Y99" s="15"/>
      <c r="Z99" s="22">
        <f>IF(T99=0,0,X99/T99)</f>
        <v>37.629358559689926</v>
      </c>
    </row>
    <row r="100" spans="1:26" x14ac:dyDescent="0.3">
      <c r="A100" s="9"/>
      <c r="B100" s="10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3">
      <c r="A101" s="52"/>
      <c r="B101" s="10" t="s">
        <v>128</v>
      </c>
      <c r="C101" s="10"/>
      <c r="D101" s="4">
        <v>153334.74</v>
      </c>
      <c r="E101" s="4"/>
      <c r="F101" s="12">
        <f>IF(D$12=0,0,D101/D$12)</f>
        <v>0.24208894656798097</v>
      </c>
      <c r="G101" s="4"/>
      <c r="H101" s="4">
        <v>36719</v>
      </c>
      <c r="I101" s="4"/>
      <c r="J101" s="12">
        <f>IF(H$12=0,0,H101/H$12)</f>
        <v>8.2789953102453101E-2</v>
      </c>
      <c r="K101" s="4"/>
      <c r="L101" s="4">
        <f>+D101-H101</f>
        <v>116615.73999999999</v>
      </c>
      <c r="M101" s="4"/>
      <c r="N101" s="12">
        <f>IF(H101=0,0,L101/H101)</f>
        <v>3.1758964024074725</v>
      </c>
      <c r="O101" s="10"/>
      <c r="P101" s="4">
        <v>850636.7</v>
      </c>
      <c r="Q101" s="4"/>
      <c r="R101" s="12">
        <f>IF(P$12=0,0,P101/P$12)</f>
        <v>0.13236738647775881</v>
      </c>
      <c r="S101" s="4"/>
      <c r="T101" s="4">
        <v>621389</v>
      </c>
      <c r="U101" s="4"/>
      <c r="V101" s="12">
        <f>IF(T$12=0,0,T101/T$12)</f>
        <v>0.12529620757517099</v>
      </c>
      <c r="W101" s="4"/>
      <c r="X101" s="4">
        <f>+P101-T101</f>
        <v>229247.69999999995</v>
      </c>
      <c r="Y101" s="4"/>
      <c r="Z101" s="12">
        <f>IF(T101=0,0,X101/T101)</f>
        <v>0.36892783747378849</v>
      </c>
    </row>
    <row r="102" spans="1:26" x14ac:dyDescent="0.3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" thickBot="1" x14ac:dyDescent="0.35">
      <c r="A103" s="10"/>
      <c r="B103" s="26" t="s">
        <v>126</v>
      </c>
      <c r="C103" s="26"/>
      <c r="D103" s="32">
        <f>+D99-D101</f>
        <v>26679.530000000028</v>
      </c>
      <c r="E103" s="13"/>
      <c r="F103" s="31">
        <f>IF(D$12=0,0,D103/D$12)</f>
        <v>4.2122348220819707E-2</v>
      </c>
      <c r="G103" s="13"/>
      <c r="H103" s="32">
        <f>+H99-H101</f>
        <v>-228471.95429658255</v>
      </c>
      <c r="I103" s="13"/>
      <c r="J103" s="31">
        <f>IF(H$12=0,0,H103/H$12)</f>
        <v>-0.51513337458645059</v>
      </c>
      <c r="K103" s="15"/>
      <c r="L103" s="32">
        <f>D103-H103</f>
        <v>255151.48429658258</v>
      </c>
      <c r="M103" s="15"/>
      <c r="N103" s="31">
        <f>IF(H103=0,0,L103/H103)</f>
        <v>-1.1167737636864039</v>
      </c>
      <c r="O103" s="25"/>
      <c r="P103" s="32">
        <f>+P99-P101</f>
        <v>918916.70000000042</v>
      </c>
      <c r="Q103" s="13"/>
      <c r="R103" s="31">
        <f>IF(P$12=0,0,P103/P$12)</f>
        <v>0.14299242199374515</v>
      </c>
      <c r="S103" s="13"/>
      <c r="T103" s="32">
        <f>+T99-T101</f>
        <v>-575580.48890951183</v>
      </c>
      <c r="U103" s="13"/>
      <c r="V103" s="31">
        <f>IF(T$12=0,0,T103/T$12)</f>
        <v>-0.11605942881934601</v>
      </c>
      <c r="W103" s="15"/>
      <c r="X103" s="32">
        <f>P103-T103</f>
        <v>1494497.1889095122</v>
      </c>
      <c r="Y103" s="15"/>
      <c r="Z103" s="31">
        <f>IF(T103=0,0,X103/T103)</f>
        <v>-2.596504255627166</v>
      </c>
    </row>
    <row r="104" spans="1:26" ht="15" thickTop="1" x14ac:dyDescent="0.3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x14ac:dyDescent="0.3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" thickBot="1" x14ac:dyDescent="0.35">
      <c r="A106" s="10"/>
      <c r="B106" s="26" t="s">
        <v>294</v>
      </c>
      <c r="C106" s="26"/>
      <c r="D106" s="34">
        <f>SUM(D103:D105)</f>
        <v>26679.530000000028</v>
      </c>
      <c r="E106" s="13"/>
      <c r="F106" s="35">
        <f>IF(D$12=0,0,D106/D$12)</f>
        <v>4.2122348220819707E-2</v>
      </c>
      <c r="G106" s="13"/>
      <c r="H106" s="34">
        <f>SUM(H103:H105)</f>
        <v>-228471.95429658255</v>
      </c>
      <c r="I106" s="13"/>
      <c r="J106" s="35">
        <f>IF(H$12=0,0,H106/H$12)</f>
        <v>-0.51513337458645059</v>
      </c>
      <c r="K106" s="15"/>
      <c r="L106" s="34">
        <f>+D106-H106</f>
        <v>255151.48429658258</v>
      </c>
      <c r="M106" s="15"/>
      <c r="N106" s="35">
        <f>IF(H106=0,0,L106/H106)</f>
        <v>-1.1167737636864039</v>
      </c>
      <c r="O106" s="25"/>
      <c r="P106" s="34">
        <f>SUM(P103:P105)</f>
        <v>918916.70000000042</v>
      </c>
      <c r="Q106" s="13"/>
      <c r="R106" s="35">
        <f>IF(P$12=0,0,P106/P$12)</f>
        <v>0.14299242199374515</v>
      </c>
      <c r="S106" s="13"/>
      <c r="T106" s="34">
        <f>SUM(T103:T105)</f>
        <v>-575580.48890951183</v>
      </c>
      <c r="U106" s="13"/>
      <c r="V106" s="35">
        <f>IF(T$12=0,0,T106/T$12)</f>
        <v>-0.11605942881934601</v>
      </c>
      <c r="W106" s="15"/>
      <c r="X106" s="34">
        <f>+P106-T106</f>
        <v>1494497.1889095122</v>
      </c>
      <c r="Y106" s="15"/>
      <c r="Z106" s="35">
        <f>IF(T106=0,0,X106/T106)</f>
        <v>-2.596504255627166</v>
      </c>
    </row>
    <row r="107" spans="1:26" ht="15" thickTop="1" x14ac:dyDescent="0.3">
      <c r="A107" s="9"/>
      <c r="C107" s="9"/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  <row r="108" spans="1:26" x14ac:dyDescent="0.3">
      <c r="A108" s="9"/>
      <c r="B108" s="53">
        <v>44604.019958136574</v>
      </c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  <row r="109" spans="1:26" x14ac:dyDescent="0.3">
      <c r="A109" s="9"/>
      <c r="B109" s="63" t="s">
        <v>56</v>
      </c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  <row r="110" spans="1:26" x14ac:dyDescent="0.3">
      <c r="A110" s="9"/>
      <c r="B110" s="58"/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  <row r="111" spans="1:26" x14ac:dyDescent="0.3"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92D050"/>
    <outlinePr summaryBelow="0" summaryRight="0"/>
  </sheetPr>
  <dimension ref="A2:Z7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","430", " - ", "Res Hall Management")</f>
        <v>Department 430 - Res Hall Management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20905.3</v>
      </c>
      <c r="E18" s="20"/>
      <c r="F18" s="33">
        <f t="shared" ref="F18:F28" si="0">IF(D$12=0,0,D18/D$12)</f>
        <v>0</v>
      </c>
      <c r="G18" s="20"/>
      <c r="H18" s="20">
        <f>SUM(OSRRefH22x_0)</f>
        <v>20271.289565250001</v>
      </c>
      <c r="I18" s="20"/>
      <c r="J18" s="33">
        <f t="shared" ref="J18:J28" si="1">IF(H$12=0,0,H18/H$12)</f>
        <v>0</v>
      </c>
      <c r="K18" s="4"/>
      <c r="L18" s="20">
        <f t="shared" ref="L18:L28" si="2">+D18-H18</f>
        <v>634.01043474999824</v>
      </c>
      <c r="M18" s="4"/>
      <c r="N18" s="33">
        <f t="shared" ref="N18:N28" si="3">IF(H18=0,0,L18/H18)</f>
        <v>3.1276275379976258E-2</v>
      </c>
      <c r="O18" s="10"/>
      <c r="P18" s="20">
        <f>SUM(OSRRefP22x_0)</f>
        <v>137855.43999999997</v>
      </c>
      <c r="Q18" s="20"/>
      <c r="R18" s="33">
        <f t="shared" ref="R18:R28" si="4">IF(P$12=0,0,P18/P$12)</f>
        <v>0</v>
      </c>
      <c r="S18" s="20"/>
      <c r="T18" s="20">
        <f>SUM(OSRRefT22x_0)</f>
        <v>128703.00387525</v>
      </c>
      <c r="U18" s="20"/>
      <c r="V18" s="33">
        <f t="shared" ref="V18:V28" si="5">IF(T$12=0,0,T18/T$12)</f>
        <v>0</v>
      </c>
      <c r="W18" s="4"/>
      <c r="X18" s="20">
        <f t="shared" ref="X18:X28" si="6">+P18-T18</f>
        <v>9152.4361247499764</v>
      </c>
      <c r="Y18" s="4"/>
      <c r="Z18" s="33">
        <f t="shared" ref="Z18:Z28" si="7">IF(T18=0,0,X18/T18)</f>
        <v>7.1112840020589596E-2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7223.1</v>
      </c>
      <c r="E19" s="1"/>
      <c r="F19" s="5">
        <f t="shared" si="0"/>
        <v>0</v>
      </c>
      <c r="G19" s="1"/>
      <c r="H19" s="1">
        <f>SUM(OSRRefH22_0x_0)</f>
        <v>4889.5358152499994</v>
      </c>
      <c r="I19" s="1"/>
      <c r="J19" s="5">
        <f t="shared" si="1"/>
        <v>0</v>
      </c>
      <c r="K19" s="1"/>
      <c r="L19" s="1">
        <f t="shared" si="2"/>
        <v>2333.564184750001</v>
      </c>
      <c r="M19" s="1"/>
      <c r="N19" s="5">
        <f t="shared" si="3"/>
        <v>0.47725679347144473</v>
      </c>
      <c r="O19" s="14"/>
      <c r="P19" s="1">
        <f>SUM(OSRRefP22_0x_0)</f>
        <v>43006.009999999995</v>
      </c>
      <c r="Q19" s="1"/>
      <c r="R19" s="5">
        <f t="shared" si="4"/>
        <v>0</v>
      </c>
      <c r="S19" s="1"/>
      <c r="T19" s="1">
        <f>SUM(OSRRefT22_0x_0)</f>
        <v>31455.600125250003</v>
      </c>
      <c r="U19" s="1"/>
      <c r="V19" s="5">
        <f t="shared" si="5"/>
        <v>0</v>
      </c>
      <c r="W19" s="1"/>
      <c r="X19" s="1">
        <f t="shared" si="6"/>
        <v>11550.409874749992</v>
      </c>
      <c r="Y19" s="1"/>
      <c r="Z19" s="5">
        <f t="shared" si="7"/>
        <v>0.36719725037063466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7">
        <v>718.56</v>
      </c>
      <c r="E20" s="2"/>
      <c r="F20" s="6">
        <f t="shared" si="0"/>
        <v>0</v>
      </c>
      <c r="G20" s="2"/>
      <c r="H20" s="7">
        <v>882.65301524999995</v>
      </c>
      <c r="I20" s="2"/>
      <c r="J20" s="6">
        <f t="shared" si="1"/>
        <v>0</v>
      </c>
      <c r="K20" s="2"/>
      <c r="L20" s="7">
        <f t="shared" si="2"/>
        <v>-164.09301525000001</v>
      </c>
      <c r="M20" s="2"/>
      <c r="N20" s="6">
        <f t="shared" si="3"/>
        <v>-0.1859088593307788</v>
      </c>
      <c r="O20" s="11"/>
      <c r="P20" s="7">
        <v>5274.88</v>
      </c>
      <c r="Q20" s="2"/>
      <c r="R20" s="6">
        <f t="shared" si="4"/>
        <v>0</v>
      </c>
      <c r="S20" s="2"/>
      <c r="T20" s="7">
        <v>5338.7653252500004</v>
      </c>
      <c r="U20" s="2"/>
      <c r="V20" s="6">
        <f t="shared" si="5"/>
        <v>0</v>
      </c>
      <c r="W20" s="2"/>
      <c r="X20" s="7">
        <f t="shared" si="6"/>
        <v>-63.885325250000278</v>
      </c>
      <c r="Y20" s="2"/>
      <c r="Z20" s="6">
        <f t="shared" si="7"/>
        <v>-1.1966310814946469E-2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338.15</v>
      </c>
      <c r="E21" s="2"/>
      <c r="F21" s="6">
        <f t="shared" si="0"/>
        <v>0</v>
      </c>
      <c r="G21" s="2"/>
      <c r="H21" s="7">
        <v>437.11680749999999</v>
      </c>
      <c r="I21" s="2"/>
      <c r="J21" s="6">
        <f t="shared" si="1"/>
        <v>0</v>
      </c>
      <c r="K21" s="2"/>
      <c r="L21" s="7">
        <f t="shared" si="2"/>
        <v>-98.966807500000016</v>
      </c>
      <c r="M21" s="2"/>
      <c r="N21" s="6">
        <f t="shared" si="3"/>
        <v>-0.22640814949674526</v>
      </c>
      <c r="O21" s="11"/>
      <c r="P21" s="7">
        <v>2473.9899999999998</v>
      </c>
      <c r="Q21" s="2"/>
      <c r="R21" s="6">
        <f t="shared" si="4"/>
        <v>0</v>
      </c>
      <c r="S21" s="2"/>
      <c r="T21" s="7">
        <v>2643.9201075000001</v>
      </c>
      <c r="U21" s="2"/>
      <c r="V21" s="6">
        <f t="shared" si="5"/>
        <v>0</v>
      </c>
      <c r="W21" s="2"/>
      <c r="X21" s="7">
        <f t="shared" si="6"/>
        <v>-169.9301075000003</v>
      </c>
      <c r="Y21" s="2"/>
      <c r="Z21" s="6">
        <f t="shared" si="7"/>
        <v>-6.42720281214096E-2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7">
        <v>2467.5700000000002</v>
      </c>
      <c r="E22" s="2"/>
      <c r="F22" s="6">
        <f t="shared" si="0"/>
        <v>0</v>
      </c>
      <c r="G22" s="2"/>
      <c r="H22" s="7">
        <v>1977</v>
      </c>
      <c r="I22" s="2"/>
      <c r="J22" s="6">
        <f t="shared" si="1"/>
        <v>0</v>
      </c>
      <c r="K22" s="2"/>
      <c r="L22" s="7">
        <f t="shared" si="2"/>
        <v>490.57000000000016</v>
      </c>
      <c r="M22" s="2"/>
      <c r="N22" s="6">
        <f t="shared" si="3"/>
        <v>0.24813859382903397</v>
      </c>
      <c r="O22" s="11"/>
      <c r="P22" s="7">
        <v>18606.7</v>
      </c>
      <c r="Q22" s="2"/>
      <c r="R22" s="6">
        <f t="shared" si="4"/>
        <v>0</v>
      </c>
      <c r="S22" s="2"/>
      <c r="T22" s="7">
        <v>13839</v>
      </c>
      <c r="U22" s="2"/>
      <c r="V22" s="6">
        <f t="shared" si="5"/>
        <v>0</v>
      </c>
      <c r="W22" s="2"/>
      <c r="X22" s="7">
        <f t="shared" si="6"/>
        <v>4767.7000000000007</v>
      </c>
      <c r="Y22" s="2"/>
      <c r="Z22" s="6">
        <f t="shared" si="7"/>
        <v>0.34451188669701571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24.42</v>
      </c>
      <c r="E23" s="2"/>
      <c r="F23" s="6">
        <f t="shared" si="0"/>
        <v>0</v>
      </c>
      <c r="G23" s="2"/>
      <c r="H23" s="7">
        <v>24.2201925</v>
      </c>
      <c r="I23" s="2"/>
      <c r="J23" s="6">
        <f t="shared" si="1"/>
        <v>0</v>
      </c>
      <c r="K23" s="2"/>
      <c r="L23" s="7">
        <f t="shared" si="2"/>
        <v>0.19980750000000214</v>
      </c>
      <c r="M23" s="2"/>
      <c r="N23" s="6">
        <f t="shared" si="3"/>
        <v>8.2496247707363243E-3</v>
      </c>
      <c r="O23" s="11"/>
      <c r="P23" s="7">
        <v>178.67</v>
      </c>
      <c r="Q23" s="2"/>
      <c r="R23" s="6">
        <f t="shared" si="4"/>
        <v>0</v>
      </c>
      <c r="S23" s="2"/>
      <c r="T23" s="7">
        <v>146.4968925</v>
      </c>
      <c r="U23" s="2"/>
      <c r="V23" s="6">
        <f t="shared" si="5"/>
        <v>0</v>
      </c>
      <c r="W23" s="2"/>
      <c r="X23" s="7">
        <f t="shared" si="6"/>
        <v>32.173107499999986</v>
      </c>
      <c r="Y23" s="2"/>
      <c r="Z23" s="6">
        <f t="shared" si="7"/>
        <v>0.21961631370440152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7">
        <v>707.23</v>
      </c>
      <c r="E24" s="2"/>
      <c r="F24" s="6">
        <f t="shared" si="0"/>
        <v>0</v>
      </c>
      <c r="G24" s="2"/>
      <c r="H24" s="7">
        <v>991.87455</v>
      </c>
      <c r="I24" s="2"/>
      <c r="J24" s="6">
        <f t="shared" si="1"/>
        <v>0</v>
      </c>
      <c r="K24" s="2"/>
      <c r="L24" s="7">
        <f t="shared" si="2"/>
        <v>-284.64454999999998</v>
      </c>
      <c r="M24" s="2"/>
      <c r="N24" s="6">
        <f t="shared" si="3"/>
        <v>-0.28697636208127325</v>
      </c>
      <c r="O24" s="11"/>
      <c r="P24" s="7">
        <v>5181.82</v>
      </c>
      <c r="Q24" s="2"/>
      <c r="R24" s="6">
        <f t="shared" si="4"/>
        <v>0</v>
      </c>
      <c r="S24" s="2"/>
      <c r="T24" s="7">
        <v>5999.3965500000004</v>
      </c>
      <c r="U24" s="2"/>
      <c r="V24" s="6">
        <f t="shared" si="5"/>
        <v>0</v>
      </c>
      <c r="W24" s="2"/>
      <c r="X24" s="7">
        <f t="shared" si="6"/>
        <v>-817.57655000000068</v>
      </c>
      <c r="Y24" s="2"/>
      <c r="Z24" s="6">
        <f t="shared" si="7"/>
        <v>-0.1362764643387343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7">
        <v>1718.28</v>
      </c>
      <c r="E26" s="2"/>
      <c r="F26" s="6">
        <f t="shared" si="0"/>
        <v>0</v>
      </c>
      <c r="G26" s="2"/>
      <c r="H26" s="7">
        <v>346.00274999999999</v>
      </c>
      <c r="I26" s="2"/>
      <c r="J26" s="6">
        <f t="shared" si="1"/>
        <v>0</v>
      </c>
      <c r="K26" s="2"/>
      <c r="L26" s="7">
        <f t="shared" si="2"/>
        <v>1372.2772500000001</v>
      </c>
      <c r="M26" s="2"/>
      <c r="N26" s="6">
        <f t="shared" si="3"/>
        <v>3.9660876972798631</v>
      </c>
      <c r="O26" s="11"/>
      <c r="P26" s="7">
        <v>6800.74</v>
      </c>
      <c r="Q26" s="2"/>
      <c r="R26" s="6">
        <f t="shared" si="4"/>
        <v>0</v>
      </c>
      <c r="S26" s="2"/>
      <c r="T26" s="7">
        <v>2092.8127500000001</v>
      </c>
      <c r="U26" s="2"/>
      <c r="V26" s="6">
        <f t="shared" si="5"/>
        <v>0</v>
      </c>
      <c r="W26" s="2"/>
      <c r="X26" s="7">
        <f t="shared" si="6"/>
        <v>4707.9272499999997</v>
      </c>
      <c r="Y26" s="2"/>
      <c r="Z26" s="6">
        <f t="shared" si="7"/>
        <v>2.2495692698737617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7">
        <v>1174.6300000000001</v>
      </c>
      <c r="E27" s="2"/>
      <c r="F27" s="6">
        <f t="shared" si="0"/>
        <v>0</v>
      </c>
      <c r="G27" s="2"/>
      <c r="H27" s="7">
        <v>230.66849999999999</v>
      </c>
      <c r="I27" s="2"/>
      <c r="J27" s="6">
        <f t="shared" si="1"/>
        <v>0</v>
      </c>
      <c r="K27" s="2"/>
      <c r="L27" s="7">
        <f t="shared" si="2"/>
        <v>943.96150000000011</v>
      </c>
      <c r="M27" s="2"/>
      <c r="N27" s="6">
        <f t="shared" si="3"/>
        <v>4.0922861162230655</v>
      </c>
      <c r="O27" s="11"/>
      <c r="P27" s="7">
        <v>3893.86</v>
      </c>
      <c r="Q27" s="2"/>
      <c r="R27" s="6">
        <f t="shared" si="4"/>
        <v>0</v>
      </c>
      <c r="S27" s="2"/>
      <c r="T27" s="7">
        <v>1395.2085</v>
      </c>
      <c r="U27" s="2"/>
      <c r="V27" s="6">
        <f t="shared" si="5"/>
        <v>0</v>
      </c>
      <c r="W27" s="2"/>
      <c r="X27" s="7">
        <f t="shared" si="6"/>
        <v>2498.6514999999999</v>
      </c>
      <c r="Y27" s="2"/>
      <c r="Z27" s="6">
        <f t="shared" si="7"/>
        <v>1.7908803594588192</v>
      </c>
    </row>
    <row r="28" spans="1:26" s="24" customFormat="1" hidden="1" outlineLevel="2" x14ac:dyDescent="0.3">
      <c r="A28" s="27"/>
      <c r="B28" s="11" t="str">
        <f>CONCATENATE("          ", "6156", " - ", "EMPLOYEE MEALS")</f>
        <v xml:space="preserve">          6156 - EMPLOYEE MEALS</v>
      </c>
      <c r="C28" s="11"/>
      <c r="D28" s="7">
        <v>74.260000000000005</v>
      </c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74.260000000000005</v>
      </c>
      <c r="M28" s="2"/>
      <c r="N28" s="6">
        <f t="shared" si="3"/>
        <v>0</v>
      </c>
      <c r="O28" s="11"/>
      <c r="P28" s="7">
        <v>595.35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595.35</v>
      </c>
      <c r="Y28" s="2"/>
      <c r="Z28" s="6">
        <f t="shared" si="7"/>
        <v>0</v>
      </c>
    </row>
    <row r="29" spans="1:26" s="28" customFormat="1" outlineLevel="1" collapsed="1" x14ac:dyDescent="0.3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9783.33</v>
      </c>
      <c r="E29" s="1"/>
      <c r="F29" s="5">
        <f t="shared" ref="F29:F39" si="8">IF(D$12=0,0,D29/D$12)</f>
        <v>0</v>
      </c>
      <c r="G29" s="1"/>
      <c r="H29" s="1">
        <f>SUM(OSRRefH22_1x_0)</f>
        <v>10956.75375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-1173.4237499999999</v>
      </c>
      <c r="M29" s="1"/>
      <c r="N29" s="5">
        <f t="shared" ref="N29:N39" si="11">IF(H29=0,0,L29/H29)</f>
        <v>-0.10709593158466302</v>
      </c>
      <c r="O29" s="14"/>
      <c r="P29" s="1">
        <f>SUM(OSRRefP22_1x_0)</f>
        <v>65529.53</v>
      </c>
      <c r="Q29" s="1"/>
      <c r="R29" s="5">
        <f t="shared" ref="R29:R39" si="12">IF(P$12=0,0,P29/P$12)</f>
        <v>0</v>
      </c>
      <c r="S29" s="1"/>
      <c r="T29" s="1">
        <f>SUM(OSRRefT22_1x_0)</f>
        <v>66272.403749999998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-742.87374999999884</v>
      </c>
      <c r="Y29" s="1"/>
      <c r="Z29" s="5">
        <f t="shared" ref="Z29:Z39" si="15">IF(T29=0,0,X29/T29)</f>
        <v>-1.1209397999238844E-2</v>
      </c>
    </row>
    <row r="30" spans="1:26" s="24" customFormat="1" hidden="1" outlineLevel="2" x14ac:dyDescent="0.3">
      <c r="A30" s="27"/>
      <c r="B30" s="11" t="str">
        <f>CONCATENATE("          ", "6001", " - ", "ADMINISTRATIVE SALARIES")</f>
        <v xml:space="preserve">          6001 - ADMINISTRATIVE SALARIES</v>
      </c>
      <c r="C30" s="11"/>
      <c r="D30" s="7">
        <v>9783.33</v>
      </c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9783.33</v>
      </c>
      <c r="M30" s="2"/>
      <c r="N30" s="6">
        <f t="shared" si="11"/>
        <v>0</v>
      </c>
      <c r="O30" s="11"/>
      <c r="P30" s="7">
        <v>65529.53</v>
      </c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65529.53</v>
      </c>
      <c r="Y30" s="2"/>
      <c r="Z30" s="6">
        <f t="shared" si="15"/>
        <v>0</v>
      </c>
    </row>
    <row r="31" spans="1:26" s="24" customFormat="1" hidden="1" outlineLevel="2" x14ac:dyDescent="0.3">
      <c r="A31" s="27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10956.75375</v>
      </c>
      <c r="I31" s="2"/>
      <c r="J31" s="6">
        <f t="shared" si="9"/>
        <v>0</v>
      </c>
      <c r="K31" s="2"/>
      <c r="L31" s="7">
        <f t="shared" si="10"/>
        <v>-10956.75375</v>
      </c>
      <c r="M31" s="2"/>
      <c r="N31" s="6">
        <f t="shared" si="11"/>
        <v>-1</v>
      </c>
      <c r="O31" s="11"/>
      <c r="P31" s="7"/>
      <c r="Q31" s="2"/>
      <c r="R31" s="6">
        <f t="shared" si="12"/>
        <v>0</v>
      </c>
      <c r="S31" s="2"/>
      <c r="T31" s="7">
        <v>66272.403749999998</v>
      </c>
      <c r="U31" s="2"/>
      <c r="V31" s="6">
        <f t="shared" si="13"/>
        <v>0</v>
      </c>
      <c r="W31" s="2"/>
      <c r="X31" s="7">
        <f t="shared" si="14"/>
        <v>-66272.403749999998</v>
      </c>
      <c r="Y31" s="2"/>
      <c r="Z31" s="6">
        <f t="shared" si="15"/>
        <v>-1</v>
      </c>
    </row>
    <row r="32" spans="1:26" s="24" customFormat="1" hidden="1" outlineLevel="2" x14ac:dyDescent="0.3">
      <c r="A32" s="27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3">
      <c r="A33" s="27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3">
      <c r="A34" s="27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3">
      <c r="A35" s="27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3">
      <c r="A36" s="27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3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3">
      <c r="A38" s="27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3">
      <c r="A39" s="27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3">
      <c r="A40" s="29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48" si="16">IF(D$12=0,0,D40/D$12)</f>
        <v>0</v>
      </c>
      <c r="G40" s="1"/>
      <c r="H40" s="1">
        <f>SUM(OSRRefH22_2x_0)</f>
        <v>0</v>
      </c>
      <c r="I40" s="1"/>
      <c r="J40" s="5">
        <f t="shared" ref="J40:J48" si="17">IF(H$12=0,0,H40/H$12)</f>
        <v>0</v>
      </c>
      <c r="K40" s="1"/>
      <c r="L40" s="1">
        <f t="shared" ref="L40:L48" si="18">+D40-H40</f>
        <v>0</v>
      </c>
      <c r="M40" s="1"/>
      <c r="N40" s="5">
        <f t="shared" ref="N40:N48" si="19">IF(H40=0,0,L40/H40)</f>
        <v>0</v>
      </c>
      <c r="O40" s="14"/>
      <c r="P40" s="1">
        <f>SUM(OSRRefP22_2x_0)</f>
        <v>45</v>
      </c>
      <c r="Q40" s="1"/>
      <c r="R40" s="5">
        <f t="shared" ref="R40:R48" si="20">IF(P$12=0,0,P40/P$12)</f>
        <v>0</v>
      </c>
      <c r="S40" s="1"/>
      <c r="T40" s="1">
        <f>SUM(OSRRefT22_2x_0)</f>
        <v>0</v>
      </c>
      <c r="U40" s="1"/>
      <c r="V40" s="5">
        <f t="shared" ref="V40:V48" si="21">IF(T$12=0,0,T40/T$12)</f>
        <v>0</v>
      </c>
      <c r="W40" s="1"/>
      <c r="X40" s="1">
        <f t="shared" ref="X40:X48" si="22">+P40-T40</f>
        <v>45</v>
      </c>
      <c r="Y40" s="1"/>
      <c r="Z40" s="5">
        <f t="shared" ref="Z40:Z48" si="23">IF(T40=0,0,X40/T40)</f>
        <v>0</v>
      </c>
    </row>
    <row r="41" spans="1:26" s="24" customFormat="1" hidden="1" outlineLevel="2" x14ac:dyDescent="0.3">
      <c r="A41" s="27"/>
      <c r="B41" s="11" t="str">
        <f>CONCATENATE("          ", "6362", " - ", "ADVERTISING EXPENSE")</f>
        <v xml:space="preserve">          6362 - ADVERTISING EXPENSE</v>
      </c>
      <c r="C41" s="11"/>
      <c r="D41" s="7"/>
      <c r="E41" s="2"/>
      <c r="F41" s="6">
        <f t="shared" si="16"/>
        <v>0</v>
      </c>
      <c r="G41" s="2"/>
      <c r="H41" s="7"/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>
        <v>45</v>
      </c>
      <c r="Q41" s="2"/>
      <c r="R41" s="6">
        <f t="shared" si="20"/>
        <v>0</v>
      </c>
      <c r="S41" s="2"/>
      <c r="T41" s="7"/>
      <c r="U41" s="2"/>
      <c r="V41" s="6">
        <f t="shared" si="21"/>
        <v>0</v>
      </c>
      <c r="W41" s="2"/>
      <c r="X41" s="7">
        <f t="shared" si="22"/>
        <v>45</v>
      </c>
      <c r="Y41" s="2"/>
      <c r="Z41" s="6">
        <f t="shared" si="23"/>
        <v>0</v>
      </c>
    </row>
    <row r="42" spans="1:26" s="28" customFormat="1" outlineLevel="1" collapsed="1" x14ac:dyDescent="0.3">
      <c r="A42" s="29"/>
      <c r="B42" s="14" t="str">
        <f>CONCATENATE("     ","General                                           ")</f>
        <v xml:space="preserve">     General                                           </v>
      </c>
      <c r="C42" s="14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200</v>
      </c>
      <c r="I42" s="1"/>
      <c r="J42" s="5">
        <f t="shared" si="17"/>
        <v>0</v>
      </c>
      <c r="K42" s="1"/>
      <c r="L42" s="1">
        <f t="shared" si="18"/>
        <v>-200</v>
      </c>
      <c r="M42" s="1"/>
      <c r="N42" s="5">
        <f t="shared" si="19"/>
        <v>-1</v>
      </c>
      <c r="O42" s="14"/>
      <c r="P42" s="1">
        <f>SUM(OSRRefP22_3x_0)</f>
        <v>170</v>
      </c>
      <c r="Q42" s="1"/>
      <c r="R42" s="5">
        <f t="shared" si="20"/>
        <v>0</v>
      </c>
      <c r="S42" s="1"/>
      <c r="T42" s="1">
        <f>SUM(OSRRefT22_3x_0)</f>
        <v>1400</v>
      </c>
      <c r="U42" s="1"/>
      <c r="V42" s="5">
        <f t="shared" si="21"/>
        <v>0</v>
      </c>
      <c r="W42" s="1"/>
      <c r="X42" s="1">
        <f t="shared" si="22"/>
        <v>-1230</v>
      </c>
      <c r="Y42" s="1"/>
      <c r="Z42" s="5">
        <f t="shared" si="23"/>
        <v>-0.87857142857142856</v>
      </c>
    </row>
    <row r="43" spans="1:26" s="24" customFormat="1" hidden="1" outlineLevel="2" x14ac:dyDescent="0.3">
      <c r="A43" s="27"/>
      <c r="B43" s="11" t="str">
        <f>CONCATENATE("          ", "6279", " - ", "GENERAL EXPENSE")</f>
        <v xml:space="preserve">          6279 - GENERAL EXPENSE</v>
      </c>
      <c r="C43" s="11"/>
      <c r="D43" s="7"/>
      <c r="E43" s="2"/>
      <c r="F43" s="6">
        <f t="shared" si="16"/>
        <v>0</v>
      </c>
      <c r="G43" s="2"/>
      <c r="H43" s="7">
        <v>200</v>
      </c>
      <c r="I43" s="2"/>
      <c r="J43" s="6">
        <f t="shared" si="17"/>
        <v>0</v>
      </c>
      <c r="K43" s="2"/>
      <c r="L43" s="7">
        <f t="shared" si="18"/>
        <v>-200</v>
      </c>
      <c r="M43" s="2"/>
      <c r="N43" s="6">
        <f t="shared" si="19"/>
        <v>-1</v>
      </c>
      <c r="O43" s="11"/>
      <c r="P43" s="7">
        <v>170</v>
      </c>
      <c r="Q43" s="2"/>
      <c r="R43" s="6">
        <f t="shared" si="20"/>
        <v>0</v>
      </c>
      <c r="S43" s="2"/>
      <c r="T43" s="7">
        <v>1400</v>
      </c>
      <c r="U43" s="2"/>
      <c r="V43" s="6">
        <f t="shared" si="21"/>
        <v>0</v>
      </c>
      <c r="W43" s="2"/>
      <c r="X43" s="7">
        <f t="shared" si="22"/>
        <v>-1230</v>
      </c>
      <c r="Y43" s="2"/>
      <c r="Z43" s="6">
        <f t="shared" si="23"/>
        <v>-0.87857142857142856</v>
      </c>
    </row>
    <row r="44" spans="1:26" s="28" customFormat="1" outlineLevel="1" collapsed="1" x14ac:dyDescent="0.3">
      <c r="A44" s="29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SUM(OSRRefD22_4x_0)</f>
        <v>3500</v>
      </c>
      <c r="E44" s="1"/>
      <c r="F44" s="5">
        <f t="shared" si="16"/>
        <v>0</v>
      </c>
      <c r="G44" s="1"/>
      <c r="H44" s="1">
        <f>SUM(OSRRefH22_4x_0)</f>
        <v>3500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4"/>
      <c r="P44" s="1">
        <f>SUM(OSRRefP22_4x_0)</f>
        <v>24500</v>
      </c>
      <c r="Q44" s="1"/>
      <c r="R44" s="5">
        <f t="shared" si="20"/>
        <v>0</v>
      </c>
      <c r="S44" s="1"/>
      <c r="T44" s="1">
        <f>SUM(OSRRefT22_4x_0)</f>
        <v>24500</v>
      </c>
      <c r="U44" s="1"/>
      <c r="V44" s="5">
        <f t="shared" si="21"/>
        <v>0</v>
      </c>
      <c r="W44" s="1"/>
      <c r="X44" s="1">
        <f t="shared" si="22"/>
        <v>0</v>
      </c>
      <c r="Y44" s="1"/>
      <c r="Z44" s="5">
        <f t="shared" si="23"/>
        <v>0</v>
      </c>
    </row>
    <row r="45" spans="1:26" s="24" customFormat="1" hidden="1" outlineLevel="2" x14ac:dyDescent="0.3">
      <c r="A45" s="27"/>
      <c r="B45" s="11" t="str">
        <f>CONCATENATE("          ", "6371", " - ", "COMPUTER SOFTWARE MAINTENANCE")</f>
        <v xml:space="preserve">          6371 - COMPUTER SOFTWARE MAINTENANCE</v>
      </c>
      <c r="C45" s="11"/>
      <c r="D45" s="7">
        <v>3500</v>
      </c>
      <c r="E45" s="2"/>
      <c r="F45" s="6">
        <f t="shared" si="16"/>
        <v>0</v>
      </c>
      <c r="G45" s="2"/>
      <c r="H45" s="7">
        <v>3500</v>
      </c>
      <c r="I45" s="2"/>
      <c r="J45" s="6">
        <f t="shared" si="17"/>
        <v>0</v>
      </c>
      <c r="K45" s="2"/>
      <c r="L45" s="7">
        <f t="shared" si="18"/>
        <v>0</v>
      </c>
      <c r="M45" s="2"/>
      <c r="N45" s="6">
        <f t="shared" si="19"/>
        <v>0</v>
      </c>
      <c r="O45" s="11"/>
      <c r="P45" s="7">
        <v>24500</v>
      </c>
      <c r="Q45" s="2"/>
      <c r="R45" s="6">
        <f t="shared" si="20"/>
        <v>0</v>
      </c>
      <c r="S45" s="2"/>
      <c r="T45" s="7">
        <v>24500</v>
      </c>
      <c r="U45" s="2"/>
      <c r="V45" s="6">
        <f t="shared" si="21"/>
        <v>0</v>
      </c>
      <c r="W45" s="2"/>
      <c r="X45" s="7">
        <f t="shared" si="22"/>
        <v>0</v>
      </c>
      <c r="Y45" s="2"/>
      <c r="Z45" s="6">
        <f t="shared" si="23"/>
        <v>0</v>
      </c>
    </row>
    <row r="46" spans="1:26" s="28" customFormat="1" outlineLevel="1" collapsed="1" x14ac:dyDescent="0.3">
      <c r="A46" s="29"/>
      <c r="B46" s="14" t="str">
        <f>CONCATENATE("     ","Supplies                                          ")</f>
        <v xml:space="preserve">     Supplies                                          </v>
      </c>
      <c r="C46" s="14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342</v>
      </c>
      <c r="I46" s="1"/>
      <c r="J46" s="5">
        <f t="shared" si="17"/>
        <v>0</v>
      </c>
      <c r="K46" s="1"/>
      <c r="L46" s="1">
        <f t="shared" si="18"/>
        <v>-342</v>
      </c>
      <c r="M46" s="1"/>
      <c r="N46" s="5">
        <f t="shared" si="19"/>
        <v>-1</v>
      </c>
      <c r="O46" s="14"/>
      <c r="P46" s="1">
        <f>SUM(OSRRefP22_5x_0)</f>
        <v>2353.0300000000002</v>
      </c>
      <c r="Q46" s="1"/>
      <c r="R46" s="5">
        <f t="shared" si="20"/>
        <v>0</v>
      </c>
      <c r="S46" s="1"/>
      <c r="T46" s="1">
        <f>SUM(OSRRefT22_5x_0)</f>
        <v>2394</v>
      </c>
      <c r="U46" s="1"/>
      <c r="V46" s="5">
        <f t="shared" si="21"/>
        <v>0</v>
      </c>
      <c r="W46" s="1"/>
      <c r="X46" s="1">
        <f t="shared" si="22"/>
        <v>-40.9699999999998</v>
      </c>
      <c r="Y46" s="1"/>
      <c r="Z46" s="5">
        <f t="shared" si="23"/>
        <v>-1.7113617376775189E-2</v>
      </c>
    </row>
    <row r="47" spans="1:26" s="24" customFormat="1" hidden="1" outlineLevel="2" x14ac:dyDescent="0.3">
      <c r="A47" s="27"/>
      <c r="B47" s="11" t="str">
        <f>CONCATENATE("          ", "6234", " - ", "EXPENDABLE SUPPLIES &amp; EQUIPMEN")</f>
        <v xml:space="preserve">          6234 - EXPENDABLE SUPPLIES &amp; EQUIPMEN</v>
      </c>
      <c r="C47" s="11"/>
      <c r="D47" s="7"/>
      <c r="E47" s="2"/>
      <c r="F47" s="6">
        <f t="shared" si="16"/>
        <v>0</v>
      </c>
      <c r="G47" s="2"/>
      <c r="H47" s="7">
        <v>342</v>
      </c>
      <c r="I47" s="2"/>
      <c r="J47" s="6">
        <f t="shared" si="17"/>
        <v>0</v>
      </c>
      <c r="K47" s="2"/>
      <c r="L47" s="7">
        <f t="shared" si="18"/>
        <v>-342</v>
      </c>
      <c r="M47" s="2"/>
      <c r="N47" s="6">
        <f t="shared" si="19"/>
        <v>-1</v>
      </c>
      <c r="O47" s="11"/>
      <c r="P47" s="7"/>
      <c r="Q47" s="2"/>
      <c r="R47" s="6">
        <f t="shared" si="20"/>
        <v>0</v>
      </c>
      <c r="S47" s="2"/>
      <c r="T47" s="7">
        <v>2394</v>
      </c>
      <c r="U47" s="2"/>
      <c r="V47" s="6">
        <f t="shared" si="21"/>
        <v>0</v>
      </c>
      <c r="W47" s="2"/>
      <c r="X47" s="7">
        <f t="shared" si="22"/>
        <v>-2394</v>
      </c>
      <c r="Y47" s="2"/>
      <c r="Z47" s="6">
        <f t="shared" si="23"/>
        <v>-1</v>
      </c>
    </row>
    <row r="48" spans="1:26" s="24" customFormat="1" hidden="1" outlineLevel="2" x14ac:dyDescent="0.3">
      <c r="A48" s="27"/>
      <c r="B48" s="11" t="str">
        <f>CONCATENATE("          ", "6241", " - ", "OFFICE EXPENSE")</f>
        <v xml:space="preserve">          6241 - OFFICE EXPENSE</v>
      </c>
      <c r="C48" s="11"/>
      <c r="D48" s="7"/>
      <c r="E48" s="2"/>
      <c r="F48" s="6">
        <f t="shared" si="16"/>
        <v>0</v>
      </c>
      <c r="G48" s="2"/>
      <c r="H48" s="7"/>
      <c r="I48" s="2"/>
      <c r="J48" s="6">
        <f t="shared" si="17"/>
        <v>0</v>
      </c>
      <c r="K48" s="2"/>
      <c r="L48" s="7">
        <f t="shared" si="18"/>
        <v>0</v>
      </c>
      <c r="M48" s="2"/>
      <c r="N48" s="6">
        <f t="shared" si="19"/>
        <v>0</v>
      </c>
      <c r="O48" s="11"/>
      <c r="P48" s="7">
        <v>2353.0300000000002</v>
      </c>
      <c r="Q48" s="2"/>
      <c r="R48" s="6">
        <f t="shared" si="20"/>
        <v>0</v>
      </c>
      <c r="S48" s="2"/>
      <c r="T48" s="7"/>
      <c r="U48" s="2"/>
      <c r="V48" s="6">
        <f t="shared" si="21"/>
        <v>0</v>
      </c>
      <c r="W48" s="2"/>
      <c r="X48" s="7">
        <f t="shared" si="22"/>
        <v>2353.0300000000002</v>
      </c>
      <c r="Y48" s="2"/>
      <c r="Z48" s="6">
        <f t="shared" si="23"/>
        <v>0</v>
      </c>
    </row>
    <row r="49" spans="1:26" s="28" customFormat="1" outlineLevel="1" collapsed="1" x14ac:dyDescent="0.3">
      <c r="A49" s="29"/>
      <c r="B49" s="14" t="str">
        <f>CONCATENATE("     ","Telephone/Data Lines                              ")</f>
        <v xml:space="preserve">     Telephone/Data Lines                              </v>
      </c>
      <c r="C49" s="14"/>
      <c r="D49" s="1">
        <f>SUM(OSRRefD22_6x_0)</f>
        <v>75</v>
      </c>
      <c r="E49" s="1"/>
      <c r="F49" s="5">
        <f t="shared" ref="F49:F51" si="24">IF(D$12=0,0,D49/D$12)</f>
        <v>0</v>
      </c>
      <c r="G49" s="1"/>
      <c r="H49" s="1">
        <f>SUM(OSRRefH22_6x_0)</f>
        <v>83</v>
      </c>
      <c r="I49" s="1"/>
      <c r="J49" s="5">
        <f t="shared" ref="J49:J51" si="25">IF(H$12=0,0,H49/H$12)</f>
        <v>0</v>
      </c>
      <c r="K49" s="1"/>
      <c r="L49" s="1">
        <f t="shared" ref="L49:L51" si="26">+D49-H49</f>
        <v>-8</v>
      </c>
      <c r="M49" s="1"/>
      <c r="N49" s="5">
        <f t="shared" ref="N49:N51" si="27">IF(H49=0,0,L49/H49)</f>
        <v>-9.6385542168674704E-2</v>
      </c>
      <c r="O49" s="14"/>
      <c r="P49" s="1">
        <f>SUM(OSRRefP22_6x_0)</f>
        <v>508</v>
      </c>
      <c r="Q49" s="1"/>
      <c r="R49" s="5">
        <f t="shared" ref="R49:R51" si="28">IF(P$12=0,0,P49/P$12)</f>
        <v>0</v>
      </c>
      <c r="S49" s="1"/>
      <c r="T49" s="1">
        <f>SUM(OSRRefT22_6x_0)</f>
        <v>581</v>
      </c>
      <c r="U49" s="1"/>
      <c r="V49" s="5">
        <f t="shared" ref="V49:V51" si="29">IF(T$12=0,0,T49/T$12)</f>
        <v>0</v>
      </c>
      <c r="W49" s="1"/>
      <c r="X49" s="1">
        <f t="shared" ref="X49:X51" si="30">+P49-T49</f>
        <v>-73</v>
      </c>
      <c r="Y49" s="1"/>
      <c r="Z49" s="5">
        <f t="shared" ref="Z49:Z51" si="31">IF(T49=0,0,X49/T49)</f>
        <v>-0.12564543889845095</v>
      </c>
    </row>
    <row r="50" spans="1:26" s="24" customFormat="1" hidden="1" outlineLevel="2" x14ac:dyDescent="0.3">
      <c r="A50" s="27"/>
      <c r="B50" s="11" t="str">
        <f>CONCATENATE("          ", "6303", " - ", "DATA PHONE LINES")</f>
        <v xml:space="preserve">          6303 - DATA PHONE LINES</v>
      </c>
      <c r="C50" s="11"/>
      <c r="D50" s="7"/>
      <c r="E50" s="2"/>
      <c r="F50" s="6">
        <f t="shared" si="24"/>
        <v>0</v>
      </c>
      <c r="G50" s="2"/>
      <c r="H50" s="7">
        <v>58</v>
      </c>
      <c r="I50" s="2"/>
      <c r="J50" s="6">
        <f t="shared" si="25"/>
        <v>0</v>
      </c>
      <c r="K50" s="2"/>
      <c r="L50" s="7">
        <f t="shared" si="26"/>
        <v>-58</v>
      </c>
      <c r="M50" s="2"/>
      <c r="N50" s="6">
        <f t="shared" si="27"/>
        <v>-1</v>
      </c>
      <c r="O50" s="11"/>
      <c r="P50" s="7"/>
      <c r="Q50" s="2"/>
      <c r="R50" s="6">
        <f t="shared" si="28"/>
        <v>0</v>
      </c>
      <c r="S50" s="2"/>
      <c r="T50" s="7">
        <v>406</v>
      </c>
      <c r="U50" s="2"/>
      <c r="V50" s="6">
        <f t="shared" si="29"/>
        <v>0</v>
      </c>
      <c r="W50" s="2"/>
      <c r="X50" s="7">
        <f t="shared" si="30"/>
        <v>-406</v>
      </c>
      <c r="Y50" s="2"/>
      <c r="Z50" s="6">
        <f t="shared" si="31"/>
        <v>-1</v>
      </c>
    </row>
    <row r="51" spans="1:26" s="24" customFormat="1" hidden="1" outlineLevel="2" x14ac:dyDescent="0.3">
      <c r="A51" s="27"/>
      <c r="B51" s="11" t="str">
        <f>CONCATENATE("          ", "6309", " - ", "TELEPHONE")</f>
        <v xml:space="preserve">          6309 - TELEPHONE</v>
      </c>
      <c r="C51" s="11"/>
      <c r="D51" s="7">
        <v>75</v>
      </c>
      <c r="E51" s="2"/>
      <c r="F51" s="6">
        <f t="shared" si="24"/>
        <v>0</v>
      </c>
      <c r="G51" s="2"/>
      <c r="H51" s="7">
        <v>25</v>
      </c>
      <c r="I51" s="2"/>
      <c r="J51" s="6">
        <f t="shared" si="25"/>
        <v>0</v>
      </c>
      <c r="K51" s="2"/>
      <c r="L51" s="7">
        <f t="shared" si="26"/>
        <v>50</v>
      </c>
      <c r="M51" s="2"/>
      <c r="N51" s="6">
        <f t="shared" si="27"/>
        <v>2</v>
      </c>
      <c r="O51" s="11"/>
      <c r="P51" s="7">
        <v>508</v>
      </c>
      <c r="Q51" s="2"/>
      <c r="R51" s="6">
        <f t="shared" si="28"/>
        <v>0</v>
      </c>
      <c r="S51" s="2"/>
      <c r="T51" s="7">
        <v>175</v>
      </c>
      <c r="U51" s="2"/>
      <c r="V51" s="6">
        <f t="shared" si="29"/>
        <v>0</v>
      </c>
      <c r="W51" s="2"/>
      <c r="X51" s="7">
        <f t="shared" si="30"/>
        <v>333</v>
      </c>
      <c r="Y51" s="2"/>
      <c r="Z51" s="6">
        <f t="shared" si="31"/>
        <v>1.9028571428571428</v>
      </c>
    </row>
    <row r="52" spans="1:26" s="28" customFormat="1" outlineLevel="1" collapsed="1" x14ac:dyDescent="0.3">
      <c r="A52" s="29"/>
      <c r="B52" s="14" t="str">
        <f>CONCATENATE("     ","Training                                          ")</f>
        <v xml:space="preserve">     Training                                          </v>
      </c>
      <c r="C52" s="14"/>
      <c r="D52" s="1">
        <f>SUM(OSRRefD22_7x_0)</f>
        <v>323.87</v>
      </c>
      <c r="E52" s="1"/>
      <c r="F52" s="5">
        <f t="shared" ref="F52:F55" si="32">IF(D$12=0,0,D52/D$12)</f>
        <v>0</v>
      </c>
      <c r="G52" s="1"/>
      <c r="H52" s="1">
        <f>SUM(OSRRefH22_7x_0)</f>
        <v>300</v>
      </c>
      <c r="I52" s="1"/>
      <c r="J52" s="5">
        <f t="shared" ref="J52:J55" si="33">IF(H$12=0,0,H52/H$12)</f>
        <v>0</v>
      </c>
      <c r="K52" s="1"/>
      <c r="L52" s="1">
        <f t="shared" ref="L52:L55" si="34">+D52-H52</f>
        <v>23.870000000000005</v>
      </c>
      <c r="M52" s="1"/>
      <c r="N52" s="5">
        <f t="shared" ref="N52:N55" si="35">IF(H52=0,0,L52/H52)</f>
        <v>7.9566666666666688E-2</v>
      </c>
      <c r="O52" s="14"/>
      <c r="P52" s="1">
        <f>SUM(OSRRefP22_7x_0)</f>
        <v>1148.8699999999999</v>
      </c>
      <c r="Q52" s="1"/>
      <c r="R52" s="5">
        <f t="shared" ref="R52:R55" si="36">IF(P$12=0,0,P52/P$12)</f>
        <v>0</v>
      </c>
      <c r="S52" s="1"/>
      <c r="T52" s="1">
        <f>SUM(OSRRefT22_7x_0)</f>
        <v>2100</v>
      </c>
      <c r="U52" s="1"/>
      <c r="V52" s="5">
        <f t="shared" ref="V52:V55" si="37">IF(T$12=0,0,T52/T$12)</f>
        <v>0</v>
      </c>
      <c r="W52" s="1"/>
      <c r="X52" s="1">
        <f t="shared" ref="X52:X55" si="38">+P52-T52</f>
        <v>-951.13000000000011</v>
      </c>
      <c r="Y52" s="1"/>
      <c r="Z52" s="5">
        <f t="shared" ref="Z52:Z55" si="39">IF(T52=0,0,X52/T52)</f>
        <v>-0.45291904761904767</v>
      </c>
    </row>
    <row r="53" spans="1:26" s="24" customFormat="1" hidden="1" outlineLevel="2" x14ac:dyDescent="0.3">
      <c r="A53" s="27"/>
      <c r="B53" s="11" t="str">
        <f>CONCATENATE("          ", "6376", " - ", "TRAINING")</f>
        <v xml:space="preserve">          6376 - TRAINING</v>
      </c>
      <c r="C53" s="11"/>
      <c r="D53" s="7">
        <v>323.87</v>
      </c>
      <c r="E53" s="2"/>
      <c r="F53" s="6">
        <f t="shared" si="32"/>
        <v>0</v>
      </c>
      <c r="G53" s="2"/>
      <c r="H53" s="7">
        <v>300</v>
      </c>
      <c r="I53" s="2"/>
      <c r="J53" s="6">
        <f t="shared" si="33"/>
        <v>0</v>
      </c>
      <c r="K53" s="2"/>
      <c r="L53" s="7">
        <f t="shared" si="34"/>
        <v>23.870000000000005</v>
      </c>
      <c r="M53" s="2"/>
      <c r="N53" s="6">
        <f t="shared" si="35"/>
        <v>7.9566666666666688E-2</v>
      </c>
      <c r="O53" s="11"/>
      <c r="P53" s="7">
        <v>1148.8699999999999</v>
      </c>
      <c r="Q53" s="2"/>
      <c r="R53" s="6">
        <f t="shared" si="36"/>
        <v>0</v>
      </c>
      <c r="S53" s="2"/>
      <c r="T53" s="7">
        <v>2100</v>
      </c>
      <c r="U53" s="2"/>
      <c r="V53" s="6">
        <f t="shared" si="37"/>
        <v>0</v>
      </c>
      <c r="W53" s="2"/>
      <c r="X53" s="7">
        <f t="shared" si="38"/>
        <v>-951.13000000000011</v>
      </c>
      <c r="Y53" s="2"/>
      <c r="Z53" s="6">
        <f t="shared" si="39"/>
        <v>-0.45291904761904767</v>
      </c>
    </row>
    <row r="54" spans="1:26" s="28" customFormat="1" outlineLevel="1" collapsed="1" x14ac:dyDescent="0.3">
      <c r="A54" s="29"/>
      <c r="B54" s="14" t="str">
        <f>CONCATENATE("     ","Travel                                            ")</f>
        <v xml:space="preserve">     Travel                                            </v>
      </c>
      <c r="C54" s="14"/>
      <c r="D54" s="1">
        <f>SUM(OSRRefD22_8x_0)</f>
        <v>0</v>
      </c>
      <c r="E54" s="1"/>
      <c r="F54" s="5">
        <f t="shared" si="32"/>
        <v>0</v>
      </c>
      <c r="G54" s="1"/>
      <c r="H54" s="1">
        <f>SUM(OSRRefH22_8x_0)</f>
        <v>0</v>
      </c>
      <c r="I54" s="1"/>
      <c r="J54" s="5">
        <f t="shared" si="33"/>
        <v>0</v>
      </c>
      <c r="K54" s="1"/>
      <c r="L54" s="1">
        <f t="shared" si="34"/>
        <v>0</v>
      </c>
      <c r="M54" s="1"/>
      <c r="N54" s="5">
        <f t="shared" si="35"/>
        <v>0</v>
      </c>
      <c r="O54" s="14"/>
      <c r="P54" s="1">
        <f>SUM(OSRRefP22_8x_0)</f>
        <v>595</v>
      </c>
      <c r="Q54" s="1"/>
      <c r="R54" s="5">
        <f t="shared" si="36"/>
        <v>0</v>
      </c>
      <c r="S54" s="1"/>
      <c r="T54" s="1">
        <f>SUM(OSRRefT22_8x_0)</f>
        <v>0</v>
      </c>
      <c r="U54" s="1"/>
      <c r="V54" s="5">
        <f t="shared" si="37"/>
        <v>0</v>
      </c>
      <c r="W54" s="1"/>
      <c r="X54" s="1">
        <f t="shared" si="38"/>
        <v>595</v>
      </c>
      <c r="Y54" s="1"/>
      <c r="Z54" s="5">
        <f t="shared" si="39"/>
        <v>0</v>
      </c>
    </row>
    <row r="55" spans="1:26" s="24" customFormat="1" hidden="1" outlineLevel="2" x14ac:dyDescent="0.3">
      <c r="A55" s="27"/>
      <c r="B55" s="11" t="str">
        <f>CONCATENATE("          ", "6292", " - ", "TRAVEL/CONFERENCE")</f>
        <v xml:space="preserve">          6292 - TRAVEL/CONFERENCE</v>
      </c>
      <c r="C55" s="11"/>
      <c r="D55" s="7"/>
      <c r="E55" s="2"/>
      <c r="F55" s="6">
        <f t="shared" si="32"/>
        <v>0</v>
      </c>
      <c r="G55" s="2"/>
      <c r="H55" s="7"/>
      <c r="I55" s="2"/>
      <c r="J55" s="6">
        <f t="shared" si="33"/>
        <v>0</v>
      </c>
      <c r="K55" s="2"/>
      <c r="L55" s="7">
        <f t="shared" si="34"/>
        <v>0</v>
      </c>
      <c r="M55" s="2"/>
      <c r="N55" s="6">
        <f t="shared" si="35"/>
        <v>0</v>
      </c>
      <c r="O55" s="11"/>
      <c r="P55" s="7">
        <v>595</v>
      </c>
      <c r="Q55" s="2"/>
      <c r="R55" s="6">
        <f t="shared" si="36"/>
        <v>0</v>
      </c>
      <c r="S55" s="2"/>
      <c r="T55" s="7"/>
      <c r="U55" s="2"/>
      <c r="V55" s="6">
        <f t="shared" si="37"/>
        <v>0</v>
      </c>
      <c r="W55" s="2"/>
      <c r="X55" s="7">
        <f t="shared" si="38"/>
        <v>595</v>
      </c>
      <c r="Y55" s="2"/>
      <c r="Z55" s="6">
        <f t="shared" si="39"/>
        <v>0</v>
      </c>
    </row>
    <row r="56" spans="1:26" s="55" customFormat="1" x14ac:dyDescent="0.3">
      <c r="A56" s="36"/>
      <c r="B56" s="36"/>
      <c r="C56" s="36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6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3">
      <c r="A57" s="10"/>
      <c r="B57" s="25" t="s">
        <v>293</v>
      </c>
      <c r="C57" s="10"/>
      <c r="D57" s="4">
        <f>SUM(0)</f>
        <v>0</v>
      </c>
      <c r="E57" s="4"/>
      <c r="F57" s="12">
        <f>IF(D$12=0,0,D57/D$12)</f>
        <v>0</v>
      </c>
      <c r="G57" s="4"/>
      <c r="H57" s="4">
        <f>SUM(0)</f>
        <v>0</v>
      </c>
      <c r="I57" s="4"/>
      <c r="J57" s="12">
        <f>IF(H$12=0,0,H57/H$12)</f>
        <v>0</v>
      </c>
      <c r="K57" s="4"/>
      <c r="L57" s="4">
        <f>+D57-H57</f>
        <v>0</v>
      </c>
      <c r="M57" s="4"/>
      <c r="N57" s="12">
        <f>IF(H57=0,0,L57/H57)</f>
        <v>0</v>
      </c>
      <c r="O57" s="10"/>
      <c r="P57" s="4">
        <f>SUM(0)</f>
        <v>0</v>
      </c>
      <c r="Q57" s="4"/>
      <c r="R57" s="12">
        <f>IF(P$12=0,0,P57/P$12)</f>
        <v>0</v>
      </c>
      <c r="S57" s="4"/>
      <c r="T57" s="4">
        <f>SUM(0)</f>
        <v>0</v>
      </c>
      <c r="U57" s="4"/>
      <c r="V57" s="12">
        <f>IF(T$12=0,0,T57/T$12)</f>
        <v>0</v>
      </c>
      <c r="W57" s="4"/>
      <c r="X57" s="4">
        <f>+P57-T57</f>
        <v>0</v>
      </c>
      <c r="Y57" s="4"/>
      <c r="Z57" s="12">
        <f>IF(T57=0,0,X57/T57)</f>
        <v>0</v>
      </c>
    </row>
    <row r="58" spans="1:26" x14ac:dyDescent="0.3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3">
      <c r="A59" s="10"/>
      <c r="B59" s="26" t="s">
        <v>277</v>
      </c>
      <c r="C59" s="26"/>
      <c r="D59" s="21">
        <f>+D16-D18+D57</f>
        <v>-20905.3</v>
      </c>
      <c r="E59" s="13"/>
      <c r="F59" s="22">
        <f>IF(D$12=0,0,D59/D$12)</f>
        <v>0</v>
      </c>
      <c r="G59" s="13"/>
      <c r="H59" s="21">
        <f>+H16-H18+H57</f>
        <v>-20271.289565250001</v>
      </c>
      <c r="I59" s="13"/>
      <c r="J59" s="22">
        <f>IF(H$12=0,0,H59/H$12)</f>
        <v>0</v>
      </c>
      <c r="K59" s="15"/>
      <c r="L59" s="21">
        <f>+D59-H59</f>
        <v>-634.01043474999824</v>
      </c>
      <c r="M59" s="15"/>
      <c r="N59" s="22">
        <f>IF(H59=0,0,L59/H59)</f>
        <v>3.1276275379976258E-2</v>
      </c>
      <c r="O59" s="25"/>
      <c r="P59" s="21">
        <f>+P16-P18+P57</f>
        <v>-137855.43999999997</v>
      </c>
      <c r="Q59" s="13"/>
      <c r="R59" s="22">
        <f>IF(P$12=0,0,P59/P$12)</f>
        <v>0</v>
      </c>
      <c r="S59" s="13"/>
      <c r="T59" s="21">
        <f>+T16-T18+T57</f>
        <v>-128703.00387525</v>
      </c>
      <c r="U59" s="13"/>
      <c r="V59" s="22">
        <f>IF(T$12=0,0,T59/T$12)</f>
        <v>0</v>
      </c>
      <c r="W59" s="15"/>
      <c r="X59" s="21">
        <f>+P59-T59</f>
        <v>-9152.4361247499764</v>
      </c>
      <c r="Y59" s="15"/>
      <c r="Z59" s="22">
        <f>IF(T59=0,0,X59/T59)</f>
        <v>7.1112840020589596E-2</v>
      </c>
    </row>
    <row r="60" spans="1:26" x14ac:dyDescent="0.3">
      <c r="A60" s="9"/>
      <c r="B60" s="10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3">
      <c r="A61" s="52"/>
      <c r="B61" s="10" t="s">
        <v>128</v>
      </c>
      <c r="C61" s="10"/>
      <c r="D61" s="4"/>
      <c r="E61" s="4"/>
      <c r="F61" s="12">
        <f>IF(D$12=0,0,D61/D$12)</f>
        <v>0</v>
      </c>
      <c r="G61" s="4"/>
      <c r="H61" s="4"/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/>
      <c r="Q61" s="4"/>
      <c r="R61" s="12">
        <f>IF(P$12=0,0,P61/P$12)</f>
        <v>0</v>
      </c>
      <c r="S61" s="4"/>
      <c r="T61" s="4"/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3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ht="15" thickBot="1" x14ac:dyDescent="0.35">
      <c r="A63" s="10"/>
      <c r="B63" s="26" t="s">
        <v>126</v>
      </c>
      <c r="C63" s="26"/>
      <c r="D63" s="32">
        <f>+D59-D61</f>
        <v>-20905.3</v>
      </c>
      <c r="E63" s="13"/>
      <c r="F63" s="31">
        <f>IF(D$12=0,0,D63/D$12)</f>
        <v>0</v>
      </c>
      <c r="G63" s="13"/>
      <c r="H63" s="32">
        <f>+H59-H61</f>
        <v>-20271.289565250001</v>
      </c>
      <c r="I63" s="13"/>
      <c r="J63" s="31">
        <f>IF(H$12=0,0,H63/H$12)</f>
        <v>0</v>
      </c>
      <c r="K63" s="15"/>
      <c r="L63" s="32">
        <f>D63-H63</f>
        <v>-634.01043474999824</v>
      </c>
      <c r="M63" s="15"/>
      <c r="N63" s="31">
        <f>IF(H63=0,0,L63/H63)</f>
        <v>3.1276275379976258E-2</v>
      </c>
      <c r="O63" s="25"/>
      <c r="P63" s="32">
        <f>+P59-P61</f>
        <v>-137855.43999999997</v>
      </c>
      <c r="Q63" s="13"/>
      <c r="R63" s="31">
        <f>IF(P$12=0,0,P63/P$12)</f>
        <v>0</v>
      </c>
      <c r="S63" s="13"/>
      <c r="T63" s="32">
        <f>+T59-T61</f>
        <v>-128703.00387525</v>
      </c>
      <c r="U63" s="13"/>
      <c r="V63" s="31">
        <f>IF(T$12=0,0,T63/T$12)</f>
        <v>0</v>
      </c>
      <c r="W63" s="15"/>
      <c r="X63" s="32">
        <f>P63-T63</f>
        <v>-9152.4361247499764</v>
      </c>
      <c r="Y63" s="15"/>
      <c r="Z63" s="31">
        <f>IF(T63=0,0,X63/T63)</f>
        <v>7.1112840020589596E-2</v>
      </c>
    </row>
    <row r="64" spans="1:26" ht="15" thickTop="1" x14ac:dyDescent="0.3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x14ac:dyDescent="0.3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" thickBot="1" x14ac:dyDescent="0.35">
      <c r="A66" s="10"/>
      <c r="B66" s="26" t="s">
        <v>294</v>
      </c>
      <c r="C66" s="26"/>
      <c r="D66" s="34">
        <f>SUM(D63:D65)</f>
        <v>-20905.3</v>
      </c>
      <c r="E66" s="13"/>
      <c r="F66" s="35">
        <f>IF(D$12=0,0,D66/D$12)</f>
        <v>0</v>
      </c>
      <c r="G66" s="13"/>
      <c r="H66" s="34">
        <f>SUM(H63:H65)</f>
        <v>-20271.289565250001</v>
      </c>
      <c r="I66" s="13"/>
      <c r="J66" s="35">
        <f>IF(H$12=0,0,H66/H$12)</f>
        <v>0</v>
      </c>
      <c r="K66" s="15"/>
      <c r="L66" s="34">
        <f>+D66-H66</f>
        <v>-634.01043474999824</v>
      </c>
      <c r="M66" s="15"/>
      <c r="N66" s="35">
        <f>IF(H66=0,0,L66/H66)</f>
        <v>3.1276275379976258E-2</v>
      </c>
      <c r="O66" s="25"/>
      <c r="P66" s="34">
        <f>SUM(P63:P65)</f>
        <v>-137855.43999999997</v>
      </c>
      <c r="Q66" s="13"/>
      <c r="R66" s="35">
        <f>IF(P$12=0,0,P66/P$12)</f>
        <v>0</v>
      </c>
      <c r="S66" s="13"/>
      <c r="T66" s="34">
        <f>SUM(T63:T65)</f>
        <v>-128703.00387525</v>
      </c>
      <c r="U66" s="13"/>
      <c r="V66" s="35">
        <f>IF(T$12=0,0,T66/T$12)</f>
        <v>0</v>
      </c>
      <c r="W66" s="15"/>
      <c r="X66" s="34">
        <f>+P66-T66</f>
        <v>-9152.4361247499764</v>
      </c>
      <c r="Y66" s="15"/>
      <c r="Z66" s="35">
        <f>IF(T66=0,0,X66/T66)</f>
        <v>7.1112840020589596E-2</v>
      </c>
    </row>
    <row r="67" spans="1:26" ht="15" thickTop="1" x14ac:dyDescent="0.3">
      <c r="A67" s="9"/>
      <c r="C67" s="9"/>
      <c r="D67" s="17"/>
      <c r="E67" s="17"/>
      <c r="G67" s="17"/>
      <c r="H67" s="17"/>
      <c r="I67" s="17"/>
      <c r="J67" s="43"/>
      <c r="K67" s="17"/>
      <c r="L67" s="17"/>
      <c r="M67" s="17"/>
      <c r="P67" s="17"/>
      <c r="Q67" s="17"/>
      <c r="R67" s="43"/>
      <c r="S67" s="17"/>
      <c r="T67" s="17"/>
      <c r="U67" s="17"/>
      <c r="V67" s="43"/>
      <c r="W67" s="17"/>
      <c r="X67" s="17"/>
    </row>
    <row r="68" spans="1:26" x14ac:dyDescent="0.3">
      <c r="A68" s="9"/>
      <c r="B68" s="53">
        <v>44604.019995405091</v>
      </c>
      <c r="D68" s="17"/>
      <c r="E68" s="17"/>
      <c r="G68" s="17"/>
      <c r="H68" s="17"/>
      <c r="I68" s="17"/>
      <c r="J68" s="43"/>
      <c r="K68" s="17"/>
      <c r="L68" s="17"/>
      <c r="M68" s="17"/>
      <c r="P68" s="17"/>
      <c r="Q68" s="17"/>
      <c r="R68" s="43"/>
      <c r="S68" s="17"/>
      <c r="T68" s="17"/>
      <c r="U68" s="17"/>
      <c r="V68" s="43"/>
      <c r="W68" s="17"/>
      <c r="X68" s="17"/>
    </row>
    <row r="69" spans="1:26" x14ac:dyDescent="0.3">
      <c r="A69" s="9"/>
      <c r="B69" s="63" t="s">
        <v>56</v>
      </c>
      <c r="D69" s="17"/>
      <c r="E69" s="17"/>
      <c r="G69" s="17"/>
      <c r="H69" s="17"/>
      <c r="I69" s="17"/>
      <c r="J69" s="43"/>
      <c r="K69" s="17"/>
      <c r="L69" s="17"/>
      <c r="M69" s="17"/>
      <c r="P69" s="17"/>
      <c r="Q69" s="17"/>
      <c r="R69" s="43"/>
      <c r="S69" s="17"/>
      <c r="T69" s="17"/>
      <c r="U69" s="17"/>
      <c r="V69" s="43"/>
      <c r="W69" s="17"/>
      <c r="X69" s="17"/>
    </row>
    <row r="70" spans="1:26" x14ac:dyDescent="0.3">
      <c r="A70" s="9"/>
      <c r="B70" s="58"/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3"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92D050"/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","433", " - ", "Hillside Dining Hall")</f>
        <v>Department 433 - Hillside Dining Hall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205863.21</v>
      </c>
      <c r="E12" s="4"/>
      <c r="F12" s="12"/>
      <c r="G12" s="4"/>
      <c r="H12" s="4">
        <f>SUM(OSRRefH13x_0)</f>
        <v>178200</v>
      </c>
      <c r="I12" s="4"/>
      <c r="J12" s="12"/>
      <c r="K12" s="4"/>
      <c r="L12" s="4">
        <f t="shared" ref="L12:L16" si="0">+D12-H12</f>
        <v>27663.209999999992</v>
      </c>
      <c r="M12" s="4"/>
      <c r="N12" s="12">
        <f t="shared" ref="N12:N16" si="1">IF(H12=0,0,L12/H12)</f>
        <v>0.15523686868686865</v>
      </c>
      <c r="O12" s="10"/>
      <c r="P12" s="4">
        <f>SUM(OSRRefP13x_0)</f>
        <v>2240262.4300000002</v>
      </c>
      <c r="Q12" s="4"/>
      <c r="R12" s="12"/>
      <c r="S12" s="4"/>
      <c r="T12" s="4">
        <f>SUM(OSRRefT13x_0)</f>
        <v>1992600</v>
      </c>
      <c r="U12" s="4"/>
      <c r="V12" s="12"/>
      <c r="W12" s="4"/>
      <c r="X12" s="4">
        <f t="shared" ref="X12:X16" si="2">+P12-T12</f>
        <v>247662.43000000017</v>
      </c>
      <c r="Y12" s="4"/>
      <c r="Z12" s="12">
        <f t="shared" ref="Z12:Z16" si="3">IF(T12=0,0,X12/T12)</f>
        <v>0.12429109204055012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--11.12</f>
        <v>11.12</v>
      </c>
      <c r="E13" s="2"/>
      <c r="F13" s="19"/>
      <c r="G13" s="2"/>
      <c r="H13" s="2"/>
      <c r="I13" s="2"/>
      <c r="J13" s="19"/>
      <c r="K13" s="2"/>
      <c r="L13" s="2">
        <f t="shared" si="0"/>
        <v>11.12</v>
      </c>
      <c r="M13" s="2"/>
      <c r="N13" s="19">
        <f t="shared" si="1"/>
        <v>0</v>
      </c>
      <c r="O13" s="11"/>
      <c r="P13" s="2">
        <f>--1855.11</f>
        <v>1855.11</v>
      </c>
      <c r="Q13" s="2"/>
      <c r="R13" s="19"/>
      <c r="S13" s="2"/>
      <c r="T13" s="2"/>
      <c r="U13" s="2"/>
      <c r="V13" s="19"/>
      <c r="W13" s="2"/>
      <c r="X13" s="2">
        <f t="shared" si="2"/>
        <v>1855.11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178200</v>
      </c>
      <c r="I14" s="2"/>
      <c r="J14" s="19"/>
      <c r="K14" s="2"/>
      <c r="L14" s="2">
        <f t="shared" si="0"/>
        <v>-178200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1992600</v>
      </c>
      <c r="U14" s="2"/>
      <c r="V14" s="19"/>
      <c r="W14" s="2"/>
      <c r="X14" s="2">
        <f t="shared" si="2"/>
        <v>-1992600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--202436.51</f>
        <v>202436.51</v>
      </c>
      <c r="E15" s="2"/>
      <c r="F15" s="19"/>
      <c r="G15" s="2"/>
      <c r="H15" s="2"/>
      <c r="I15" s="2"/>
      <c r="J15" s="19"/>
      <c r="K15" s="2"/>
      <c r="L15" s="2">
        <f t="shared" si="0"/>
        <v>202436.51</v>
      </c>
      <c r="M15" s="2"/>
      <c r="N15" s="19">
        <f t="shared" si="1"/>
        <v>0</v>
      </c>
      <c r="O15" s="11"/>
      <c r="P15" s="2">
        <f>--2196691.43</f>
        <v>2196691.4300000002</v>
      </c>
      <c r="Q15" s="2"/>
      <c r="R15" s="19"/>
      <c r="S15" s="2"/>
      <c r="T15" s="2"/>
      <c r="U15" s="2"/>
      <c r="V15" s="19"/>
      <c r="W15" s="2"/>
      <c r="X15" s="2">
        <f t="shared" si="2"/>
        <v>2196691.4300000002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--3415.58</f>
        <v>3415.58</v>
      </c>
      <c r="E16" s="2"/>
      <c r="F16" s="19"/>
      <c r="G16" s="2"/>
      <c r="H16" s="2"/>
      <c r="I16" s="2"/>
      <c r="J16" s="19"/>
      <c r="K16" s="2"/>
      <c r="L16" s="2">
        <f t="shared" si="0"/>
        <v>3415.58</v>
      </c>
      <c r="M16" s="2"/>
      <c r="N16" s="19">
        <f t="shared" si="1"/>
        <v>0</v>
      </c>
      <c r="O16" s="11"/>
      <c r="P16" s="2">
        <f>--41715.89</f>
        <v>41715.89</v>
      </c>
      <c r="Q16" s="2"/>
      <c r="R16" s="19"/>
      <c r="S16" s="2"/>
      <c r="T16" s="2"/>
      <c r="U16" s="2"/>
      <c r="V16" s="19"/>
      <c r="W16" s="2"/>
      <c r="X16" s="2">
        <f t="shared" si="2"/>
        <v>41715.89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33441.17</v>
      </c>
      <c r="E18" s="4"/>
      <c r="F18" s="12">
        <f t="shared" ref="F18:F21" si="4">IF(D$12=0,0,D18/D$12)</f>
        <v>0.16244364401002004</v>
      </c>
      <c r="G18" s="4"/>
      <c r="H18" s="4">
        <f>SUM(OSRRefH16x_0)</f>
        <v>57024</v>
      </c>
      <c r="I18" s="4"/>
      <c r="J18" s="12">
        <f t="shared" ref="J18:J21" si="5">IF(H$12=0,0,H18/H$12)</f>
        <v>0.32</v>
      </c>
      <c r="K18" s="4"/>
      <c r="L18" s="4">
        <f t="shared" ref="L18:L21" si="6">+D18-H18</f>
        <v>-23582.83</v>
      </c>
      <c r="M18" s="4"/>
      <c r="N18" s="12">
        <f t="shared" ref="N18:N21" si="7">IF(H18=0,0,L18/H18)</f>
        <v>-0.41355972923681261</v>
      </c>
      <c r="O18" s="10"/>
      <c r="P18" s="4">
        <f>SUM(OSRRefP16x_0)</f>
        <v>567178.47</v>
      </c>
      <c r="Q18" s="4"/>
      <c r="R18" s="12">
        <f t="shared" ref="R18:R21" si="8">IF(P$12=0,0,P18/P$12)</f>
        <v>0.25317501307201762</v>
      </c>
      <c r="S18" s="4"/>
      <c r="T18" s="4">
        <f>SUM(OSRRefT16x_0)</f>
        <v>584334</v>
      </c>
      <c r="U18" s="4"/>
      <c r="V18" s="12">
        <f t="shared" ref="V18:V21" si="9">IF(T$12=0,0,T18/T$12)</f>
        <v>0.29325203252032522</v>
      </c>
      <c r="W18" s="4"/>
      <c r="X18" s="4">
        <f t="shared" ref="X18:X21" si="10">+P18-T18</f>
        <v>-17155.530000000028</v>
      </c>
      <c r="Y18" s="4"/>
      <c r="Z18" s="12">
        <f t="shared" ref="Z18:Z21" si="11">IF(T18=0,0,X18/T18)</f>
        <v>-2.9359116532668008E-2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57024</v>
      </c>
      <c r="I19" s="2"/>
      <c r="J19" s="19">
        <f t="shared" si="5"/>
        <v>0.32</v>
      </c>
      <c r="K19" s="2"/>
      <c r="L19" s="2">
        <f t="shared" si="6"/>
        <v>-57024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584334</v>
      </c>
      <c r="U19" s="2"/>
      <c r="V19" s="19">
        <f t="shared" si="9"/>
        <v>0.29325203252032522</v>
      </c>
      <c r="W19" s="2"/>
      <c r="X19" s="2">
        <f t="shared" si="10"/>
        <v>-584334</v>
      </c>
      <c r="Y19" s="2"/>
      <c r="Z19" s="19">
        <f t="shared" si="11"/>
        <v>-1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47573.17</v>
      </c>
      <c r="E20" s="2"/>
      <c r="F20" s="19">
        <f t="shared" si="4"/>
        <v>0.23109116971410287</v>
      </c>
      <c r="G20" s="2"/>
      <c r="H20" s="2"/>
      <c r="I20" s="2"/>
      <c r="J20" s="19">
        <f t="shared" si="5"/>
        <v>0</v>
      </c>
      <c r="K20" s="2"/>
      <c r="L20" s="2">
        <f t="shared" si="6"/>
        <v>47573.17</v>
      </c>
      <c r="M20" s="2"/>
      <c r="N20" s="19">
        <f t="shared" si="7"/>
        <v>0</v>
      </c>
      <c r="O20" s="11"/>
      <c r="P20" s="2">
        <v>588364.47</v>
      </c>
      <c r="Q20" s="2"/>
      <c r="R20" s="19">
        <f t="shared" si="8"/>
        <v>0.26263194084810854</v>
      </c>
      <c r="S20" s="2"/>
      <c r="T20" s="2"/>
      <c r="U20" s="2"/>
      <c r="V20" s="19">
        <f t="shared" si="9"/>
        <v>0</v>
      </c>
      <c r="W20" s="2"/>
      <c r="X20" s="2">
        <f t="shared" si="10"/>
        <v>588364.47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-14132</v>
      </c>
      <c r="E21" s="2"/>
      <c r="F21" s="19">
        <f t="shared" si="4"/>
        <v>-6.8647525704082821E-2</v>
      </c>
      <c r="G21" s="2"/>
      <c r="H21" s="2"/>
      <c r="I21" s="2"/>
      <c r="J21" s="19">
        <f t="shared" si="5"/>
        <v>0</v>
      </c>
      <c r="K21" s="2"/>
      <c r="L21" s="2">
        <f t="shared" si="6"/>
        <v>-14132</v>
      </c>
      <c r="M21" s="2"/>
      <c r="N21" s="19">
        <f t="shared" si="7"/>
        <v>0</v>
      </c>
      <c r="O21" s="11"/>
      <c r="P21" s="2">
        <v>-21186</v>
      </c>
      <c r="Q21" s="2"/>
      <c r="R21" s="19">
        <f t="shared" si="8"/>
        <v>-9.4569277760909454E-3</v>
      </c>
      <c r="S21" s="2"/>
      <c r="T21" s="2"/>
      <c r="U21" s="2"/>
      <c r="V21" s="19">
        <f t="shared" si="9"/>
        <v>0</v>
      </c>
      <c r="W21" s="2"/>
      <c r="X21" s="2">
        <f t="shared" si="10"/>
        <v>-21186</v>
      </c>
      <c r="Y21" s="2"/>
      <c r="Z21" s="19">
        <f t="shared" si="11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1">
        <f>D12-D18</f>
        <v>172422.03999999998</v>
      </c>
      <c r="E23" s="13"/>
      <c r="F23" s="22">
        <f>IF(D$12=0,0,D23/D$12)</f>
        <v>0.83755635598997991</v>
      </c>
      <c r="G23" s="13"/>
      <c r="H23" s="21">
        <f>H12-H18</f>
        <v>121176</v>
      </c>
      <c r="I23" s="13"/>
      <c r="J23" s="22">
        <f>IF(H$12=0,0,H23/H$12)</f>
        <v>0.68</v>
      </c>
      <c r="K23" s="15"/>
      <c r="L23" s="21">
        <f>+D23-H23</f>
        <v>51246.039999999979</v>
      </c>
      <c r="M23" s="15"/>
      <c r="N23" s="22">
        <f>IF(H23=0,0,L23/H23)</f>
        <v>0.42290585594507146</v>
      </c>
      <c r="O23" s="25"/>
      <c r="P23" s="21">
        <f>P12-P18</f>
        <v>1673083.9600000002</v>
      </c>
      <c r="Q23" s="13"/>
      <c r="R23" s="22">
        <f>IF(P$12=0,0,P23/P$12)</f>
        <v>0.74682498692798238</v>
      </c>
      <c r="S23" s="13"/>
      <c r="T23" s="21">
        <f>T12-T18</f>
        <v>1408266</v>
      </c>
      <c r="U23" s="13"/>
      <c r="V23" s="22">
        <f>IF(T$12=0,0,T23/T$12)</f>
        <v>0.70674796747967483</v>
      </c>
      <c r="W23" s="15"/>
      <c r="X23" s="21">
        <f>+P23-T23</f>
        <v>264817.9600000002</v>
      </c>
      <c r="Y23" s="15"/>
      <c r="Z23" s="22">
        <f>IF(T23=0,0,X23/T23)</f>
        <v>0.18804541187531346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0">
        <f>SUM(OSRRefD22x_0)</f>
        <v>126154.28000000001</v>
      </c>
      <c r="E25" s="20"/>
      <c r="F25" s="33">
        <f t="shared" ref="F25:F36" si="12">IF(D$12=0,0,D25/D$12)</f>
        <v>0.61280633873337553</v>
      </c>
      <c r="G25" s="20"/>
      <c r="H25" s="20">
        <f>SUM(OSRRefH22x_0)</f>
        <v>174918.02737115388</v>
      </c>
      <c r="I25" s="20"/>
      <c r="J25" s="33">
        <f t="shared" ref="J25:J36" si="13">IF(H$12=0,0,H25/H$12)</f>
        <v>0.98158264518043703</v>
      </c>
      <c r="K25" s="4"/>
      <c r="L25" s="20">
        <f t="shared" ref="L25:L36" si="14">+D25-H25</f>
        <v>-48763.747371153862</v>
      </c>
      <c r="M25" s="4"/>
      <c r="N25" s="33">
        <f t="shared" ref="N25:N36" si="15">IF(H25=0,0,L25/H25)</f>
        <v>-0.27878056998483852</v>
      </c>
      <c r="O25" s="10"/>
      <c r="P25" s="20">
        <f>SUM(OSRRefP22x_0)</f>
        <v>928196.16999999981</v>
      </c>
      <c r="Q25" s="20"/>
      <c r="R25" s="33">
        <f t="shared" ref="R25:R36" si="16">IF(P$12=0,0,P25/P$12)</f>
        <v>0.4143247494446442</v>
      </c>
      <c r="S25" s="20"/>
      <c r="T25" s="20">
        <f>SUM(OSRRefT22x_0)</f>
        <v>1132453.7547011541</v>
      </c>
      <c r="U25" s="20"/>
      <c r="V25" s="33">
        <f t="shared" ref="V25:V36" si="17">IF(T$12=0,0,T25/T$12)</f>
        <v>0.56832969723032922</v>
      </c>
      <c r="W25" s="4"/>
      <c r="X25" s="20">
        <f t="shared" ref="X25:X36" si="18">+P25-T25</f>
        <v>-204257.58470115426</v>
      </c>
      <c r="Y25" s="4"/>
      <c r="Z25" s="33">
        <f t="shared" ref="Z25:Z36" si="19">IF(T25=0,0,X25/T25)</f>
        <v>-0.1803672634341314</v>
      </c>
    </row>
    <row r="26" spans="1:26" s="28" customFormat="1" outlineLevel="1" collapsed="1" x14ac:dyDescent="0.3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31208.34</v>
      </c>
      <c r="E26" s="1"/>
      <c r="F26" s="5">
        <f t="shared" si="12"/>
        <v>0.15159746124623238</v>
      </c>
      <c r="G26" s="1"/>
      <c r="H26" s="1">
        <f>SUM(OSRRefH22_0x_0)</f>
        <v>40278.000448076957</v>
      </c>
      <c r="I26" s="1"/>
      <c r="J26" s="5">
        <f t="shared" si="13"/>
        <v>0.22602693854139708</v>
      </c>
      <c r="K26" s="1"/>
      <c r="L26" s="1">
        <f t="shared" si="14"/>
        <v>-9069.6604480769565</v>
      </c>
      <c r="M26" s="1"/>
      <c r="N26" s="5">
        <f t="shared" si="15"/>
        <v>-0.22517653178361741</v>
      </c>
      <c r="O26" s="14"/>
      <c r="P26" s="1">
        <f>SUM(OSRRefP22_0x_0)</f>
        <v>185429.54</v>
      </c>
      <c r="Q26" s="1"/>
      <c r="R26" s="5">
        <f t="shared" si="16"/>
        <v>8.2771347462181025E-2</v>
      </c>
      <c r="S26" s="1"/>
      <c r="T26" s="1">
        <f>SUM(OSRRefT22_0x_0)</f>
        <v>249795.98777807716</v>
      </c>
      <c r="U26" s="1"/>
      <c r="V26" s="5">
        <f t="shared" si="17"/>
        <v>0.12536183266991727</v>
      </c>
      <c r="W26" s="1"/>
      <c r="X26" s="1">
        <f t="shared" si="18"/>
        <v>-64366.447778077156</v>
      </c>
      <c r="Y26" s="1"/>
      <c r="Z26" s="5">
        <f t="shared" si="19"/>
        <v>-0.25767606738047916</v>
      </c>
    </row>
    <row r="27" spans="1:26" s="24" customFormat="1" hidden="1" outlineLevel="2" x14ac:dyDescent="0.3">
      <c r="A27" s="27"/>
      <c r="B27" s="11" t="str">
        <f>CONCATENATE("          ", "6111", " - ", "F.I.C.A.")</f>
        <v xml:space="preserve">          6111 - F.I.C.A.</v>
      </c>
      <c r="C27" s="11"/>
      <c r="D27" s="7">
        <v>2725.29</v>
      </c>
      <c r="E27" s="2"/>
      <c r="F27" s="6">
        <f t="shared" si="12"/>
        <v>1.3238353759275396E-2</v>
      </c>
      <c r="G27" s="2"/>
      <c r="H27" s="7">
        <v>5970.2377557692298</v>
      </c>
      <c r="I27" s="2"/>
      <c r="J27" s="6">
        <f t="shared" si="13"/>
        <v>3.3503017709142706E-2</v>
      </c>
      <c r="K27" s="2"/>
      <c r="L27" s="7">
        <f t="shared" si="14"/>
        <v>-3244.9477557692298</v>
      </c>
      <c r="M27" s="2"/>
      <c r="N27" s="6">
        <f t="shared" si="15"/>
        <v>-0.54352069189096097</v>
      </c>
      <c r="O27" s="11"/>
      <c r="P27" s="7">
        <v>23086.78</v>
      </c>
      <c r="Q27" s="2"/>
      <c r="R27" s="6">
        <f t="shared" si="16"/>
        <v>1.0305390873336208E-2</v>
      </c>
      <c r="S27" s="2"/>
      <c r="T27" s="7">
        <v>35063.959085769202</v>
      </c>
      <c r="U27" s="2"/>
      <c r="V27" s="6">
        <f t="shared" si="17"/>
        <v>1.7597088771338552E-2</v>
      </c>
      <c r="W27" s="2"/>
      <c r="X27" s="7">
        <f t="shared" si="18"/>
        <v>-11977.179085769203</v>
      </c>
      <c r="Y27" s="2"/>
      <c r="Z27" s="6">
        <f t="shared" si="19"/>
        <v>-0.34158091094254589</v>
      </c>
    </row>
    <row r="28" spans="1:26" s="24" customFormat="1" hidden="1" outlineLevel="2" x14ac:dyDescent="0.3">
      <c r="A28" s="27"/>
      <c r="B28" s="11" t="str">
        <f>CONCATENATE("          ", "6112", " - ", "COMPENSATION INSURANCE")</f>
        <v xml:space="preserve">          6112 - COMPENSATION INSURANCE</v>
      </c>
      <c r="C28" s="11"/>
      <c r="D28" s="7">
        <v>1327.72</v>
      </c>
      <c r="E28" s="2"/>
      <c r="F28" s="6">
        <f t="shared" si="12"/>
        <v>6.4495253911565848E-3</v>
      </c>
      <c r="G28" s="2"/>
      <c r="H28" s="7">
        <v>3666.32209615385</v>
      </c>
      <c r="I28" s="2"/>
      <c r="J28" s="6">
        <f t="shared" si="13"/>
        <v>2.0574198070448094E-2</v>
      </c>
      <c r="K28" s="2"/>
      <c r="L28" s="7">
        <f t="shared" si="14"/>
        <v>-2338.6020961538497</v>
      </c>
      <c r="M28" s="2"/>
      <c r="N28" s="6">
        <f t="shared" si="15"/>
        <v>-0.63786051383951148</v>
      </c>
      <c r="O28" s="11"/>
      <c r="P28" s="7">
        <v>13947.2</v>
      </c>
      <c r="Q28" s="2"/>
      <c r="R28" s="6">
        <f t="shared" si="16"/>
        <v>6.2256991918576256E-3</v>
      </c>
      <c r="S28" s="2"/>
      <c r="T28" s="7">
        <v>21258.023996153901</v>
      </c>
      <c r="U28" s="2"/>
      <c r="V28" s="6">
        <f t="shared" si="17"/>
        <v>1.0668485394034879E-2</v>
      </c>
      <c r="W28" s="2"/>
      <c r="X28" s="7">
        <f t="shared" si="18"/>
        <v>-7310.8239961539002</v>
      </c>
      <c r="Y28" s="2"/>
      <c r="Z28" s="6">
        <f t="shared" si="19"/>
        <v>-0.34390891634502851</v>
      </c>
    </row>
    <row r="29" spans="1:26" s="24" customFormat="1" hidden="1" outlineLevel="2" x14ac:dyDescent="0.3">
      <c r="A29" s="27"/>
      <c r="B29" s="11" t="str">
        <f>CONCATENATE("          ", "6113", " - ", "GROUP INSURANCE")</f>
        <v xml:space="preserve">          6113 - GROUP INSURANCE</v>
      </c>
      <c r="C29" s="11"/>
      <c r="D29" s="7">
        <v>14440.91</v>
      </c>
      <c r="E29" s="2"/>
      <c r="F29" s="6">
        <f t="shared" si="12"/>
        <v>7.0148085226107187E-2</v>
      </c>
      <c r="G29" s="2"/>
      <c r="H29" s="7">
        <v>23715.230769230799</v>
      </c>
      <c r="I29" s="2"/>
      <c r="J29" s="6">
        <f t="shared" si="13"/>
        <v>0.13308210308210325</v>
      </c>
      <c r="K29" s="2"/>
      <c r="L29" s="7">
        <f t="shared" si="14"/>
        <v>-9274.3207692307988</v>
      </c>
      <c r="M29" s="2"/>
      <c r="N29" s="6">
        <f t="shared" si="15"/>
        <v>-0.39107023075076786</v>
      </c>
      <c r="O29" s="11"/>
      <c r="P29" s="7">
        <v>93969.06</v>
      </c>
      <c r="Q29" s="2"/>
      <c r="R29" s="6">
        <f t="shared" si="16"/>
        <v>4.1945559029885615E-2</v>
      </c>
      <c r="S29" s="2"/>
      <c r="T29" s="7">
        <v>151779.23076923101</v>
      </c>
      <c r="U29" s="2"/>
      <c r="V29" s="6">
        <f t="shared" si="17"/>
        <v>7.6171449748685643E-2</v>
      </c>
      <c r="W29" s="2"/>
      <c r="X29" s="7">
        <f t="shared" si="18"/>
        <v>-57810.170769231016</v>
      </c>
      <c r="Y29" s="2"/>
      <c r="Z29" s="6">
        <f t="shared" si="19"/>
        <v>-0.38088327682413325</v>
      </c>
    </row>
    <row r="30" spans="1:26" s="24" customFormat="1" hidden="1" outlineLevel="2" x14ac:dyDescent="0.3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7">
        <v>95.89</v>
      </c>
      <c r="E30" s="2"/>
      <c r="F30" s="6">
        <f t="shared" si="12"/>
        <v>4.657947381661833E-4</v>
      </c>
      <c r="G30" s="2"/>
      <c r="H30" s="7">
        <v>203.147134615385</v>
      </c>
      <c r="I30" s="2"/>
      <c r="J30" s="6">
        <f t="shared" si="13"/>
        <v>1.139995143745146E-3</v>
      </c>
      <c r="K30" s="2"/>
      <c r="L30" s="7">
        <f t="shared" si="14"/>
        <v>-107.257134615385</v>
      </c>
      <c r="M30" s="2"/>
      <c r="N30" s="6">
        <f t="shared" si="15"/>
        <v>-0.52797759032364944</v>
      </c>
      <c r="O30" s="11"/>
      <c r="P30" s="7">
        <v>1007.31</v>
      </c>
      <c r="Q30" s="2"/>
      <c r="R30" s="6">
        <f t="shared" si="16"/>
        <v>4.4963928623308649E-4</v>
      </c>
      <c r="S30" s="2"/>
      <c r="T30" s="7">
        <v>1177.8852346153899</v>
      </c>
      <c r="U30" s="2"/>
      <c r="V30" s="6">
        <f t="shared" si="17"/>
        <v>5.9112979755866204E-4</v>
      </c>
      <c r="W30" s="2"/>
      <c r="X30" s="7">
        <f t="shared" si="18"/>
        <v>-170.57523461538995</v>
      </c>
      <c r="Y30" s="2"/>
      <c r="Z30" s="6">
        <f t="shared" si="19"/>
        <v>-0.14481481693001033</v>
      </c>
    </row>
    <row r="31" spans="1:26" s="24" customFormat="1" hidden="1" outlineLevel="2" x14ac:dyDescent="0.3">
      <c r="A31" s="27"/>
      <c r="B31" s="11" t="str">
        <f>CONCATENATE("          ", "6115", " - ", "P.E.R.S.")</f>
        <v xml:space="preserve">          6115 - P.E.R.S.</v>
      </c>
      <c r="C31" s="11"/>
      <c r="D31" s="7">
        <v>988.61</v>
      </c>
      <c r="E31" s="2"/>
      <c r="F31" s="6">
        <f t="shared" si="12"/>
        <v>4.8022665147405405E-3</v>
      </c>
      <c r="G31" s="2"/>
      <c r="H31" s="7">
        <v>1557.60884615385</v>
      </c>
      <c r="I31" s="2"/>
      <c r="J31" s="6">
        <f t="shared" si="13"/>
        <v>8.7407903824570712E-3</v>
      </c>
      <c r="K31" s="2"/>
      <c r="L31" s="7">
        <f t="shared" si="14"/>
        <v>-568.99884615384997</v>
      </c>
      <c r="M31" s="2"/>
      <c r="N31" s="6">
        <f t="shared" si="15"/>
        <v>-0.36530278288985024</v>
      </c>
      <c r="O31" s="11"/>
      <c r="P31" s="7">
        <v>9133.4699999999993</v>
      </c>
      <c r="Q31" s="2"/>
      <c r="R31" s="6">
        <f t="shared" si="16"/>
        <v>4.0769643224343134E-3</v>
      </c>
      <c r="S31" s="2"/>
      <c r="T31" s="7">
        <v>9657.17484615387</v>
      </c>
      <c r="U31" s="2"/>
      <c r="V31" s="6">
        <f t="shared" si="17"/>
        <v>4.8465195453948964E-3</v>
      </c>
      <c r="W31" s="2"/>
      <c r="X31" s="7">
        <f t="shared" si="18"/>
        <v>-523.70484615387068</v>
      </c>
      <c r="Y31" s="2"/>
      <c r="Z31" s="6">
        <f t="shared" si="19"/>
        <v>-5.4229612127447896E-2</v>
      </c>
    </row>
    <row r="32" spans="1:26" s="24" customFormat="1" hidden="1" outlineLevel="2" x14ac:dyDescent="0.3">
      <c r="A32" s="27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3">
      <c r="A33" s="27"/>
      <c r="B33" s="11" t="str">
        <f>CONCATENATE("          ", "6117", " - ", "RETIREMENT STAFF HOURLY")</f>
        <v xml:space="preserve">          6117 - RETIREMENT STAFF HOURLY</v>
      </c>
      <c r="C33" s="11"/>
      <c r="D33" s="7">
        <v>764.11</v>
      </c>
      <c r="E33" s="2"/>
      <c r="F33" s="6">
        <f t="shared" si="12"/>
        <v>3.7117365458354604E-3</v>
      </c>
      <c r="G33" s="2"/>
      <c r="H33" s="7"/>
      <c r="I33" s="2"/>
      <c r="J33" s="6">
        <f t="shared" si="13"/>
        <v>0</v>
      </c>
      <c r="K33" s="2"/>
      <c r="L33" s="7">
        <f t="shared" si="14"/>
        <v>764.11</v>
      </c>
      <c r="M33" s="2"/>
      <c r="N33" s="6">
        <f t="shared" si="15"/>
        <v>0</v>
      </c>
      <c r="O33" s="11"/>
      <c r="P33" s="7">
        <v>3646.31</v>
      </c>
      <c r="Q33" s="2"/>
      <c r="R33" s="6">
        <f t="shared" si="16"/>
        <v>1.627626277694618E-3</v>
      </c>
      <c r="S33" s="2"/>
      <c r="T33" s="7"/>
      <c r="U33" s="2"/>
      <c r="V33" s="6">
        <f t="shared" si="17"/>
        <v>0</v>
      </c>
      <c r="W33" s="2"/>
      <c r="X33" s="7">
        <f t="shared" si="18"/>
        <v>3646.31</v>
      </c>
      <c r="Y33" s="2"/>
      <c r="Z33" s="6">
        <f t="shared" si="19"/>
        <v>0</v>
      </c>
    </row>
    <row r="34" spans="1:26" s="24" customFormat="1" hidden="1" outlineLevel="2" x14ac:dyDescent="0.3">
      <c r="A34" s="27"/>
      <c r="B34" s="11" t="str">
        <f>CONCATENATE("          ", "6118", " - ", "VACATION")</f>
        <v xml:space="preserve">          6118 - VACATION</v>
      </c>
      <c r="C34" s="11"/>
      <c r="D34" s="7">
        <v>4595.7299999999996</v>
      </c>
      <c r="E34" s="2"/>
      <c r="F34" s="6">
        <f t="shared" si="12"/>
        <v>2.2324192846307992E-2</v>
      </c>
      <c r="G34" s="2"/>
      <c r="H34" s="7">
        <v>2263.3519230769198</v>
      </c>
      <c r="I34" s="2"/>
      <c r="J34" s="6">
        <f t="shared" si="13"/>
        <v>1.2701189242855892E-2</v>
      </c>
      <c r="K34" s="2"/>
      <c r="L34" s="7">
        <f t="shared" si="14"/>
        <v>2332.3780769230798</v>
      </c>
      <c r="M34" s="2"/>
      <c r="N34" s="6">
        <f t="shared" si="15"/>
        <v>1.0304973138036448</v>
      </c>
      <c r="O34" s="11"/>
      <c r="P34" s="7">
        <v>17466.71</v>
      </c>
      <c r="Q34" s="2"/>
      <c r="R34" s="6">
        <f t="shared" si="16"/>
        <v>7.7967249577988043E-3</v>
      </c>
      <c r="S34" s="2"/>
      <c r="T34" s="7">
        <v>14032.7819230769</v>
      </c>
      <c r="U34" s="2"/>
      <c r="V34" s="6">
        <f t="shared" si="17"/>
        <v>7.0424480192095252E-3</v>
      </c>
      <c r="W34" s="2"/>
      <c r="X34" s="7">
        <f t="shared" si="18"/>
        <v>3433.9280769230991</v>
      </c>
      <c r="Y34" s="2"/>
      <c r="Z34" s="6">
        <f t="shared" si="19"/>
        <v>0.24470757799463888</v>
      </c>
    </row>
    <row r="35" spans="1:26" s="24" customFormat="1" hidden="1" outlineLevel="2" x14ac:dyDescent="0.3">
      <c r="A35" s="27"/>
      <c r="B35" s="11" t="str">
        <f>CONCATENATE("          ", "6119", " - ", "SICK LEAVE")</f>
        <v xml:space="preserve">          6119 - SICK LEAVE</v>
      </c>
      <c r="C35" s="11"/>
      <c r="D35" s="7">
        <v>5569.79</v>
      </c>
      <c r="E35" s="2"/>
      <c r="F35" s="6">
        <f t="shared" si="12"/>
        <v>2.7055781360836646E-2</v>
      </c>
      <c r="G35" s="2"/>
      <c r="H35" s="7">
        <v>2902.1019230769198</v>
      </c>
      <c r="I35" s="2"/>
      <c r="J35" s="6">
        <f t="shared" si="13"/>
        <v>1.6285644910644891E-2</v>
      </c>
      <c r="K35" s="2"/>
      <c r="L35" s="7">
        <f t="shared" si="14"/>
        <v>2667.6880769230802</v>
      </c>
      <c r="M35" s="2"/>
      <c r="N35" s="6">
        <f t="shared" si="15"/>
        <v>0.91922618420468671</v>
      </c>
      <c r="O35" s="11"/>
      <c r="P35" s="7">
        <v>15320.06</v>
      </c>
      <c r="Q35" s="2"/>
      <c r="R35" s="6">
        <f t="shared" si="16"/>
        <v>6.8385113256575029E-3</v>
      </c>
      <c r="S35" s="2"/>
      <c r="T35" s="7">
        <v>16826.9319230769</v>
      </c>
      <c r="U35" s="2"/>
      <c r="V35" s="6">
        <f t="shared" si="17"/>
        <v>8.4447113936951222E-3</v>
      </c>
      <c r="W35" s="2"/>
      <c r="X35" s="7">
        <f t="shared" si="18"/>
        <v>-1506.8719230769002</v>
      </c>
      <c r="Y35" s="2"/>
      <c r="Z35" s="6">
        <f t="shared" si="19"/>
        <v>-8.9551198635940049E-2</v>
      </c>
    </row>
    <row r="36" spans="1:26" s="24" customFormat="1" hidden="1" outlineLevel="2" x14ac:dyDescent="0.3">
      <c r="A36" s="27"/>
      <c r="B36" s="11" t="str">
        <f>CONCATENATE("          ", "6156", " - ", "EMPLOYEE MEALS")</f>
        <v xml:space="preserve">          6156 - EMPLOYEE MEALS</v>
      </c>
      <c r="C36" s="11"/>
      <c r="D36" s="7">
        <v>700.29</v>
      </c>
      <c r="E36" s="2"/>
      <c r="F36" s="6">
        <f t="shared" si="12"/>
        <v>3.401724863806408E-3</v>
      </c>
      <c r="G36" s="2"/>
      <c r="H36" s="7"/>
      <c r="I36" s="2"/>
      <c r="J36" s="6">
        <f t="shared" si="13"/>
        <v>0</v>
      </c>
      <c r="K36" s="2"/>
      <c r="L36" s="7">
        <f t="shared" si="14"/>
        <v>700.29</v>
      </c>
      <c r="M36" s="2"/>
      <c r="N36" s="6">
        <f t="shared" si="15"/>
        <v>0</v>
      </c>
      <c r="O36" s="11"/>
      <c r="P36" s="7">
        <v>7852.64</v>
      </c>
      <c r="Q36" s="2"/>
      <c r="R36" s="6">
        <f t="shared" si="16"/>
        <v>3.505232197283244E-3</v>
      </c>
      <c r="S36" s="2"/>
      <c r="T36" s="7"/>
      <c r="U36" s="2"/>
      <c r="V36" s="6">
        <f t="shared" si="17"/>
        <v>0</v>
      </c>
      <c r="W36" s="2"/>
      <c r="X36" s="7">
        <f t="shared" si="18"/>
        <v>7852.64</v>
      </c>
      <c r="Y36" s="2"/>
      <c r="Z36" s="6">
        <f t="shared" si="19"/>
        <v>0</v>
      </c>
    </row>
    <row r="37" spans="1:26" s="28" customFormat="1" outlineLevel="1" collapsed="1" x14ac:dyDescent="0.3">
      <c r="A37" s="29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62671.24</v>
      </c>
      <c r="E37" s="1"/>
      <c r="F37" s="5">
        <f t="shared" ref="F37:F47" si="20">IF(D$12=0,0,D37/D$12)</f>
        <v>0.30443147175252927</v>
      </c>
      <c r="G37" s="1"/>
      <c r="H37" s="1">
        <f>SUM(OSRRefH22_1x_0)</f>
        <v>92898.026923076904</v>
      </c>
      <c r="I37" s="1"/>
      <c r="J37" s="5">
        <f t="shared" ref="J37:J47" si="21">IF(H$12=0,0,H37/H$12)</f>
        <v>0.52131328239661567</v>
      </c>
      <c r="K37" s="1"/>
      <c r="L37" s="1">
        <f t="shared" ref="L37:L47" si="22">+D37-H37</f>
        <v>-30226.786923076907</v>
      </c>
      <c r="M37" s="1"/>
      <c r="N37" s="5">
        <f t="shared" ref="N37:N47" si="23">IF(H37=0,0,L37/H37)</f>
        <v>-0.32537598401423351</v>
      </c>
      <c r="O37" s="14"/>
      <c r="P37" s="1">
        <f>SUM(OSRRefP22_1x_0)</f>
        <v>438617.44000000006</v>
      </c>
      <c r="Q37" s="1"/>
      <c r="R37" s="5">
        <f t="shared" ref="R37:R47" si="24">IF(P$12=0,0,P37/P$12)</f>
        <v>0.19578841930585786</v>
      </c>
      <c r="S37" s="1"/>
      <c r="T37" s="1">
        <f>SUM(OSRRefT22_1x_0)</f>
        <v>537097.76692307694</v>
      </c>
      <c r="U37" s="1"/>
      <c r="V37" s="5">
        <f t="shared" ref="V37:V47" si="25">IF(T$12=0,0,T37/T$12)</f>
        <v>0.26954620441788463</v>
      </c>
      <c r="W37" s="1"/>
      <c r="X37" s="1">
        <f t="shared" ref="X37:X47" si="26">+P37-T37</f>
        <v>-98480.326923076878</v>
      </c>
      <c r="Y37" s="1"/>
      <c r="Z37" s="5">
        <f t="shared" ref="Z37:Z47" si="27">IF(T37=0,0,X37/T37)</f>
        <v>-0.18335642593945325</v>
      </c>
    </row>
    <row r="38" spans="1:26" s="24" customFormat="1" hidden="1" outlineLevel="2" x14ac:dyDescent="0.3">
      <c r="A38" s="27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3">
      <c r="A39" s="27"/>
      <c r="B39" s="11" t="str">
        <f>CONCATENATE("          ", "6002", " - ", "STAFF SALARIES")</f>
        <v xml:space="preserve">          6002 - STAFF SALARIES</v>
      </c>
      <c r="C39" s="11"/>
      <c r="D39" s="7">
        <v>10425.129999999999</v>
      </c>
      <c r="E39" s="2"/>
      <c r="F39" s="6">
        <f t="shared" si="20"/>
        <v>5.0641054319516342E-2</v>
      </c>
      <c r="G39" s="2"/>
      <c r="H39" s="7">
        <v>17025.026923076901</v>
      </c>
      <c r="I39" s="2"/>
      <c r="J39" s="6">
        <f t="shared" si="21"/>
        <v>9.5538871622204827E-2</v>
      </c>
      <c r="K39" s="2"/>
      <c r="L39" s="7">
        <f t="shared" si="22"/>
        <v>-6599.8969230769017</v>
      </c>
      <c r="M39" s="2"/>
      <c r="N39" s="6">
        <f t="shared" si="23"/>
        <v>-0.38765853075573958</v>
      </c>
      <c r="O39" s="11"/>
      <c r="P39" s="7">
        <v>96212.85</v>
      </c>
      <c r="Q39" s="2"/>
      <c r="R39" s="6">
        <f t="shared" si="24"/>
        <v>4.2947133653444339E-2</v>
      </c>
      <c r="S39" s="2"/>
      <c r="T39" s="7">
        <v>105555.16692307701</v>
      </c>
      <c r="U39" s="2"/>
      <c r="V39" s="6">
        <f t="shared" si="25"/>
        <v>5.2973585728734819E-2</v>
      </c>
      <c r="W39" s="2"/>
      <c r="X39" s="7">
        <f t="shared" si="26"/>
        <v>-9342.316923077</v>
      </c>
      <c r="Y39" s="2"/>
      <c r="Z39" s="6">
        <f t="shared" si="27"/>
        <v>-8.8506486185419841E-2</v>
      </c>
    </row>
    <row r="40" spans="1:26" s="24" customFormat="1" hidden="1" outlineLevel="2" x14ac:dyDescent="0.3">
      <c r="A40" s="27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3">
      <c r="A41" s="27"/>
      <c r="B41" s="11" t="str">
        <f>CONCATENATE("          ", "6004", " - ", "STAFF HOURLY")</f>
        <v xml:space="preserve">          6004 - STAFF HOURLY</v>
      </c>
      <c r="C41" s="11"/>
      <c r="D41" s="7">
        <v>20824.939999999999</v>
      </c>
      <c r="E41" s="2"/>
      <c r="F41" s="6">
        <f t="shared" si="20"/>
        <v>0.10115911434588044</v>
      </c>
      <c r="G41" s="2"/>
      <c r="H41" s="7">
        <v>57148</v>
      </c>
      <c r="I41" s="2"/>
      <c r="J41" s="6">
        <f t="shared" si="21"/>
        <v>0.32069584736251405</v>
      </c>
      <c r="K41" s="2"/>
      <c r="L41" s="7">
        <f t="shared" si="22"/>
        <v>-36323.06</v>
      </c>
      <c r="M41" s="2"/>
      <c r="N41" s="6">
        <f t="shared" si="23"/>
        <v>-0.63559634632883033</v>
      </c>
      <c r="O41" s="11"/>
      <c r="P41" s="7">
        <v>151040.87</v>
      </c>
      <c r="Q41" s="2"/>
      <c r="R41" s="6">
        <f t="shared" si="24"/>
        <v>6.7421061022748113E-2</v>
      </c>
      <c r="S41" s="2"/>
      <c r="T41" s="7">
        <v>328817.59999999998</v>
      </c>
      <c r="U41" s="2"/>
      <c r="V41" s="6">
        <f t="shared" si="25"/>
        <v>0.16501937167519823</v>
      </c>
      <c r="W41" s="2"/>
      <c r="X41" s="7">
        <f t="shared" si="26"/>
        <v>-177776.72999999998</v>
      </c>
      <c r="Y41" s="2"/>
      <c r="Z41" s="6">
        <f t="shared" si="27"/>
        <v>-0.54065454525548506</v>
      </c>
    </row>
    <row r="42" spans="1:26" s="24" customFormat="1" hidden="1" outlineLevel="2" x14ac:dyDescent="0.3">
      <c r="A42" s="27"/>
      <c r="B42" s="11" t="str">
        <f>CONCATENATE("          ", "6005", " - ", "TEMPORARY WAGES-HOURLY")</f>
        <v xml:space="preserve">          6005 - TEMPORARY WAGES-HOURLY</v>
      </c>
      <c r="C42" s="11"/>
      <c r="D42" s="7">
        <v>12820.75</v>
      </c>
      <c r="E42" s="2"/>
      <c r="F42" s="6">
        <f t="shared" si="20"/>
        <v>6.2278004894609391E-2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12820.75</v>
      </c>
      <c r="M42" s="2"/>
      <c r="N42" s="6">
        <f t="shared" si="23"/>
        <v>0</v>
      </c>
      <c r="O42" s="11"/>
      <c r="P42" s="7">
        <v>79943.23</v>
      </c>
      <c r="Q42" s="2"/>
      <c r="R42" s="6">
        <f t="shared" si="24"/>
        <v>3.5684761271472999E-2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79943.23</v>
      </c>
      <c r="Y42" s="2"/>
      <c r="Z42" s="6">
        <f t="shared" si="27"/>
        <v>0</v>
      </c>
    </row>
    <row r="43" spans="1:26" s="24" customFormat="1" hidden="1" outlineLevel="2" x14ac:dyDescent="0.3">
      <c r="A43" s="27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3">
      <c r="A44" s="27"/>
      <c r="B44" s="11" t="str">
        <f>CONCATENATE("          ", "6007", " - ", "STUDENT HOURLY")</f>
        <v xml:space="preserve">          6007 - STUDENT HOURLY</v>
      </c>
      <c r="C44" s="11"/>
      <c r="D44" s="7">
        <v>16826.29</v>
      </c>
      <c r="E44" s="2"/>
      <c r="F44" s="6">
        <f t="shared" si="20"/>
        <v>8.1735294033353514E-2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16826.29</v>
      </c>
      <c r="M44" s="2"/>
      <c r="N44" s="6">
        <f t="shared" si="23"/>
        <v>0</v>
      </c>
      <c r="O44" s="11"/>
      <c r="P44" s="7">
        <v>91698.85</v>
      </c>
      <c r="Q44" s="2"/>
      <c r="R44" s="6">
        <f t="shared" si="24"/>
        <v>4.093219114512401E-2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91698.85</v>
      </c>
      <c r="Y44" s="2"/>
      <c r="Z44" s="6">
        <f t="shared" si="27"/>
        <v>0</v>
      </c>
    </row>
    <row r="45" spans="1:26" s="24" customFormat="1" hidden="1" outlineLevel="2" x14ac:dyDescent="0.3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7">
        <v>1774.13</v>
      </c>
      <c r="E45" s="2"/>
      <c r="F45" s="6">
        <f t="shared" si="20"/>
        <v>8.6180041591695771E-3</v>
      </c>
      <c r="G45" s="2"/>
      <c r="H45" s="7">
        <v>18725</v>
      </c>
      <c r="I45" s="2"/>
      <c r="J45" s="6">
        <f t="shared" si="21"/>
        <v>0.10507856341189674</v>
      </c>
      <c r="K45" s="2"/>
      <c r="L45" s="7">
        <f t="shared" si="22"/>
        <v>-16950.87</v>
      </c>
      <c r="M45" s="2"/>
      <c r="N45" s="6">
        <f t="shared" si="23"/>
        <v>-0.90525340453938574</v>
      </c>
      <c r="O45" s="11"/>
      <c r="P45" s="7">
        <v>19721.64</v>
      </c>
      <c r="Q45" s="2"/>
      <c r="R45" s="6">
        <f t="shared" si="24"/>
        <v>8.803272213068359E-3</v>
      </c>
      <c r="S45" s="2"/>
      <c r="T45" s="7">
        <v>102725</v>
      </c>
      <c r="U45" s="2"/>
      <c r="V45" s="6">
        <f t="shared" si="25"/>
        <v>5.1553247013951621E-2</v>
      </c>
      <c r="W45" s="2"/>
      <c r="X45" s="7">
        <f t="shared" si="26"/>
        <v>-83003.360000000001</v>
      </c>
      <c r="Y45" s="2"/>
      <c r="Z45" s="6">
        <f t="shared" si="27"/>
        <v>-0.80801518617668533</v>
      </c>
    </row>
    <row r="46" spans="1:26" s="24" customFormat="1" hidden="1" outlineLevel="2" x14ac:dyDescent="0.3">
      <c r="A46" s="27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3">
      <c r="A47" s="27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8" customFormat="1" outlineLevel="1" collapsed="1" x14ac:dyDescent="0.3">
      <c r="A48" s="29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78.739999999999995</v>
      </c>
      <c r="E48" s="1"/>
      <c r="F48" s="5">
        <f t="shared" ref="F48:F69" si="28">IF(D$12=0,0,D48/D$12)</f>
        <v>3.8248699221196442E-4</v>
      </c>
      <c r="G48" s="1"/>
      <c r="H48" s="1">
        <f>SUM(OSRRefH22_2x_0)</f>
        <v>600</v>
      </c>
      <c r="I48" s="1"/>
      <c r="J48" s="5">
        <f t="shared" ref="J48:J69" si="29">IF(H$12=0,0,H48/H$12)</f>
        <v>3.3670033670033669E-3</v>
      </c>
      <c r="K48" s="1"/>
      <c r="L48" s="1">
        <f t="shared" ref="L48:L69" si="30">+D48-H48</f>
        <v>-521.26</v>
      </c>
      <c r="M48" s="1"/>
      <c r="N48" s="5">
        <f t="shared" ref="N48:N69" si="31">IF(H48=0,0,L48/H48)</f>
        <v>-0.86876666666666669</v>
      </c>
      <c r="O48" s="14"/>
      <c r="P48" s="1">
        <f>SUM(OSRRefP22_2x_0)</f>
        <v>1284.6300000000001</v>
      </c>
      <c r="Q48" s="1"/>
      <c r="R48" s="5">
        <f t="shared" ref="R48:R69" si="32">IF(P$12=0,0,P48/P$12)</f>
        <v>5.7342835499857043E-4</v>
      </c>
      <c r="S48" s="1"/>
      <c r="T48" s="1">
        <f>SUM(OSRRefT22_2x_0)</f>
        <v>4200</v>
      </c>
      <c r="U48" s="1"/>
      <c r="V48" s="5">
        <f t="shared" ref="V48:V69" si="33">IF(T$12=0,0,T48/T$12)</f>
        <v>2.1077988557663355E-3</v>
      </c>
      <c r="W48" s="1"/>
      <c r="X48" s="1">
        <f t="shared" ref="X48:X69" si="34">+P48-T48</f>
        <v>-2915.37</v>
      </c>
      <c r="Y48" s="1"/>
      <c r="Z48" s="5">
        <f t="shared" ref="Z48:Z69" si="35">IF(T48=0,0,X48/T48)</f>
        <v>-0.6941357142857143</v>
      </c>
    </row>
    <row r="49" spans="1:26" s="24" customFormat="1" hidden="1" outlineLevel="2" x14ac:dyDescent="0.3">
      <c r="A49" s="27"/>
      <c r="B49" s="11" t="str">
        <f>CONCATENATE("          ", "6362", " - ", "ADVERTISING EXPENSE")</f>
        <v xml:space="preserve">          6362 - ADVERTISING EXPENSE</v>
      </c>
      <c r="C49" s="11"/>
      <c r="D49" s="7">
        <v>78.739999999999995</v>
      </c>
      <c r="E49" s="2"/>
      <c r="F49" s="6">
        <f t="shared" si="28"/>
        <v>3.8248699221196442E-4</v>
      </c>
      <c r="G49" s="2"/>
      <c r="H49" s="7">
        <v>600</v>
      </c>
      <c r="I49" s="2"/>
      <c r="J49" s="6">
        <f t="shared" si="29"/>
        <v>3.3670033670033669E-3</v>
      </c>
      <c r="K49" s="2"/>
      <c r="L49" s="7">
        <f t="shared" si="30"/>
        <v>-521.26</v>
      </c>
      <c r="M49" s="2"/>
      <c r="N49" s="6">
        <f t="shared" si="31"/>
        <v>-0.86876666666666669</v>
      </c>
      <c r="O49" s="11"/>
      <c r="P49" s="7">
        <v>1284.6300000000001</v>
      </c>
      <c r="Q49" s="2"/>
      <c r="R49" s="6">
        <f t="shared" si="32"/>
        <v>5.7342835499857043E-4</v>
      </c>
      <c r="S49" s="2"/>
      <c r="T49" s="7">
        <v>4200</v>
      </c>
      <c r="U49" s="2"/>
      <c r="V49" s="6">
        <f t="shared" si="33"/>
        <v>2.1077988557663355E-3</v>
      </c>
      <c r="W49" s="2"/>
      <c r="X49" s="7">
        <f t="shared" si="34"/>
        <v>-2915.37</v>
      </c>
      <c r="Y49" s="2"/>
      <c r="Z49" s="6">
        <f t="shared" si="35"/>
        <v>-0.6941357142857143</v>
      </c>
    </row>
    <row r="50" spans="1:26" s="28" customFormat="1" outlineLevel="1" collapsed="1" x14ac:dyDescent="0.3">
      <c r="A50" s="29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15</v>
      </c>
      <c r="I50" s="1"/>
      <c r="J50" s="5">
        <f t="shared" si="29"/>
        <v>8.417508417508418E-5</v>
      </c>
      <c r="K50" s="1"/>
      <c r="L50" s="1">
        <f t="shared" si="30"/>
        <v>-15</v>
      </c>
      <c r="M50" s="1"/>
      <c r="N50" s="5">
        <f t="shared" si="31"/>
        <v>-1</v>
      </c>
      <c r="O50" s="14"/>
      <c r="P50" s="1">
        <f>SUM(OSRRefP22_3x_0)</f>
        <v>-23.9</v>
      </c>
      <c r="Q50" s="1"/>
      <c r="R50" s="5">
        <f t="shared" si="32"/>
        <v>-1.0668392988226828E-5</v>
      </c>
      <c r="S50" s="1"/>
      <c r="T50" s="1">
        <f>SUM(OSRRefT22_3x_0)</f>
        <v>105</v>
      </c>
      <c r="U50" s="1"/>
      <c r="V50" s="5">
        <f t="shared" si="33"/>
        <v>5.2694971394158383E-5</v>
      </c>
      <c r="W50" s="1"/>
      <c r="X50" s="1">
        <f t="shared" si="34"/>
        <v>-128.9</v>
      </c>
      <c r="Y50" s="1"/>
      <c r="Z50" s="5">
        <f t="shared" si="35"/>
        <v>-1.2276190476190476</v>
      </c>
    </row>
    <row r="51" spans="1:26" s="24" customFormat="1" hidden="1" outlineLevel="2" x14ac:dyDescent="0.3">
      <c r="A51" s="27"/>
      <c r="B51" s="11" t="str">
        <f>CONCATENATE("          ", "6272", " - ", "CASH (OVER/SHORT)")</f>
        <v xml:space="preserve">          6272 - CASH (OVER/SHORT)</v>
      </c>
      <c r="C51" s="11"/>
      <c r="D51" s="7"/>
      <c r="E51" s="2"/>
      <c r="F51" s="6">
        <f t="shared" si="28"/>
        <v>0</v>
      </c>
      <c r="G51" s="2"/>
      <c r="H51" s="7">
        <v>15</v>
      </c>
      <c r="I51" s="2"/>
      <c r="J51" s="6">
        <f t="shared" si="29"/>
        <v>8.417508417508418E-5</v>
      </c>
      <c r="K51" s="2"/>
      <c r="L51" s="7">
        <f t="shared" si="30"/>
        <v>-15</v>
      </c>
      <c r="M51" s="2"/>
      <c r="N51" s="6">
        <f t="shared" si="31"/>
        <v>-1</v>
      </c>
      <c r="O51" s="11"/>
      <c r="P51" s="7">
        <v>-23.9</v>
      </c>
      <c r="Q51" s="2"/>
      <c r="R51" s="6">
        <f t="shared" si="32"/>
        <v>-1.0668392988226828E-5</v>
      </c>
      <c r="S51" s="2"/>
      <c r="T51" s="7">
        <v>105</v>
      </c>
      <c r="U51" s="2"/>
      <c r="V51" s="6">
        <f t="shared" si="33"/>
        <v>5.2694971394158383E-5</v>
      </c>
      <c r="W51" s="2"/>
      <c r="X51" s="7">
        <f t="shared" si="34"/>
        <v>-128.9</v>
      </c>
      <c r="Y51" s="2"/>
      <c r="Z51" s="6">
        <f t="shared" si="35"/>
        <v>-1.2276190476190476</v>
      </c>
    </row>
    <row r="52" spans="1:26" s="28" customFormat="1" outlineLevel="1" collapsed="1" x14ac:dyDescent="0.3">
      <c r="A52" s="29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19.440000000000001</v>
      </c>
      <c r="E52" s="1"/>
      <c r="F52" s="5">
        <f t="shared" si="28"/>
        <v>9.4431637396502282E-5</v>
      </c>
      <c r="G52" s="1"/>
      <c r="H52" s="1">
        <f>SUM(OSRRefH22_4x_0)</f>
        <v>250</v>
      </c>
      <c r="I52" s="1"/>
      <c r="J52" s="5">
        <f t="shared" si="29"/>
        <v>1.4029180695847362E-3</v>
      </c>
      <c r="K52" s="1"/>
      <c r="L52" s="1">
        <f t="shared" si="30"/>
        <v>-230.56</v>
      </c>
      <c r="M52" s="1"/>
      <c r="N52" s="5">
        <f t="shared" si="31"/>
        <v>-0.92224000000000006</v>
      </c>
      <c r="O52" s="14"/>
      <c r="P52" s="1">
        <f>SUM(OSRRefP22_4x_0)</f>
        <v>274.97000000000003</v>
      </c>
      <c r="Q52" s="1"/>
      <c r="R52" s="5">
        <f t="shared" si="32"/>
        <v>1.2274008451768751E-4</v>
      </c>
      <c r="S52" s="1"/>
      <c r="T52" s="1">
        <f>SUM(OSRRefT22_4x_0)</f>
        <v>1750</v>
      </c>
      <c r="U52" s="1"/>
      <c r="V52" s="5">
        <f t="shared" si="33"/>
        <v>8.782495232359731E-4</v>
      </c>
      <c r="W52" s="1"/>
      <c r="X52" s="1">
        <f t="shared" si="34"/>
        <v>-1475.03</v>
      </c>
      <c r="Y52" s="1"/>
      <c r="Z52" s="5">
        <f t="shared" si="35"/>
        <v>-0.84287428571428569</v>
      </c>
    </row>
    <row r="53" spans="1:26" s="24" customFormat="1" hidden="1" outlineLevel="2" x14ac:dyDescent="0.3">
      <c r="A53" s="27"/>
      <c r="B53" s="11" t="str">
        <f>CONCATENATE("          ", "6381", " - ", "BANK/CREDIT CARD FEES")</f>
        <v xml:space="preserve">          6381 - BANK/CREDIT CARD FEES</v>
      </c>
      <c r="C53" s="11"/>
      <c r="D53" s="7">
        <v>19.440000000000001</v>
      </c>
      <c r="E53" s="2"/>
      <c r="F53" s="6">
        <f t="shared" si="28"/>
        <v>9.4431637396502282E-5</v>
      </c>
      <c r="G53" s="2"/>
      <c r="H53" s="7">
        <v>250</v>
      </c>
      <c r="I53" s="2"/>
      <c r="J53" s="6">
        <f t="shared" si="29"/>
        <v>1.4029180695847362E-3</v>
      </c>
      <c r="K53" s="2"/>
      <c r="L53" s="7">
        <f t="shared" si="30"/>
        <v>-230.56</v>
      </c>
      <c r="M53" s="2"/>
      <c r="N53" s="6">
        <f t="shared" si="31"/>
        <v>-0.92224000000000006</v>
      </c>
      <c r="O53" s="11"/>
      <c r="P53" s="7">
        <v>274.97000000000003</v>
      </c>
      <c r="Q53" s="2"/>
      <c r="R53" s="6">
        <f t="shared" si="32"/>
        <v>1.2274008451768751E-4</v>
      </c>
      <c r="S53" s="2"/>
      <c r="T53" s="7">
        <v>1750</v>
      </c>
      <c r="U53" s="2"/>
      <c r="V53" s="6">
        <f t="shared" si="33"/>
        <v>8.782495232359731E-4</v>
      </c>
      <c r="W53" s="2"/>
      <c r="X53" s="7">
        <f t="shared" si="34"/>
        <v>-1475.03</v>
      </c>
      <c r="Y53" s="2"/>
      <c r="Z53" s="6">
        <f t="shared" si="35"/>
        <v>-0.84287428571428569</v>
      </c>
    </row>
    <row r="54" spans="1:26" s="28" customFormat="1" outlineLevel="1" collapsed="1" x14ac:dyDescent="0.3">
      <c r="A54" s="29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273.51</v>
      </c>
      <c r="E54" s="1"/>
      <c r="F54" s="5">
        <f t="shared" si="28"/>
        <v>1.3286006761480112E-3</v>
      </c>
      <c r="G54" s="1"/>
      <c r="H54" s="1">
        <f>SUM(OSRRefH22_5x_0)</f>
        <v>0</v>
      </c>
      <c r="I54" s="1"/>
      <c r="J54" s="5">
        <f t="shared" si="29"/>
        <v>0</v>
      </c>
      <c r="K54" s="1"/>
      <c r="L54" s="1">
        <f t="shared" si="30"/>
        <v>273.51</v>
      </c>
      <c r="M54" s="1"/>
      <c r="N54" s="5">
        <f t="shared" si="31"/>
        <v>0</v>
      </c>
      <c r="O54" s="14"/>
      <c r="P54" s="1">
        <f>SUM(OSRRefP22_5x_0)</f>
        <v>1914.57</v>
      </c>
      <c r="Q54" s="1"/>
      <c r="R54" s="5">
        <f t="shared" si="32"/>
        <v>8.5461862608658744E-4</v>
      </c>
      <c r="S54" s="1"/>
      <c r="T54" s="1">
        <f>SUM(OSRRefT22_5x_0)</f>
        <v>0</v>
      </c>
      <c r="U54" s="1"/>
      <c r="V54" s="5">
        <f t="shared" si="33"/>
        <v>0</v>
      </c>
      <c r="W54" s="1"/>
      <c r="X54" s="1">
        <f t="shared" si="34"/>
        <v>1914.57</v>
      </c>
      <c r="Y54" s="1"/>
      <c r="Z54" s="5">
        <f t="shared" si="35"/>
        <v>0</v>
      </c>
    </row>
    <row r="55" spans="1:26" s="24" customFormat="1" hidden="1" outlineLevel="2" x14ac:dyDescent="0.3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273.51</v>
      </c>
      <c r="E55" s="2"/>
      <c r="F55" s="6">
        <f t="shared" si="28"/>
        <v>1.3286006761480112E-3</v>
      </c>
      <c r="G55" s="2"/>
      <c r="H55" s="7"/>
      <c r="I55" s="2"/>
      <c r="J55" s="6">
        <f t="shared" si="29"/>
        <v>0</v>
      </c>
      <c r="K55" s="2"/>
      <c r="L55" s="7">
        <f t="shared" si="30"/>
        <v>273.51</v>
      </c>
      <c r="M55" s="2"/>
      <c r="N55" s="6">
        <f t="shared" si="31"/>
        <v>0</v>
      </c>
      <c r="O55" s="11"/>
      <c r="P55" s="7">
        <v>1914.57</v>
      </c>
      <c r="Q55" s="2"/>
      <c r="R55" s="6">
        <f t="shared" si="32"/>
        <v>8.5461862608658744E-4</v>
      </c>
      <c r="S55" s="2"/>
      <c r="T55" s="7"/>
      <c r="U55" s="2"/>
      <c r="V55" s="6">
        <f t="shared" si="33"/>
        <v>0</v>
      </c>
      <c r="W55" s="2"/>
      <c r="X55" s="7">
        <f t="shared" si="34"/>
        <v>1914.57</v>
      </c>
      <c r="Y55" s="2"/>
      <c r="Z55" s="6">
        <f t="shared" si="35"/>
        <v>0</v>
      </c>
    </row>
    <row r="56" spans="1:26" s="28" customFormat="1" outlineLevel="1" collapsed="1" x14ac:dyDescent="0.3">
      <c r="A56" s="29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2028.77</v>
      </c>
      <c r="E56" s="1"/>
      <c r="F56" s="5">
        <f t="shared" si="28"/>
        <v>9.8549420267953665E-3</v>
      </c>
      <c r="G56" s="1"/>
      <c r="H56" s="1">
        <f>SUM(OSRRefH22_6x_0)</f>
        <v>6000</v>
      </c>
      <c r="I56" s="1"/>
      <c r="J56" s="5">
        <f t="shared" si="29"/>
        <v>3.3670033670033669E-2</v>
      </c>
      <c r="K56" s="1"/>
      <c r="L56" s="1">
        <f t="shared" si="30"/>
        <v>-3971.23</v>
      </c>
      <c r="M56" s="1"/>
      <c r="N56" s="5">
        <f t="shared" si="31"/>
        <v>-0.66187166666666664</v>
      </c>
      <c r="O56" s="14"/>
      <c r="P56" s="1">
        <f>SUM(OSRRefP22_6x_0)</f>
        <v>20443.77</v>
      </c>
      <c r="Q56" s="1"/>
      <c r="R56" s="5">
        <f t="shared" si="32"/>
        <v>9.1256139130092891E-3</v>
      </c>
      <c r="S56" s="1"/>
      <c r="T56" s="1">
        <f>SUM(OSRRefT22_6x_0)</f>
        <v>36000</v>
      </c>
      <c r="U56" s="1"/>
      <c r="V56" s="5">
        <f t="shared" si="33"/>
        <v>1.8066847335140017E-2</v>
      </c>
      <c r="W56" s="1"/>
      <c r="X56" s="1">
        <f t="shared" si="34"/>
        <v>-15556.23</v>
      </c>
      <c r="Y56" s="1"/>
      <c r="Z56" s="5">
        <f t="shared" si="35"/>
        <v>-0.43211749999999999</v>
      </c>
    </row>
    <row r="57" spans="1:26" s="24" customFormat="1" hidden="1" outlineLevel="2" x14ac:dyDescent="0.3">
      <c r="A57" s="27"/>
      <c r="B57" s="11" t="str">
        <f>CONCATENATE("          ", "6399", " - ", "DONATION-ON CAMPUS")</f>
        <v xml:space="preserve">          6399 - DONATION-ON CAMPUS</v>
      </c>
      <c r="C57" s="11"/>
      <c r="D57" s="7">
        <v>2028.77</v>
      </c>
      <c r="E57" s="2"/>
      <c r="F57" s="6">
        <f t="shared" si="28"/>
        <v>9.8549420267953665E-3</v>
      </c>
      <c r="G57" s="2"/>
      <c r="H57" s="7">
        <v>6000</v>
      </c>
      <c r="I57" s="2"/>
      <c r="J57" s="6">
        <f t="shared" si="29"/>
        <v>3.3670033670033669E-2</v>
      </c>
      <c r="K57" s="2"/>
      <c r="L57" s="7">
        <f t="shared" si="30"/>
        <v>-3971.23</v>
      </c>
      <c r="M57" s="2"/>
      <c r="N57" s="6">
        <f t="shared" si="31"/>
        <v>-0.66187166666666664</v>
      </c>
      <c r="O57" s="11"/>
      <c r="P57" s="7">
        <v>20443.77</v>
      </c>
      <c r="Q57" s="2"/>
      <c r="R57" s="6">
        <f t="shared" si="32"/>
        <v>9.1256139130092891E-3</v>
      </c>
      <c r="S57" s="2"/>
      <c r="T57" s="7">
        <v>36000</v>
      </c>
      <c r="U57" s="2"/>
      <c r="V57" s="6">
        <f t="shared" si="33"/>
        <v>1.8066847335140017E-2</v>
      </c>
      <c r="W57" s="2"/>
      <c r="X57" s="7">
        <f t="shared" si="34"/>
        <v>-15556.23</v>
      </c>
      <c r="Y57" s="2"/>
      <c r="Z57" s="6">
        <f t="shared" si="35"/>
        <v>-0.43211749999999999</v>
      </c>
    </row>
    <row r="58" spans="1:26" s="28" customFormat="1" outlineLevel="1" collapsed="1" x14ac:dyDescent="0.3">
      <c r="A58" s="29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0</v>
      </c>
      <c r="I58" s="1"/>
      <c r="J58" s="5">
        <f t="shared" si="29"/>
        <v>0</v>
      </c>
      <c r="K58" s="1"/>
      <c r="L58" s="1">
        <f t="shared" si="30"/>
        <v>0</v>
      </c>
      <c r="M58" s="1"/>
      <c r="N58" s="5">
        <f t="shared" si="31"/>
        <v>0</v>
      </c>
      <c r="O58" s="14"/>
      <c r="P58" s="1">
        <f>SUM(OSRRefP22_7x_0)</f>
        <v>34.47</v>
      </c>
      <c r="Q58" s="1"/>
      <c r="R58" s="5">
        <f t="shared" si="32"/>
        <v>1.5386590221932168E-5</v>
      </c>
      <c r="S58" s="1"/>
      <c r="T58" s="1">
        <f>SUM(OSRRefT22_7x_0)</f>
        <v>500</v>
      </c>
      <c r="U58" s="1"/>
      <c r="V58" s="5">
        <f t="shared" si="33"/>
        <v>2.5092843521027801E-4</v>
      </c>
      <c r="W58" s="1"/>
      <c r="X58" s="1">
        <f t="shared" si="34"/>
        <v>-465.53</v>
      </c>
      <c r="Y58" s="1"/>
      <c r="Z58" s="5">
        <f t="shared" si="35"/>
        <v>-0.93106</v>
      </c>
    </row>
    <row r="59" spans="1:26" s="24" customFormat="1" hidden="1" outlineLevel="2" x14ac:dyDescent="0.3">
      <c r="A59" s="27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28"/>
        <v>0</v>
      </c>
      <c r="G59" s="2"/>
      <c r="H59" s="7"/>
      <c r="I59" s="2"/>
      <c r="J59" s="6">
        <f t="shared" si="29"/>
        <v>0</v>
      </c>
      <c r="K59" s="2"/>
      <c r="L59" s="7">
        <f t="shared" si="30"/>
        <v>0</v>
      </c>
      <c r="M59" s="2"/>
      <c r="N59" s="6">
        <f t="shared" si="31"/>
        <v>0</v>
      </c>
      <c r="O59" s="11"/>
      <c r="P59" s="7">
        <v>34.47</v>
      </c>
      <c r="Q59" s="2"/>
      <c r="R59" s="6">
        <f t="shared" si="32"/>
        <v>1.5386590221932168E-5</v>
      </c>
      <c r="S59" s="2"/>
      <c r="T59" s="7">
        <v>500</v>
      </c>
      <c r="U59" s="2"/>
      <c r="V59" s="6">
        <f t="shared" si="33"/>
        <v>2.5092843521027801E-4</v>
      </c>
      <c r="W59" s="2"/>
      <c r="X59" s="7">
        <f t="shared" si="34"/>
        <v>-465.53</v>
      </c>
      <c r="Y59" s="2"/>
      <c r="Z59" s="6">
        <f t="shared" si="35"/>
        <v>-0.93106</v>
      </c>
    </row>
    <row r="60" spans="1:26" s="28" customFormat="1" outlineLevel="1" collapsed="1" x14ac:dyDescent="0.3">
      <c r="A60" s="29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143.68</v>
      </c>
      <c r="E60" s="1"/>
      <c r="F60" s="5">
        <f t="shared" si="28"/>
        <v>6.9793918009925144E-4</v>
      </c>
      <c r="G60" s="1"/>
      <c r="H60" s="1">
        <f>SUM(OSRRefH22_8x_0)</f>
        <v>500</v>
      </c>
      <c r="I60" s="1"/>
      <c r="J60" s="5">
        <f t="shared" si="29"/>
        <v>2.8058361391694723E-3</v>
      </c>
      <c r="K60" s="1"/>
      <c r="L60" s="1">
        <f t="shared" si="30"/>
        <v>-356.32</v>
      </c>
      <c r="M60" s="1"/>
      <c r="N60" s="5">
        <f t="shared" si="31"/>
        <v>-0.71263999999999994</v>
      </c>
      <c r="O60" s="14"/>
      <c r="P60" s="1">
        <f>SUM(OSRRefP22_8x_0)</f>
        <v>6439.74</v>
      </c>
      <c r="Q60" s="1"/>
      <c r="R60" s="5">
        <f t="shared" si="32"/>
        <v>2.8745471574060182E-3</v>
      </c>
      <c r="S60" s="1"/>
      <c r="T60" s="1">
        <f>SUM(OSRRefT22_8x_0)</f>
        <v>3500</v>
      </c>
      <c r="U60" s="1"/>
      <c r="V60" s="5">
        <f t="shared" si="33"/>
        <v>1.7564990464719462E-3</v>
      </c>
      <c r="W60" s="1"/>
      <c r="X60" s="1">
        <f t="shared" si="34"/>
        <v>2939.74</v>
      </c>
      <c r="Y60" s="1"/>
      <c r="Z60" s="5">
        <f t="shared" si="35"/>
        <v>0.83992571428571428</v>
      </c>
    </row>
    <row r="61" spans="1:26" s="24" customFormat="1" hidden="1" outlineLevel="2" x14ac:dyDescent="0.3">
      <c r="A61" s="27"/>
      <c r="B61" s="11" t="str">
        <f>CONCATENATE("          ", "6351", " - ", "EQUIPMENT RENTAL")</f>
        <v xml:space="preserve">          6351 - EQUIPMENT RENTAL</v>
      </c>
      <c r="C61" s="11"/>
      <c r="D61" s="7">
        <v>143.68</v>
      </c>
      <c r="E61" s="2"/>
      <c r="F61" s="6">
        <f t="shared" si="28"/>
        <v>6.9793918009925144E-4</v>
      </c>
      <c r="G61" s="2"/>
      <c r="H61" s="7">
        <v>500</v>
      </c>
      <c r="I61" s="2"/>
      <c r="J61" s="6">
        <f t="shared" si="29"/>
        <v>2.8058361391694723E-3</v>
      </c>
      <c r="K61" s="2"/>
      <c r="L61" s="7">
        <f t="shared" si="30"/>
        <v>-356.32</v>
      </c>
      <c r="M61" s="2"/>
      <c r="N61" s="6">
        <f t="shared" si="31"/>
        <v>-0.71263999999999994</v>
      </c>
      <c r="O61" s="11"/>
      <c r="P61" s="7">
        <v>6439.74</v>
      </c>
      <c r="Q61" s="2"/>
      <c r="R61" s="6">
        <f t="shared" si="32"/>
        <v>2.8745471574060182E-3</v>
      </c>
      <c r="S61" s="2"/>
      <c r="T61" s="7">
        <v>3500</v>
      </c>
      <c r="U61" s="2"/>
      <c r="V61" s="6">
        <f t="shared" si="33"/>
        <v>1.7564990464719462E-3</v>
      </c>
      <c r="W61" s="2"/>
      <c r="X61" s="7">
        <f t="shared" si="34"/>
        <v>2939.74</v>
      </c>
      <c r="Y61" s="2"/>
      <c r="Z61" s="6">
        <f t="shared" si="35"/>
        <v>0.83992571428571428</v>
      </c>
    </row>
    <row r="62" spans="1:26" s="28" customFormat="1" outlineLevel="1" collapsed="1" x14ac:dyDescent="0.3">
      <c r="A62" s="29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387.25</v>
      </c>
      <c r="E62" s="1"/>
      <c r="F62" s="5">
        <f t="shared" si="28"/>
        <v>1.88110347642981E-3</v>
      </c>
      <c r="G62" s="1"/>
      <c r="H62" s="1">
        <f>SUM(OSRRefH22_9x_0)</f>
        <v>150</v>
      </c>
      <c r="I62" s="1"/>
      <c r="J62" s="5">
        <f t="shared" si="29"/>
        <v>8.4175084175084171E-4</v>
      </c>
      <c r="K62" s="1"/>
      <c r="L62" s="1">
        <f t="shared" si="30"/>
        <v>237.25</v>
      </c>
      <c r="M62" s="1"/>
      <c r="N62" s="5">
        <f t="shared" si="31"/>
        <v>1.5816666666666668</v>
      </c>
      <c r="O62" s="14"/>
      <c r="P62" s="1">
        <f>SUM(OSRRefP22_9x_0)</f>
        <v>8064.87</v>
      </c>
      <c r="Q62" s="1"/>
      <c r="R62" s="5">
        <f t="shared" si="32"/>
        <v>3.599966634266147E-3</v>
      </c>
      <c r="S62" s="1"/>
      <c r="T62" s="1">
        <f>SUM(OSRRefT22_9x_0)</f>
        <v>2700</v>
      </c>
      <c r="U62" s="1"/>
      <c r="V62" s="5">
        <f t="shared" si="33"/>
        <v>1.3550135501355014E-3</v>
      </c>
      <c r="W62" s="1"/>
      <c r="X62" s="1">
        <f t="shared" si="34"/>
        <v>5364.87</v>
      </c>
      <c r="Y62" s="1"/>
      <c r="Z62" s="5">
        <f t="shared" si="35"/>
        <v>1.9869888888888889</v>
      </c>
    </row>
    <row r="63" spans="1:26" s="24" customFormat="1" hidden="1" outlineLevel="2" x14ac:dyDescent="0.3">
      <c r="A63" s="27"/>
      <c r="B63" s="11" t="str">
        <f>CONCATENATE("          ", "6279", " - ", "GENERAL EXPENSE")</f>
        <v xml:space="preserve">          6279 - GENERAL EXPENSE</v>
      </c>
      <c r="C63" s="11"/>
      <c r="D63" s="7">
        <v>387.25</v>
      </c>
      <c r="E63" s="2"/>
      <c r="F63" s="6">
        <f t="shared" si="28"/>
        <v>1.88110347642981E-3</v>
      </c>
      <c r="G63" s="2"/>
      <c r="H63" s="7">
        <v>150</v>
      </c>
      <c r="I63" s="2"/>
      <c r="J63" s="6">
        <f t="shared" si="29"/>
        <v>8.4175084175084171E-4</v>
      </c>
      <c r="K63" s="2"/>
      <c r="L63" s="7">
        <f t="shared" si="30"/>
        <v>237.25</v>
      </c>
      <c r="M63" s="2"/>
      <c r="N63" s="6">
        <f t="shared" si="31"/>
        <v>1.5816666666666668</v>
      </c>
      <c r="O63" s="11"/>
      <c r="P63" s="7">
        <v>8064.87</v>
      </c>
      <c r="Q63" s="2"/>
      <c r="R63" s="6">
        <f t="shared" si="32"/>
        <v>3.599966634266147E-3</v>
      </c>
      <c r="S63" s="2"/>
      <c r="T63" s="7">
        <v>2700</v>
      </c>
      <c r="U63" s="2"/>
      <c r="V63" s="6">
        <f t="shared" si="33"/>
        <v>1.3550135501355014E-3</v>
      </c>
      <c r="W63" s="2"/>
      <c r="X63" s="7">
        <f t="shared" si="34"/>
        <v>5364.87</v>
      </c>
      <c r="Y63" s="2"/>
      <c r="Z63" s="6">
        <f t="shared" si="35"/>
        <v>1.9869888888888889</v>
      </c>
    </row>
    <row r="64" spans="1:26" s="28" customFormat="1" outlineLevel="1" collapsed="1" x14ac:dyDescent="0.3">
      <c r="A64" s="29"/>
      <c r="B64" s="14" t="str">
        <f>CONCATENATE("     ","R/H Commissions                                   ")</f>
        <v xml:space="preserve">     R/H Commissions                                   </v>
      </c>
      <c r="C64" s="14"/>
      <c r="D64" s="1">
        <f>SUM(OSRRefD22_10x_0)</f>
        <v>16052.49</v>
      </c>
      <c r="E64" s="1"/>
      <c r="F64" s="5">
        <f t="shared" si="28"/>
        <v>7.7976487396655289E-2</v>
      </c>
      <c r="G64" s="1"/>
      <c r="H64" s="1">
        <f>SUM(OSRRefH22_10x_0)</f>
        <v>14256</v>
      </c>
      <c r="I64" s="1"/>
      <c r="J64" s="5">
        <f t="shared" si="29"/>
        <v>0.08</v>
      </c>
      <c r="K64" s="1"/>
      <c r="L64" s="1">
        <f t="shared" si="30"/>
        <v>1796.4899999999998</v>
      </c>
      <c r="M64" s="1"/>
      <c r="N64" s="5">
        <f t="shared" si="31"/>
        <v>0.12601641414141412</v>
      </c>
      <c r="O64" s="14"/>
      <c r="P64" s="1">
        <f>SUM(OSRRefP22_10x_0)</f>
        <v>173731.12</v>
      </c>
      <c r="Q64" s="1"/>
      <c r="R64" s="5">
        <f t="shared" si="32"/>
        <v>7.7549450311497653E-2</v>
      </c>
      <c r="S64" s="1"/>
      <c r="T64" s="1">
        <f>SUM(OSRRefT22_10x_0)</f>
        <v>159408</v>
      </c>
      <c r="U64" s="1"/>
      <c r="V64" s="5">
        <f t="shared" si="33"/>
        <v>0.08</v>
      </c>
      <c r="W64" s="1"/>
      <c r="X64" s="1">
        <f t="shared" si="34"/>
        <v>14323.119999999995</v>
      </c>
      <c r="Y64" s="1"/>
      <c r="Z64" s="5">
        <f t="shared" si="35"/>
        <v>8.9851952223225909E-2</v>
      </c>
    </row>
    <row r="65" spans="1:26" s="24" customFormat="1" hidden="1" outlineLevel="2" x14ac:dyDescent="0.3">
      <c r="A65" s="27"/>
      <c r="B65" s="11" t="str">
        <f>CONCATENATE("          ", "6387", " - ", "COMMISSION DUE HOUSING")</f>
        <v xml:space="preserve">          6387 - COMMISSION DUE HOUSING</v>
      </c>
      <c r="C65" s="11"/>
      <c r="D65" s="7">
        <v>16052.49</v>
      </c>
      <c r="E65" s="2"/>
      <c r="F65" s="6">
        <f t="shared" si="28"/>
        <v>7.7976487396655289E-2</v>
      </c>
      <c r="G65" s="2"/>
      <c r="H65" s="7">
        <v>14256</v>
      </c>
      <c r="I65" s="2"/>
      <c r="J65" s="6">
        <f t="shared" si="29"/>
        <v>0.08</v>
      </c>
      <c r="K65" s="2"/>
      <c r="L65" s="7">
        <f t="shared" si="30"/>
        <v>1796.4899999999998</v>
      </c>
      <c r="M65" s="2"/>
      <c r="N65" s="6">
        <f t="shared" si="31"/>
        <v>0.12601641414141412</v>
      </c>
      <c r="O65" s="11"/>
      <c r="P65" s="7">
        <v>173731.12</v>
      </c>
      <c r="Q65" s="2"/>
      <c r="R65" s="6">
        <f t="shared" si="32"/>
        <v>7.7549450311497653E-2</v>
      </c>
      <c r="S65" s="2"/>
      <c r="T65" s="7">
        <v>159408</v>
      </c>
      <c r="U65" s="2"/>
      <c r="V65" s="6">
        <f t="shared" si="33"/>
        <v>0.08</v>
      </c>
      <c r="W65" s="2"/>
      <c r="X65" s="7">
        <f t="shared" si="34"/>
        <v>14323.119999999995</v>
      </c>
      <c r="Y65" s="2"/>
      <c r="Z65" s="6">
        <f t="shared" si="35"/>
        <v>8.9851952223225909E-2</v>
      </c>
    </row>
    <row r="66" spans="1:26" s="28" customFormat="1" outlineLevel="1" collapsed="1" x14ac:dyDescent="0.3">
      <c r="A66" s="29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157.5</v>
      </c>
      <c r="E66" s="1"/>
      <c r="F66" s="5">
        <f t="shared" si="28"/>
        <v>7.6507113631425457E-4</v>
      </c>
      <c r="G66" s="1"/>
      <c r="H66" s="1">
        <f>SUM(OSRRefH22_11x_0)</f>
        <v>250</v>
      </c>
      <c r="I66" s="1"/>
      <c r="J66" s="5">
        <f t="shared" si="29"/>
        <v>1.4029180695847362E-3</v>
      </c>
      <c r="K66" s="1"/>
      <c r="L66" s="1">
        <f t="shared" si="30"/>
        <v>-92.5</v>
      </c>
      <c r="M66" s="1"/>
      <c r="N66" s="5">
        <f t="shared" si="31"/>
        <v>-0.37</v>
      </c>
      <c r="O66" s="14"/>
      <c r="P66" s="1">
        <f>SUM(OSRRefP22_11x_0)</f>
        <v>2702.5499999999997</v>
      </c>
      <c r="Q66" s="1"/>
      <c r="R66" s="5">
        <f t="shared" si="32"/>
        <v>1.2063542037795989E-3</v>
      </c>
      <c r="S66" s="1"/>
      <c r="T66" s="1">
        <f>SUM(OSRRefT22_11x_0)</f>
        <v>5350</v>
      </c>
      <c r="U66" s="1"/>
      <c r="V66" s="5">
        <f t="shared" si="33"/>
        <v>2.6849342567499749E-3</v>
      </c>
      <c r="W66" s="1"/>
      <c r="X66" s="1">
        <f t="shared" si="34"/>
        <v>-2647.4500000000003</v>
      </c>
      <c r="Y66" s="1"/>
      <c r="Z66" s="5">
        <f t="shared" si="35"/>
        <v>-0.49485046728971965</v>
      </c>
    </row>
    <row r="67" spans="1:26" s="24" customFormat="1" hidden="1" outlineLevel="2" x14ac:dyDescent="0.3">
      <c r="A67" s="27"/>
      <c r="B67" s="11" t="str">
        <f>CONCATENATE("          ", "6371", " - ", "COMPUTER SOFTWARE MAINTENANCE")</f>
        <v xml:space="preserve">          6371 - COMPUTER SOFTWARE MAINTENANCE</v>
      </c>
      <c r="C67" s="11"/>
      <c r="D67" s="7"/>
      <c r="E67" s="2"/>
      <c r="F67" s="6">
        <f t="shared" si="28"/>
        <v>0</v>
      </c>
      <c r="G67" s="2"/>
      <c r="H67" s="7">
        <v>0</v>
      </c>
      <c r="I67" s="2"/>
      <c r="J67" s="6">
        <f t="shared" si="29"/>
        <v>0</v>
      </c>
      <c r="K67" s="2"/>
      <c r="L67" s="7">
        <f t="shared" si="30"/>
        <v>0</v>
      </c>
      <c r="M67" s="2"/>
      <c r="N67" s="6">
        <f t="shared" si="31"/>
        <v>0</v>
      </c>
      <c r="O67" s="11"/>
      <c r="P67" s="7"/>
      <c r="Q67" s="2"/>
      <c r="R67" s="6">
        <f t="shared" si="32"/>
        <v>0</v>
      </c>
      <c r="S67" s="2"/>
      <c r="T67" s="7">
        <v>0</v>
      </c>
      <c r="U67" s="2"/>
      <c r="V67" s="6">
        <f t="shared" si="33"/>
        <v>0</v>
      </c>
      <c r="W67" s="2"/>
      <c r="X67" s="7">
        <f t="shared" si="34"/>
        <v>0</v>
      </c>
      <c r="Y67" s="2"/>
      <c r="Z67" s="6">
        <f t="shared" si="35"/>
        <v>0</v>
      </c>
    </row>
    <row r="68" spans="1:26" s="24" customFormat="1" hidden="1" outlineLevel="2" x14ac:dyDescent="0.3">
      <c r="A68" s="27"/>
      <c r="B68" s="11" t="str">
        <f>CONCATENATE("          ", "6373", " - ", "MAINTENANCE CONTRACTS")</f>
        <v xml:space="preserve">          6373 - MAINTENANCE CONTRACTS</v>
      </c>
      <c r="C68" s="11"/>
      <c r="D68" s="7">
        <v>0</v>
      </c>
      <c r="E68" s="2"/>
      <c r="F68" s="6">
        <f t="shared" si="28"/>
        <v>0</v>
      </c>
      <c r="G68" s="2"/>
      <c r="H68" s="7"/>
      <c r="I68" s="2"/>
      <c r="J68" s="6">
        <f t="shared" si="29"/>
        <v>0</v>
      </c>
      <c r="K68" s="2"/>
      <c r="L68" s="7">
        <f t="shared" si="30"/>
        <v>0</v>
      </c>
      <c r="M68" s="2"/>
      <c r="N68" s="6">
        <f t="shared" si="31"/>
        <v>0</v>
      </c>
      <c r="O68" s="11"/>
      <c r="P68" s="7">
        <v>190.2</v>
      </c>
      <c r="Q68" s="2"/>
      <c r="R68" s="6">
        <f t="shared" si="32"/>
        <v>8.49007676301566E-5</v>
      </c>
      <c r="S68" s="2"/>
      <c r="T68" s="7">
        <v>3600</v>
      </c>
      <c r="U68" s="2"/>
      <c r="V68" s="6">
        <f t="shared" si="33"/>
        <v>1.8066847335140017E-3</v>
      </c>
      <c r="W68" s="2"/>
      <c r="X68" s="7">
        <f t="shared" si="34"/>
        <v>-3409.8</v>
      </c>
      <c r="Y68" s="2"/>
      <c r="Z68" s="6">
        <f t="shared" si="35"/>
        <v>-0.94716666666666671</v>
      </c>
    </row>
    <row r="69" spans="1:26" s="24" customFormat="1" hidden="1" outlineLevel="2" x14ac:dyDescent="0.3">
      <c r="A69" s="27"/>
      <c r="B69" s="11" t="str">
        <f>CONCATENATE("          ", "6375", " - ", "OUTSIDE REPAIRS &amp; MAINTENANCE")</f>
        <v xml:space="preserve">          6375 - OUTSIDE REPAIRS &amp; MAINTENANCE</v>
      </c>
      <c r="C69" s="11"/>
      <c r="D69" s="7">
        <v>157.5</v>
      </c>
      <c r="E69" s="2"/>
      <c r="F69" s="6">
        <f t="shared" si="28"/>
        <v>7.6507113631425457E-4</v>
      </c>
      <c r="G69" s="2"/>
      <c r="H69" s="7">
        <v>250</v>
      </c>
      <c r="I69" s="2"/>
      <c r="J69" s="6">
        <f t="shared" si="29"/>
        <v>1.4029180695847362E-3</v>
      </c>
      <c r="K69" s="2"/>
      <c r="L69" s="7">
        <f t="shared" si="30"/>
        <v>-92.5</v>
      </c>
      <c r="M69" s="2"/>
      <c r="N69" s="6">
        <f t="shared" si="31"/>
        <v>-0.37</v>
      </c>
      <c r="O69" s="11"/>
      <c r="P69" s="7">
        <v>2512.35</v>
      </c>
      <c r="Q69" s="2"/>
      <c r="R69" s="6">
        <f t="shared" si="32"/>
        <v>1.1214534361494424E-3</v>
      </c>
      <c r="S69" s="2"/>
      <c r="T69" s="7">
        <v>1750</v>
      </c>
      <c r="U69" s="2"/>
      <c r="V69" s="6">
        <f t="shared" si="33"/>
        <v>8.782495232359731E-4</v>
      </c>
      <c r="W69" s="2"/>
      <c r="X69" s="7">
        <f t="shared" si="34"/>
        <v>762.34999999999991</v>
      </c>
      <c r="Y69" s="2"/>
      <c r="Z69" s="6">
        <f t="shared" si="35"/>
        <v>0.43562857142857137</v>
      </c>
    </row>
    <row r="70" spans="1:26" s="28" customFormat="1" outlineLevel="1" collapsed="1" x14ac:dyDescent="0.3">
      <c r="A70" s="29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SUM(OSRRefD22_12x_0)</f>
        <v>6832.07</v>
      </c>
      <c r="E70" s="1"/>
      <c r="F70" s="5">
        <f t="shared" ref="F70:F74" si="36">IF(D$12=0,0,D70/D$12)</f>
        <v>3.31874257668478E-2</v>
      </c>
      <c r="G70" s="1"/>
      <c r="H70" s="1">
        <f>SUM(OSRRefH22_12x_0)</f>
        <v>7150</v>
      </c>
      <c r="I70" s="1"/>
      <c r="J70" s="5">
        <f t="shared" ref="J70:J74" si="37">IF(H$12=0,0,H70/H$12)</f>
        <v>4.0123456790123455E-2</v>
      </c>
      <c r="K70" s="1"/>
      <c r="L70" s="1">
        <f t="shared" ref="L70:L74" si="38">+D70-H70</f>
        <v>-317.93000000000029</v>
      </c>
      <c r="M70" s="1"/>
      <c r="N70" s="5">
        <f t="shared" ref="N70:N74" si="39">IF(H70=0,0,L70/H70)</f>
        <v>-4.4465734265734309E-2</v>
      </c>
      <c r="O70" s="14"/>
      <c r="P70" s="1">
        <f>SUM(OSRRefP22_12x_0)</f>
        <v>37874.270000000004</v>
      </c>
      <c r="Q70" s="1"/>
      <c r="R70" s="5">
        <f t="shared" ref="R70:R74" si="40">IF(P$12=0,0,P70/P$12)</f>
        <v>1.6906175585866517E-2</v>
      </c>
      <c r="S70" s="1"/>
      <c r="T70" s="1">
        <f>SUM(OSRRefT22_12x_0)</f>
        <v>50050</v>
      </c>
      <c r="U70" s="1"/>
      <c r="V70" s="5">
        <f t="shared" ref="V70:V74" si="41">IF(T$12=0,0,T70/T$12)</f>
        <v>2.5117936364548829E-2</v>
      </c>
      <c r="W70" s="1"/>
      <c r="X70" s="1">
        <f t="shared" ref="X70:X74" si="42">+P70-T70</f>
        <v>-12175.729999999996</v>
      </c>
      <c r="Y70" s="1"/>
      <c r="Z70" s="5">
        <f t="shared" ref="Z70:Z74" si="43">IF(T70=0,0,X70/T70)</f>
        <v>-0.24327132867132858</v>
      </c>
    </row>
    <row r="71" spans="1:26" s="24" customFormat="1" hidden="1" outlineLevel="2" x14ac:dyDescent="0.3">
      <c r="A71" s="27"/>
      <c r="B71" s="11" t="str">
        <f>CONCATENATE("          ", "6282", " - ", "JANITORIAL/EXTERMINATOR EXPENS")</f>
        <v xml:space="preserve">          6282 - JANITORIAL/EXTERMINATOR EXPENS</v>
      </c>
      <c r="C71" s="11"/>
      <c r="D71" s="7">
        <v>454.95</v>
      </c>
      <c r="E71" s="2"/>
      <c r="F71" s="6">
        <f t="shared" si="36"/>
        <v>2.2099626251820322E-3</v>
      </c>
      <c r="G71" s="2"/>
      <c r="H71" s="7">
        <v>450</v>
      </c>
      <c r="I71" s="2"/>
      <c r="J71" s="6">
        <f t="shared" si="37"/>
        <v>2.5252525252525255E-3</v>
      </c>
      <c r="K71" s="2"/>
      <c r="L71" s="7">
        <f t="shared" si="38"/>
        <v>4.9499999999999886</v>
      </c>
      <c r="M71" s="2"/>
      <c r="N71" s="6">
        <f t="shared" si="39"/>
        <v>1.0999999999999975E-2</v>
      </c>
      <c r="O71" s="11"/>
      <c r="P71" s="7">
        <v>2959.07</v>
      </c>
      <c r="Q71" s="2"/>
      <c r="R71" s="6">
        <f t="shared" si="40"/>
        <v>1.3208586460113961E-3</v>
      </c>
      <c r="S71" s="2"/>
      <c r="T71" s="7">
        <v>3150</v>
      </c>
      <c r="U71" s="2"/>
      <c r="V71" s="6">
        <f t="shared" si="41"/>
        <v>1.5808491418247517E-3</v>
      </c>
      <c r="W71" s="2"/>
      <c r="X71" s="7">
        <f t="shared" si="42"/>
        <v>-190.92999999999984</v>
      </c>
      <c r="Y71" s="2"/>
      <c r="Z71" s="6">
        <f t="shared" si="43"/>
        <v>-6.0612698412698361E-2</v>
      </c>
    </row>
    <row r="72" spans="1:26" s="24" customFormat="1" hidden="1" outlineLevel="2" x14ac:dyDescent="0.3">
      <c r="A72" s="27"/>
      <c r="B72" s="11" t="str">
        <f>CONCATENATE("          ", "6284", " - ", "TRASH REMOVAL EXPENSE")</f>
        <v xml:space="preserve">          6284 - TRASH REMOVAL EXPENSE</v>
      </c>
      <c r="C72" s="11"/>
      <c r="D72" s="7"/>
      <c r="E72" s="2"/>
      <c r="F72" s="6">
        <f t="shared" si="36"/>
        <v>0</v>
      </c>
      <c r="G72" s="2"/>
      <c r="H72" s="7">
        <v>500</v>
      </c>
      <c r="I72" s="2"/>
      <c r="J72" s="6">
        <f t="shared" si="37"/>
        <v>2.8058361391694723E-3</v>
      </c>
      <c r="K72" s="2"/>
      <c r="L72" s="7">
        <f t="shared" si="38"/>
        <v>-500</v>
      </c>
      <c r="M72" s="2"/>
      <c r="N72" s="6">
        <f t="shared" si="39"/>
        <v>-1</v>
      </c>
      <c r="O72" s="11"/>
      <c r="P72" s="7"/>
      <c r="Q72" s="2"/>
      <c r="R72" s="6">
        <f t="shared" si="40"/>
        <v>0</v>
      </c>
      <c r="S72" s="2"/>
      <c r="T72" s="7">
        <v>3500</v>
      </c>
      <c r="U72" s="2"/>
      <c r="V72" s="6">
        <f t="shared" si="41"/>
        <v>1.7564990464719462E-3</v>
      </c>
      <c r="W72" s="2"/>
      <c r="X72" s="7">
        <f t="shared" si="42"/>
        <v>-3500</v>
      </c>
      <c r="Y72" s="2"/>
      <c r="Z72" s="6">
        <f t="shared" si="43"/>
        <v>-1</v>
      </c>
    </row>
    <row r="73" spans="1:26" s="24" customFormat="1" hidden="1" outlineLevel="2" x14ac:dyDescent="0.3">
      <c r="A73" s="27"/>
      <c r="B73" s="11" t="str">
        <f>CONCATENATE("          ", "6285", " - ", "JANITORIAL SERVICES")</f>
        <v xml:space="preserve">          6285 - JANITORIAL SERVICES</v>
      </c>
      <c r="C73" s="11"/>
      <c r="D73" s="7">
        <v>4428.8599999999997</v>
      </c>
      <c r="E73" s="2"/>
      <c r="F73" s="6">
        <f t="shared" si="36"/>
        <v>2.1513606049376185E-2</v>
      </c>
      <c r="G73" s="2"/>
      <c r="H73" s="7">
        <v>4700</v>
      </c>
      <c r="I73" s="2"/>
      <c r="J73" s="6">
        <f t="shared" si="37"/>
        <v>2.6374859708193043E-2</v>
      </c>
      <c r="K73" s="2"/>
      <c r="L73" s="7">
        <f t="shared" si="38"/>
        <v>-271.14000000000033</v>
      </c>
      <c r="M73" s="2"/>
      <c r="N73" s="6">
        <f t="shared" si="39"/>
        <v>-5.7689361702127732E-2</v>
      </c>
      <c r="O73" s="11"/>
      <c r="P73" s="7">
        <v>31485.02</v>
      </c>
      <c r="Q73" s="2"/>
      <c r="R73" s="6">
        <f t="shared" si="40"/>
        <v>1.4054165966618473E-2</v>
      </c>
      <c r="S73" s="2"/>
      <c r="T73" s="7">
        <v>32900</v>
      </c>
      <c r="U73" s="2"/>
      <c r="V73" s="6">
        <f t="shared" si="41"/>
        <v>1.6511091036836293E-2</v>
      </c>
      <c r="W73" s="2"/>
      <c r="X73" s="7">
        <f t="shared" si="42"/>
        <v>-1414.9799999999996</v>
      </c>
      <c r="Y73" s="2"/>
      <c r="Z73" s="6">
        <f t="shared" si="43"/>
        <v>-4.3008510638297859E-2</v>
      </c>
    </row>
    <row r="74" spans="1:26" s="24" customFormat="1" hidden="1" outlineLevel="2" x14ac:dyDescent="0.3">
      <c r="A74" s="27"/>
      <c r="B74" s="11" t="str">
        <f>CONCATENATE("          ", "6286", " - ", "LAUNDRY EXPENSE")</f>
        <v xml:space="preserve">          6286 - LAUNDRY EXPENSE</v>
      </c>
      <c r="C74" s="11"/>
      <c r="D74" s="7">
        <v>1948.26</v>
      </c>
      <c r="E74" s="2"/>
      <c r="F74" s="6">
        <f t="shared" si="36"/>
        <v>9.4638570922895848E-3</v>
      </c>
      <c r="G74" s="2"/>
      <c r="H74" s="7">
        <v>1500</v>
      </c>
      <c r="I74" s="2"/>
      <c r="J74" s="6">
        <f t="shared" si="37"/>
        <v>8.4175084175084174E-3</v>
      </c>
      <c r="K74" s="2"/>
      <c r="L74" s="7">
        <f t="shared" si="38"/>
        <v>448.26</v>
      </c>
      <c r="M74" s="2"/>
      <c r="N74" s="6">
        <f t="shared" si="39"/>
        <v>0.29883999999999999</v>
      </c>
      <c r="O74" s="11"/>
      <c r="P74" s="7">
        <v>3430.18</v>
      </c>
      <c r="Q74" s="2"/>
      <c r="R74" s="6">
        <f t="shared" si="40"/>
        <v>1.5311509732366486E-3</v>
      </c>
      <c r="S74" s="2"/>
      <c r="T74" s="7">
        <v>10500</v>
      </c>
      <c r="U74" s="2"/>
      <c r="V74" s="6">
        <f t="shared" si="41"/>
        <v>5.2694971394158388E-3</v>
      </c>
      <c r="W74" s="2"/>
      <c r="X74" s="7">
        <f t="shared" si="42"/>
        <v>-7069.82</v>
      </c>
      <c r="Y74" s="2"/>
      <c r="Z74" s="6">
        <f t="shared" si="43"/>
        <v>-0.6733161904761904</v>
      </c>
    </row>
    <row r="75" spans="1:26" s="28" customFormat="1" outlineLevel="1" collapsed="1" x14ac:dyDescent="0.3">
      <c r="A75" s="29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SUM(OSRRefD22_13x_0)</f>
        <v>6137.25</v>
      </c>
      <c r="E75" s="1"/>
      <c r="F75" s="5">
        <f t="shared" ref="F75:F83" si="44">IF(D$12=0,0,D75/D$12)</f>
        <v>2.9812271945045453E-2</v>
      </c>
      <c r="G75" s="1"/>
      <c r="H75" s="1">
        <f>SUM(OSRRefH22_13x_0)</f>
        <v>11396</v>
      </c>
      <c r="I75" s="1"/>
      <c r="J75" s="5">
        <f t="shared" ref="J75:J83" si="45">IF(H$12=0,0,H75/H$12)</f>
        <v>6.3950617283950614E-2</v>
      </c>
      <c r="K75" s="1"/>
      <c r="L75" s="1">
        <f t="shared" ref="L75:L83" si="46">+D75-H75</f>
        <v>-5258.75</v>
      </c>
      <c r="M75" s="1"/>
      <c r="N75" s="5">
        <f t="shared" ref="N75:N83" si="47">IF(H75=0,0,L75/H75)</f>
        <v>-0.46145577395577397</v>
      </c>
      <c r="O75" s="14"/>
      <c r="P75" s="1">
        <f>SUM(OSRRefP22_13x_0)</f>
        <v>49960.130000000005</v>
      </c>
      <c r="Q75" s="1"/>
      <c r="R75" s="5">
        <f t="shared" ref="R75:R83" si="48">IF(P$12=0,0,P75/P$12)</f>
        <v>2.2301016760790833E-2</v>
      </c>
      <c r="S75" s="1"/>
      <c r="T75" s="1">
        <f>SUM(OSRRefT22_13x_0)</f>
        <v>79772</v>
      </c>
      <c r="U75" s="1"/>
      <c r="V75" s="5">
        <f t="shared" ref="V75:V83" si="49">IF(T$12=0,0,T75/T$12)</f>
        <v>4.0034126267188601E-2</v>
      </c>
      <c r="W75" s="1"/>
      <c r="X75" s="1">
        <f t="shared" ref="X75:X83" si="50">+P75-T75</f>
        <v>-29811.869999999995</v>
      </c>
      <c r="Y75" s="1"/>
      <c r="Z75" s="5">
        <f t="shared" ref="Z75:Z83" si="51">IF(T75=0,0,X75/T75)</f>
        <v>-0.37371345835631542</v>
      </c>
    </row>
    <row r="76" spans="1:26" s="24" customFormat="1" hidden="1" outlineLevel="2" x14ac:dyDescent="0.3">
      <c r="A76" s="27"/>
      <c r="B76" s="11" t="str">
        <f>CONCATENATE("          ", "6234", " - ", "EXPENDABLE SUPPLIES &amp; EQUIPMEN")</f>
        <v xml:space="preserve">          6234 - EXPENDABLE SUPPLIES &amp; EQUIPMEN</v>
      </c>
      <c r="C76" s="11"/>
      <c r="D76" s="7"/>
      <c r="E76" s="2"/>
      <c r="F76" s="6">
        <f t="shared" si="44"/>
        <v>0</v>
      </c>
      <c r="G76" s="2"/>
      <c r="H76" s="7"/>
      <c r="I76" s="2"/>
      <c r="J76" s="6">
        <f t="shared" si="45"/>
        <v>0</v>
      </c>
      <c r="K76" s="2"/>
      <c r="L76" s="7">
        <f t="shared" si="46"/>
        <v>0</v>
      </c>
      <c r="M76" s="2"/>
      <c r="N76" s="6">
        <f t="shared" si="47"/>
        <v>0</v>
      </c>
      <c r="O76" s="11"/>
      <c r="P76" s="7">
        <v>21.98</v>
      </c>
      <c r="Q76" s="2"/>
      <c r="R76" s="6">
        <f t="shared" si="48"/>
        <v>9.8113505389634192E-6</v>
      </c>
      <c r="S76" s="2"/>
      <c r="T76" s="7"/>
      <c r="U76" s="2"/>
      <c r="V76" s="6">
        <f t="shared" si="49"/>
        <v>0</v>
      </c>
      <c r="W76" s="2"/>
      <c r="X76" s="7">
        <f t="shared" si="50"/>
        <v>21.98</v>
      </c>
      <c r="Y76" s="2"/>
      <c r="Z76" s="6">
        <f t="shared" si="51"/>
        <v>0</v>
      </c>
    </row>
    <row r="77" spans="1:26" s="24" customFormat="1" hidden="1" outlineLevel="2" x14ac:dyDescent="0.3">
      <c r="A77" s="27"/>
      <c r="B77" s="11" t="str">
        <f>CONCATENATE("          ", "6237", " - ", "JANITORIAL SUPPLIES")</f>
        <v xml:space="preserve">          6237 - JANITORIAL SUPPLIES</v>
      </c>
      <c r="C77" s="11"/>
      <c r="D77" s="7">
        <v>1570.19</v>
      </c>
      <c r="E77" s="2"/>
      <c r="F77" s="6">
        <f t="shared" si="44"/>
        <v>7.6273463335192341E-3</v>
      </c>
      <c r="G77" s="2"/>
      <c r="H77" s="7">
        <v>4000</v>
      </c>
      <c r="I77" s="2"/>
      <c r="J77" s="6">
        <f t="shared" si="45"/>
        <v>2.2446689113355778E-2</v>
      </c>
      <c r="K77" s="2"/>
      <c r="L77" s="7">
        <f t="shared" si="46"/>
        <v>-2429.81</v>
      </c>
      <c r="M77" s="2"/>
      <c r="N77" s="6">
        <f t="shared" si="47"/>
        <v>-0.60745249999999995</v>
      </c>
      <c r="O77" s="11"/>
      <c r="P77" s="7">
        <v>9095.82</v>
      </c>
      <c r="Q77" s="2"/>
      <c r="R77" s="6">
        <f t="shared" si="48"/>
        <v>4.0601582556557885E-3</v>
      </c>
      <c r="S77" s="2"/>
      <c r="T77" s="7">
        <v>28000</v>
      </c>
      <c r="U77" s="2"/>
      <c r="V77" s="6">
        <f t="shared" si="49"/>
        <v>1.405199237177557E-2</v>
      </c>
      <c r="W77" s="2"/>
      <c r="X77" s="7">
        <f t="shared" si="50"/>
        <v>-18904.18</v>
      </c>
      <c r="Y77" s="2"/>
      <c r="Z77" s="6">
        <f t="shared" si="51"/>
        <v>-0.67514928571428567</v>
      </c>
    </row>
    <row r="78" spans="1:26" s="24" customFormat="1" hidden="1" outlineLevel="2" x14ac:dyDescent="0.3">
      <c r="A78" s="27"/>
      <c r="B78" s="11" t="str">
        <f>CONCATENATE("          ", "6239", " - ", "KITCHEN SUPPLIES")</f>
        <v xml:space="preserve">          6239 - KITCHEN SUPPLIES</v>
      </c>
      <c r="C78" s="11"/>
      <c r="D78" s="7">
        <v>1268.6600000000001</v>
      </c>
      <c r="E78" s="2"/>
      <c r="F78" s="6">
        <f t="shared" si="44"/>
        <v>6.1626358590250296E-3</v>
      </c>
      <c r="G78" s="2"/>
      <c r="H78" s="7">
        <v>1500</v>
      </c>
      <c r="I78" s="2"/>
      <c r="J78" s="6">
        <f t="shared" si="45"/>
        <v>8.4175084175084174E-3</v>
      </c>
      <c r="K78" s="2"/>
      <c r="L78" s="7">
        <f t="shared" si="46"/>
        <v>-231.33999999999992</v>
      </c>
      <c r="M78" s="2"/>
      <c r="N78" s="6">
        <f t="shared" si="47"/>
        <v>-0.15422666666666662</v>
      </c>
      <c r="O78" s="11"/>
      <c r="P78" s="7">
        <v>6825.59</v>
      </c>
      <c r="Q78" s="2"/>
      <c r="R78" s="6">
        <f t="shared" si="48"/>
        <v>3.0467814433686679E-3</v>
      </c>
      <c r="S78" s="2"/>
      <c r="T78" s="7">
        <v>10500</v>
      </c>
      <c r="U78" s="2"/>
      <c r="V78" s="6">
        <f t="shared" si="49"/>
        <v>5.2694971394158388E-3</v>
      </c>
      <c r="W78" s="2"/>
      <c r="X78" s="7">
        <f t="shared" si="50"/>
        <v>-3674.41</v>
      </c>
      <c r="Y78" s="2"/>
      <c r="Z78" s="6">
        <f t="shared" si="51"/>
        <v>-0.34994380952380949</v>
      </c>
    </row>
    <row r="79" spans="1:26" s="24" customFormat="1" hidden="1" outlineLevel="2" x14ac:dyDescent="0.3">
      <c r="A79" s="27"/>
      <c r="B79" s="11" t="str">
        <f>CONCATENATE("          ", "6241", " - ", "OFFICE EXPENSE")</f>
        <v xml:space="preserve">          6241 - OFFICE EXPENSE</v>
      </c>
      <c r="C79" s="11"/>
      <c r="D79" s="7">
        <v>318.43</v>
      </c>
      <c r="E79" s="2"/>
      <c r="F79" s="6">
        <f t="shared" si="44"/>
        <v>1.5468038218193528E-3</v>
      </c>
      <c r="G79" s="2"/>
      <c r="H79" s="7">
        <v>500</v>
      </c>
      <c r="I79" s="2"/>
      <c r="J79" s="6">
        <f t="shared" si="45"/>
        <v>2.8058361391694723E-3</v>
      </c>
      <c r="K79" s="2"/>
      <c r="L79" s="7">
        <f t="shared" si="46"/>
        <v>-181.57</v>
      </c>
      <c r="M79" s="2"/>
      <c r="N79" s="6">
        <f t="shared" si="47"/>
        <v>-0.36313999999999996</v>
      </c>
      <c r="O79" s="11"/>
      <c r="P79" s="7">
        <v>3281.27</v>
      </c>
      <c r="Q79" s="2"/>
      <c r="R79" s="6">
        <f t="shared" si="48"/>
        <v>1.4646810820284121E-3</v>
      </c>
      <c r="S79" s="2"/>
      <c r="T79" s="7">
        <v>3500</v>
      </c>
      <c r="U79" s="2"/>
      <c r="V79" s="6">
        <f t="shared" si="49"/>
        <v>1.7564990464719462E-3</v>
      </c>
      <c r="W79" s="2"/>
      <c r="X79" s="7">
        <f t="shared" si="50"/>
        <v>-218.73000000000002</v>
      </c>
      <c r="Y79" s="2"/>
      <c r="Z79" s="6">
        <f t="shared" si="51"/>
        <v>-6.2494285714285717E-2</v>
      </c>
    </row>
    <row r="80" spans="1:26" s="24" customFormat="1" hidden="1" outlineLevel="2" x14ac:dyDescent="0.3">
      <c r="A80" s="27"/>
      <c r="B80" s="11" t="str">
        <f>CONCATENATE("          ", "6243", " - ", "PAPER SUPPLIES")</f>
        <v xml:space="preserve">          6243 - PAPER SUPPLIES</v>
      </c>
      <c r="C80" s="11"/>
      <c r="D80" s="7">
        <v>2979.97</v>
      </c>
      <c r="E80" s="2"/>
      <c r="F80" s="6">
        <f t="shared" si="44"/>
        <v>1.4475485930681835E-2</v>
      </c>
      <c r="G80" s="2"/>
      <c r="H80" s="7">
        <v>5000</v>
      </c>
      <c r="I80" s="2"/>
      <c r="J80" s="6">
        <f t="shared" si="45"/>
        <v>2.8058361391694726E-2</v>
      </c>
      <c r="K80" s="2"/>
      <c r="L80" s="7">
        <f t="shared" si="46"/>
        <v>-2020.0300000000002</v>
      </c>
      <c r="M80" s="2"/>
      <c r="N80" s="6">
        <f t="shared" si="47"/>
        <v>-0.40400600000000003</v>
      </c>
      <c r="O80" s="11"/>
      <c r="P80" s="7">
        <v>28657.14</v>
      </c>
      <c r="Q80" s="2"/>
      <c r="R80" s="6">
        <f t="shared" si="48"/>
        <v>1.2791867424210653E-2</v>
      </c>
      <c r="S80" s="2"/>
      <c r="T80" s="7">
        <v>35000</v>
      </c>
      <c r="U80" s="2"/>
      <c r="V80" s="6">
        <f t="shared" si="49"/>
        <v>1.7564990464719463E-2</v>
      </c>
      <c r="W80" s="2"/>
      <c r="X80" s="7">
        <f t="shared" si="50"/>
        <v>-6342.8600000000006</v>
      </c>
      <c r="Y80" s="2"/>
      <c r="Z80" s="6">
        <f t="shared" si="51"/>
        <v>-0.18122457142857146</v>
      </c>
    </row>
    <row r="81" spans="1:26" s="24" customFormat="1" hidden="1" outlineLevel="2" x14ac:dyDescent="0.3">
      <c r="A81" s="27"/>
      <c r="B81" s="11" t="str">
        <f>CONCATENATE("          ", "6244", " - ", "SAFETY SUPPLY EXPENSE")</f>
        <v xml:space="preserve">          6244 - SAFETY SUPPLY EXPENSE</v>
      </c>
      <c r="C81" s="11"/>
      <c r="D81" s="7"/>
      <c r="E81" s="2"/>
      <c r="F81" s="6">
        <f t="shared" si="44"/>
        <v>0</v>
      </c>
      <c r="G81" s="2"/>
      <c r="H81" s="7">
        <v>200</v>
      </c>
      <c r="I81" s="2"/>
      <c r="J81" s="6">
        <f t="shared" si="45"/>
        <v>1.1223344556677891E-3</v>
      </c>
      <c r="K81" s="2"/>
      <c r="L81" s="7">
        <f t="shared" si="46"/>
        <v>-200</v>
      </c>
      <c r="M81" s="2"/>
      <c r="N81" s="6">
        <f t="shared" si="47"/>
        <v>-1</v>
      </c>
      <c r="O81" s="11"/>
      <c r="P81" s="7"/>
      <c r="Q81" s="2"/>
      <c r="R81" s="6">
        <f t="shared" si="48"/>
        <v>0</v>
      </c>
      <c r="S81" s="2"/>
      <c r="T81" s="7">
        <v>1400</v>
      </c>
      <c r="U81" s="2"/>
      <c r="V81" s="6">
        <f t="shared" si="49"/>
        <v>7.0259961858877844E-4</v>
      </c>
      <c r="W81" s="2"/>
      <c r="X81" s="7">
        <f t="shared" si="50"/>
        <v>-1400</v>
      </c>
      <c r="Y81" s="2"/>
      <c r="Z81" s="6">
        <f t="shared" si="51"/>
        <v>-1</v>
      </c>
    </row>
    <row r="82" spans="1:26" s="24" customFormat="1" hidden="1" outlineLevel="2" x14ac:dyDescent="0.3">
      <c r="A82" s="27"/>
      <c r="B82" s="11" t="str">
        <f>CONCATENATE("          ", "6247", " - ", "STORE SUPPLIES")</f>
        <v xml:space="preserve">          6247 - STORE SUPPLIES</v>
      </c>
      <c r="C82" s="11"/>
      <c r="D82" s="7"/>
      <c r="E82" s="2"/>
      <c r="F82" s="6">
        <f t="shared" si="44"/>
        <v>0</v>
      </c>
      <c r="G82" s="2"/>
      <c r="H82" s="7"/>
      <c r="I82" s="2"/>
      <c r="J82" s="6">
        <f t="shared" si="45"/>
        <v>0</v>
      </c>
      <c r="K82" s="2"/>
      <c r="L82" s="7">
        <f t="shared" si="46"/>
        <v>0</v>
      </c>
      <c r="M82" s="2"/>
      <c r="N82" s="6">
        <f t="shared" si="47"/>
        <v>0</v>
      </c>
      <c r="O82" s="11"/>
      <c r="P82" s="7">
        <v>207.93</v>
      </c>
      <c r="Q82" s="2"/>
      <c r="R82" s="6">
        <f t="shared" si="48"/>
        <v>9.2815018997573424E-5</v>
      </c>
      <c r="S82" s="2"/>
      <c r="T82" s="7"/>
      <c r="U82" s="2"/>
      <c r="V82" s="6">
        <f t="shared" si="49"/>
        <v>0</v>
      </c>
      <c r="W82" s="2"/>
      <c r="X82" s="7">
        <f t="shared" si="50"/>
        <v>207.93</v>
      </c>
      <c r="Y82" s="2"/>
      <c r="Z82" s="6">
        <f t="shared" si="51"/>
        <v>0</v>
      </c>
    </row>
    <row r="83" spans="1:26" s="24" customFormat="1" hidden="1" outlineLevel="2" x14ac:dyDescent="0.3">
      <c r="A83" s="27"/>
      <c r="B83" s="11" t="str">
        <f>CONCATENATE("          ", "6248", " - ", "UNIFORMS")</f>
        <v xml:space="preserve">          6248 - UNIFORMS</v>
      </c>
      <c r="C83" s="11"/>
      <c r="D83" s="7"/>
      <c r="E83" s="2"/>
      <c r="F83" s="6">
        <f t="shared" si="44"/>
        <v>0</v>
      </c>
      <c r="G83" s="2"/>
      <c r="H83" s="7">
        <v>196</v>
      </c>
      <c r="I83" s="2"/>
      <c r="J83" s="6">
        <f t="shared" si="45"/>
        <v>1.0998877665544331E-3</v>
      </c>
      <c r="K83" s="2"/>
      <c r="L83" s="7">
        <f t="shared" si="46"/>
        <v>-196</v>
      </c>
      <c r="M83" s="2"/>
      <c r="N83" s="6">
        <f t="shared" si="47"/>
        <v>-1</v>
      </c>
      <c r="O83" s="11"/>
      <c r="P83" s="7">
        <v>1870.4</v>
      </c>
      <c r="Q83" s="2"/>
      <c r="R83" s="6">
        <f t="shared" si="48"/>
        <v>8.3490218599077248E-4</v>
      </c>
      <c r="S83" s="2"/>
      <c r="T83" s="7">
        <v>1372</v>
      </c>
      <c r="U83" s="2"/>
      <c r="V83" s="6">
        <f t="shared" si="49"/>
        <v>6.8854762621700291E-4</v>
      </c>
      <c r="W83" s="2"/>
      <c r="X83" s="7">
        <f t="shared" si="50"/>
        <v>498.40000000000009</v>
      </c>
      <c r="Y83" s="2"/>
      <c r="Z83" s="6">
        <f t="shared" si="51"/>
        <v>0.36326530612244906</v>
      </c>
    </row>
    <row r="84" spans="1:26" s="28" customFormat="1" outlineLevel="1" collapsed="1" x14ac:dyDescent="0.3">
      <c r="A84" s="29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SUM(OSRRefD22_14x_0)</f>
        <v>164</v>
      </c>
      <c r="E84" s="1"/>
      <c r="F84" s="5">
        <f t="shared" ref="F84:F87" si="52">IF(D$12=0,0,D84/D$12)</f>
        <v>7.9664550067008093E-4</v>
      </c>
      <c r="G84" s="1"/>
      <c r="H84" s="1">
        <f>SUM(OSRRefH22_14x_0)</f>
        <v>175</v>
      </c>
      <c r="I84" s="1"/>
      <c r="J84" s="5">
        <f t="shared" ref="J84:J87" si="53">IF(H$12=0,0,H84/H$12)</f>
        <v>9.8204264870931546E-4</v>
      </c>
      <c r="K84" s="1"/>
      <c r="L84" s="1">
        <f t="shared" ref="L84:L87" si="54">+D84-H84</f>
        <v>-11</v>
      </c>
      <c r="M84" s="1"/>
      <c r="N84" s="5">
        <f t="shared" ref="N84:N87" si="55">IF(H84=0,0,L84/H84)</f>
        <v>-6.2857142857142861E-2</v>
      </c>
      <c r="O84" s="14"/>
      <c r="P84" s="1">
        <f>SUM(OSRRefP22_14x_0)</f>
        <v>1448</v>
      </c>
      <c r="Q84" s="1"/>
      <c r="R84" s="5">
        <f t="shared" ref="R84:R87" si="56">IF(P$12=0,0,P84/P$12)</f>
        <v>6.4635284715282217E-4</v>
      </c>
      <c r="S84" s="1"/>
      <c r="T84" s="1">
        <f>SUM(OSRRefT22_14x_0)</f>
        <v>1225</v>
      </c>
      <c r="U84" s="1"/>
      <c r="V84" s="5">
        <f t="shared" ref="V84:V87" si="57">IF(T$12=0,0,T84/T$12)</f>
        <v>6.1477466626518116E-4</v>
      </c>
      <c r="W84" s="1"/>
      <c r="X84" s="1">
        <f t="shared" ref="X84:X87" si="58">+P84-T84</f>
        <v>223</v>
      </c>
      <c r="Y84" s="1"/>
      <c r="Z84" s="5">
        <f t="shared" ref="Z84:Z87" si="59">IF(T84=0,0,X84/T84)</f>
        <v>0.1820408163265306</v>
      </c>
    </row>
    <row r="85" spans="1:26" s="24" customFormat="1" hidden="1" outlineLevel="2" x14ac:dyDescent="0.3">
      <c r="A85" s="27"/>
      <c r="B85" s="11" t="str">
        <f>CONCATENATE("          ", "6309", " - ", "TELEPHONE")</f>
        <v xml:space="preserve">          6309 - TELEPHONE</v>
      </c>
      <c r="C85" s="11"/>
      <c r="D85" s="7">
        <v>164</v>
      </c>
      <c r="E85" s="2"/>
      <c r="F85" s="6">
        <f t="shared" si="52"/>
        <v>7.9664550067008093E-4</v>
      </c>
      <c r="G85" s="2"/>
      <c r="H85" s="7">
        <v>175</v>
      </c>
      <c r="I85" s="2"/>
      <c r="J85" s="6">
        <f t="shared" si="53"/>
        <v>9.8204264870931546E-4</v>
      </c>
      <c r="K85" s="2"/>
      <c r="L85" s="7">
        <f t="shared" si="54"/>
        <v>-11</v>
      </c>
      <c r="M85" s="2"/>
      <c r="N85" s="6">
        <f t="shared" si="55"/>
        <v>-6.2857142857142861E-2</v>
      </c>
      <c r="O85" s="11"/>
      <c r="P85" s="7">
        <v>1448</v>
      </c>
      <c r="Q85" s="2"/>
      <c r="R85" s="6">
        <f t="shared" si="56"/>
        <v>6.4635284715282217E-4</v>
      </c>
      <c r="S85" s="2"/>
      <c r="T85" s="7">
        <v>1225</v>
      </c>
      <c r="U85" s="2"/>
      <c r="V85" s="6">
        <f t="shared" si="57"/>
        <v>6.1477466626518116E-4</v>
      </c>
      <c r="W85" s="2"/>
      <c r="X85" s="7">
        <f t="shared" si="58"/>
        <v>223</v>
      </c>
      <c r="Y85" s="2"/>
      <c r="Z85" s="6">
        <f t="shared" si="59"/>
        <v>0.1820408163265306</v>
      </c>
    </row>
    <row r="86" spans="1:26" s="28" customFormat="1" outlineLevel="1" collapsed="1" x14ac:dyDescent="0.3">
      <c r="A86" s="29"/>
      <c r="B86" s="14" t="str">
        <f>CONCATENATE("     ","Training                                          ")</f>
        <v xml:space="preserve">     Training                                          </v>
      </c>
      <c r="C86" s="14"/>
      <c r="D86" s="1">
        <f>SUM(OSRRefD22_15x_0)</f>
        <v>0</v>
      </c>
      <c r="E86" s="1"/>
      <c r="F86" s="5">
        <f t="shared" si="52"/>
        <v>0</v>
      </c>
      <c r="G86" s="1"/>
      <c r="H86" s="1">
        <f>SUM(OSRRefH22_15x_0)</f>
        <v>1000</v>
      </c>
      <c r="I86" s="1"/>
      <c r="J86" s="5">
        <f t="shared" si="53"/>
        <v>5.6116722783389446E-3</v>
      </c>
      <c r="K86" s="1"/>
      <c r="L86" s="1">
        <f t="shared" si="54"/>
        <v>-1000</v>
      </c>
      <c r="M86" s="1"/>
      <c r="N86" s="5">
        <f t="shared" si="55"/>
        <v>-1</v>
      </c>
      <c r="O86" s="14"/>
      <c r="P86" s="1">
        <f>SUM(OSRRefP22_15x_0)</f>
        <v>0</v>
      </c>
      <c r="Q86" s="1"/>
      <c r="R86" s="5">
        <f t="shared" si="56"/>
        <v>0</v>
      </c>
      <c r="S86" s="1"/>
      <c r="T86" s="1">
        <f>SUM(OSRRefT22_15x_0)</f>
        <v>1000</v>
      </c>
      <c r="U86" s="1"/>
      <c r="V86" s="5">
        <f t="shared" si="57"/>
        <v>5.0185687042055601E-4</v>
      </c>
      <c r="W86" s="1"/>
      <c r="X86" s="1">
        <f t="shared" si="58"/>
        <v>-1000</v>
      </c>
      <c r="Y86" s="1"/>
      <c r="Z86" s="5">
        <f t="shared" si="59"/>
        <v>-1</v>
      </c>
    </row>
    <row r="87" spans="1:26" s="24" customFormat="1" hidden="1" outlineLevel="2" x14ac:dyDescent="0.3">
      <c r="A87" s="27"/>
      <c r="B87" s="11" t="str">
        <f>CONCATENATE("          ", "6376", " - ", "TRAINING")</f>
        <v xml:space="preserve">          6376 - TRAINING</v>
      </c>
      <c r="C87" s="11"/>
      <c r="D87" s="7"/>
      <c r="E87" s="2"/>
      <c r="F87" s="6">
        <f t="shared" si="52"/>
        <v>0</v>
      </c>
      <c r="G87" s="2"/>
      <c r="H87" s="7">
        <v>1000</v>
      </c>
      <c r="I87" s="2"/>
      <c r="J87" s="6">
        <f t="shared" si="53"/>
        <v>5.6116722783389446E-3</v>
      </c>
      <c r="K87" s="2"/>
      <c r="L87" s="7">
        <f t="shared" si="54"/>
        <v>-1000</v>
      </c>
      <c r="M87" s="2"/>
      <c r="N87" s="6">
        <f t="shared" si="55"/>
        <v>-1</v>
      </c>
      <c r="O87" s="11"/>
      <c r="P87" s="7"/>
      <c r="Q87" s="2"/>
      <c r="R87" s="6">
        <f t="shared" si="56"/>
        <v>0</v>
      </c>
      <c r="S87" s="2"/>
      <c r="T87" s="7">
        <v>1000</v>
      </c>
      <c r="U87" s="2"/>
      <c r="V87" s="6">
        <f t="shared" si="57"/>
        <v>5.0185687042055601E-4</v>
      </c>
      <c r="W87" s="2"/>
      <c r="X87" s="7">
        <f t="shared" si="58"/>
        <v>-1000</v>
      </c>
      <c r="Y87" s="2"/>
      <c r="Z87" s="6">
        <f t="shared" si="59"/>
        <v>-1</v>
      </c>
    </row>
    <row r="88" spans="1:26" s="55" customFormat="1" x14ac:dyDescent="0.3">
      <c r="A88" s="36"/>
      <c r="B88" s="36"/>
      <c r="C88" s="36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6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3">
      <c r="A89" s="10"/>
      <c r="B89" s="25" t="s">
        <v>293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3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3">
      <c r="A91" s="10"/>
      <c r="B91" s="26" t="s">
        <v>277</v>
      </c>
      <c r="C91" s="26"/>
      <c r="D91" s="21">
        <f>+D23-D25+D89</f>
        <v>46267.759999999966</v>
      </c>
      <c r="E91" s="13"/>
      <c r="F91" s="22">
        <f>IF(D$12=0,0,D91/D$12)</f>
        <v>0.22475001725660437</v>
      </c>
      <c r="G91" s="13"/>
      <c r="H91" s="21">
        <f>+H23-H25+H89</f>
        <v>-53742.027371153876</v>
      </c>
      <c r="I91" s="13"/>
      <c r="J91" s="22">
        <f>IF(H$12=0,0,H91/H$12)</f>
        <v>-0.30158264518043704</v>
      </c>
      <c r="K91" s="15"/>
      <c r="L91" s="21">
        <f>+D91-H91</f>
        <v>100009.78737115384</v>
      </c>
      <c r="M91" s="15"/>
      <c r="N91" s="22">
        <f>IF(H91=0,0,L91/H91)</f>
        <v>-1.8609232338866744</v>
      </c>
      <c r="O91" s="25"/>
      <c r="P91" s="21">
        <f>+P23-P25+P89</f>
        <v>744887.79000000039</v>
      </c>
      <c r="Q91" s="13"/>
      <c r="R91" s="22">
        <f>IF(P$12=0,0,P91/P$12)</f>
        <v>0.33250023748333818</v>
      </c>
      <c r="S91" s="13"/>
      <c r="T91" s="21">
        <f>+T23-T25+T89</f>
        <v>275812.24529884593</v>
      </c>
      <c r="U91" s="13"/>
      <c r="V91" s="22">
        <f>IF(T$12=0,0,T91/T$12)</f>
        <v>0.13841827024934555</v>
      </c>
      <c r="W91" s="15"/>
      <c r="X91" s="21">
        <f>+P91-T91</f>
        <v>469075.54470115446</v>
      </c>
      <c r="Y91" s="15"/>
      <c r="Z91" s="22">
        <f>IF(T91=0,0,X91/T91)</f>
        <v>1.7007060154015474</v>
      </c>
    </row>
    <row r="92" spans="1:26" x14ac:dyDescent="0.3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3">
      <c r="A93" s="52"/>
      <c r="B93" s="10" t="s">
        <v>128</v>
      </c>
      <c r="C93" s="10"/>
      <c r="D93" s="4">
        <v>51655.42</v>
      </c>
      <c r="E93" s="4"/>
      <c r="F93" s="12">
        <f>IF(D$12=0,0,D93/D$12)</f>
        <v>0.25092108492819093</v>
      </c>
      <c r="G93" s="4"/>
      <c r="H93" s="4">
        <v>14753</v>
      </c>
      <c r="I93" s="4"/>
      <c r="J93" s="12">
        <f>IF(H$12=0,0,H93/H$12)</f>
        <v>8.2789001122334449E-2</v>
      </c>
      <c r="K93" s="4"/>
      <c r="L93" s="4">
        <f>+D93-H93</f>
        <v>36902.42</v>
      </c>
      <c r="M93" s="4"/>
      <c r="N93" s="12">
        <f>IF(H93=0,0,L93/H93)</f>
        <v>2.5013502338507423</v>
      </c>
      <c r="O93" s="10"/>
      <c r="P93" s="4">
        <v>296537.68</v>
      </c>
      <c r="Q93" s="4"/>
      <c r="R93" s="12">
        <f>IF(P$12=0,0,P93/P$12)</f>
        <v>0.13236738519067159</v>
      </c>
      <c r="S93" s="4"/>
      <c r="T93" s="4">
        <v>249665</v>
      </c>
      <c r="U93" s="4"/>
      <c r="V93" s="12">
        <f>IF(T$12=0,0,T93/T$12)</f>
        <v>0.12529609555354812</v>
      </c>
      <c r="W93" s="4"/>
      <c r="X93" s="4">
        <f>+P93-T93</f>
        <v>46872.679999999993</v>
      </c>
      <c r="Y93" s="4"/>
      <c r="Z93" s="12">
        <f>IF(T93=0,0,X93/T93)</f>
        <v>0.18774229467486428</v>
      </c>
    </row>
    <row r="94" spans="1:26" x14ac:dyDescent="0.3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" thickBot="1" x14ac:dyDescent="0.35">
      <c r="A95" s="10"/>
      <c r="B95" s="26" t="s">
        <v>126</v>
      </c>
      <c r="C95" s="26"/>
      <c r="D95" s="32">
        <f>+D91-D93</f>
        <v>-5387.6600000000326</v>
      </c>
      <c r="E95" s="13"/>
      <c r="F95" s="31">
        <f>IF(D$12=0,0,D95/D$12)</f>
        <v>-2.617106767158655E-2</v>
      </c>
      <c r="G95" s="13"/>
      <c r="H95" s="32">
        <f>+H91-H93</f>
        <v>-68495.027371153876</v>
      </c>
      <c r="I95" s="13"/>
      <c r="J95" s="31">
        <f>IF(H$12=0,0,H95/H$12)</f>
        <v>-0.38437164630277149</v>
      </c>
      <c r="K95" s="15"/>
      <c r="L95" s="32">
        <f>D95-H95</f>
        <v>63107.367371153843</v>
      </c>
      <c r="M95" s="15"/>
      <c r="N95" s="31">
        <f>IF(H95=0,0,L95/H95)</f>
        <v>-0.92134231919047305</v>
      </c>
      <c r="O95" s="25"/>
      <c r="P95" s="32">
        <f>+P91-P93</f>
        <v>448350.11000000039</v>
      </c>
      <c r="Q95" s="13"/>
      <c r="R95" s="31">
        <f>IF(P$12=0,0,P95/P$12)</f>
        <v>0.20013285229266661</v>
      </c>
      <c r="S95" s="13"/>
      <c r="T95" s="32">
        <f>+T91-T93</f>
        <v>26147.245298845926</v>
      </c>
      <c r="U95" s="13"/>
      <c r="V95" s="31">
        <f>IF(T$12=0,0,T95/T$12)</f>
        <v>1.3122174695797413E-2</v>
      </c>
      <c r="W95" s="15"/>
      <c r="X95" s="32">
        <f>P95-T95</f>
        <v>422202.86470115447</v>
      </c>
      <c r="Y95" s="15"/>
      <c r="Z95" s="31">
        <f>IF(T95=0,0,X95/T95)</f>
        <v>16.147126011771093</v>
      </c>
    </row>
    <row r="96" spans="1:26" ht="15" thickTop="1" x14ac:dyDescent="0.3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3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" thickBot="1" x14ac:dyDescent="0.35">
      <c r="A98" s="10"/>
      <c r="B98" s="26" t="s">
        <v>294</v>
      </c>
      <c r="C98" s="26"/>
      <c r="D98" s="34">
        <f>SUM(D95:D97)</f>
        <v>-5387.6600000000326</v>
      </c>
      <c r="E98" s="13"/>
      <c r="F98" s="35">
        <f>IF(D$12=0,0,D98/D$12)</f>
        <v>-2.617106767158655E-2</v>
      </c>
      <c r="G98" s="13"/>
      <c r="H98" s="34">
        <f>SUM(H95:H97)</f>
        <v>-68495.027371153876</v>
      </c>
      <c r="I98" s="13"/>
      <c r="J98" s="35">
        <f>IF(H$12=0,0,H98/H$12)</f>
        <v>-0.38437164630277149</v>
      </c>
      <c r="K98" s="15"/>
      <c r="L98" s="34">
        <f>+D98-H98</f>
        <v>63107.367371153843</v>
      </c>
      <c r="M98" s="15"/>
      <c r="N98" s="35">
        <f>IF(H98=0,0,L98/H98)</f>
        <v>-0.92134231919047305</v>
      </c>
      <c r="O98" s="25"/>
      <c r="P98" s="34">
        <f>SUM(P95:P97)</f>
        <v>448350.11000000039</v>
      </c>
      <c r="Q98" s="13"/>
      <c r="R98" s="35">
        <f>IF(P$12=0,0,P98/P$12)</f>
        <v>0.20013285229266661</v>
      </c>
      <c r="S98" s="13"/>
      <c r="T98" s="34">
        <f>SUM(T95:T97)</f>
        <v>26147.245298845926</v>
      </c>
      <c r="U98" s="13"/>
      <c r="V98" s="35">
        <f>IF(T$12=0,0,T98/T$12)</f>
        <v>1.3122174695797413E-2</v>
      </c>
      <c r="W98" s="15"/>
      <c r="X98" s="34">
        <f>+P98-T98</f>
        <v>422202.86470115447</v>
      </c>
      <c r="Y98" s="15"/>
      <c r="Z98" s="35">
        <f>IF(T98=0,0,X98/T98)</f>
        <v>16.147126011771093</v>
      </c>
    </row>
    <row r="99" spans="1:26" ht="15" thickTop="1" x14ac:dyDescent="0.3">
      <c r="A99" s="9"/>
      <c r="C99" s="9"/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6" x14ac:dyDescent="0.3">
      <c r="A100" s="9"/>
      <c r="B100" s="53">
        <v>44604.019995405091</v>
      </c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6" x14ac:dyDescent="0.3">
      <c r="A101" s="9"/>
      <c r="B101" s="63" t="s">
        <v>56</v>
      </c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3">
      <c r="A102" s="9"/>
      <c r="B102" s="58"/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3"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","435", " - ", "Ground Floor Coffee House")</f>
        <v>Department 435 - Ground Floor Coffee House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3">
      <c r="A12" s="10"/>
      <c r="B12" s="25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5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6" t="s">
        <v>108</v>
      </c>
      <c r="C16" s="26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5"/>
      <c r="L16" s="21">
        <f>+D16-H16</f>
        <v>0</v>
      </c>
      <c r="M16" s="15"/>
      <c r="N16" s="22">
        <f>IF(H16=0,0,L16/H16)</f>
        <v>0</v>
      </c>
      <c r="O16" s="25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5"/>
      <c r="X16" s="21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5" t="s">
        <v>295</v>
      </c>
      <c r="C18" s="10"/>
      <c r="D18" s="20">
        <f>SUM(OSRRefD22x_0)</f>
        <v>0.28000000000000003</v>
      </c>
      <c r="E18" s="20"/>
      <c r="F18" s="33">
        <f t="shared" ref="F18:F20" si="0">IF(D$12=0,0,D18/D$12)</f>
        <v>0</v>
      </c>
      <c r="G18" s="20"/>
      <c r="H18" s="20">
        <f>SUM(OSRRefH22x_0)</f>
        <v>0</v>
      </c>
      <c r="I18" s="20"/>
      <c r="J18" s="33">
        <f t="shared" ref="J18:J20" si="1">IF(H$12=0,0,H18/H$12)</f>
        <v>0</v>
      </c>
      <c r="K18" s="4"/>
      <c r="L18" s="20">
        <f t="shared" ref="L18:L20" si="2">+D18-H18</f>
        <v>0.28000000000000003</v>
      </c>
      <c r="M18" s="4"/>
      <c r="N18" s="33">
        <f t="shared" ref="N18:N20" si="3">IF(H18=0,0,L18/H18)</f>
        <v>0</v>
      </c>
      <c r="O18" s="10"/>
      <c r="P18" s="20">
        <f>SUM(OSRRefP22x_0)</f>
        <v>0.28000000000000003</v>
      </c>
      <c r="Q18" s="20"/>
      <c r="R18" s="33">
        <f t="shared" ref="R18:R20" si="4">IF(P$12=0,0,P18/P$12)</f>
        <v>0</v>
      </c>
      <c r="S18" s="20"/>
      <c r="T18" s="20">
        <f>SUM(OSRRefT22x_0)</f>
        <v>0</v>
      </c>
      <c r="U18" s="20"/>
      <c r="V18" s="33">
        <f t="shared" ref="V18:V20" si="5">IF(T$12=0,0,T18/T$12)</f>
        <v>0</v>
      </c>
      <c r="W18" s="4"/>
      <c r="X18" s="20">
        <f t="shared" ref="X18:X20" si="6">+P18-T18</f>
        <v>0.28000000000000003</v>
      </c>
      <c r="Y18" s="4"/>
      <c r="Z18" s="33">
        <f t="shared" ref="Z18:Z20" si="7">IF(T18=0,0,X18/T18)</f>
        <v>0</v>
      </c>
    </row>
    <row r="19" spans="1:26" s="28" customFormat="1" outlineLevel="1" collapsed="1" x14ac:dyDescent="0.3">
      <c r="A19" s="29"/>
      <c r="B19" s="14" t="str">
        <f>CONCATENATE("     ","Bank/card Fees                                    ")</f>
        <v xml:space="preserve">     Bank/card Fees                                    </v>
      </c>
      <c r="C19" s="14"/>
      <c r="D19" s="1">
        <f>SUM(OSRRefD22_0x_0)</f>
        <v>0.28000000000000003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0.28000000000000003</v>
      </c>
      <c r="M19" s="1"/>
      <c r="N19" s="5">
        <f t="shared" si="3"/>
        <v>0</v>
      </c>
      <c r="O19" s="14"/>
      <c r="P19" s="1">
        <f>SUM(OSRRefP22_0x_0)</f>
        <v>0.28000000000000003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0.28000000000000003</v>
      </c>
      <c r="Y19" s="1"/>
      <c r="Z19" s="5">
        <f t="shared" si="7"/>
        <v>0</v>
      </c>
    </row>
    <row r="20" spans="1:26" s="24" customFormat="1" hidden="1" outlineLevel="2" x14ac:dyDescent="0.3">
      <c r="A20" s="27"/>
      <c r="B20" s="11" t="str">
        <f>CONCATENATE("          ", "6381", " - ", "BANK/CREDIT CARD FEES")</f>
        <v xml:space="preserve">          6381 - BANK/CREDIT CARD FEES</v>
      </c>
      <c r="C20" s="11"/>
      <c r="D20" s="7">
        <v>0.28000000000000003</v>
      </c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0.28000000000000003</v>
      </c>
      <c r="M20" s="2"/>
      <c r="N20" s="6">
        <f t="shared" si="3"/>
        <v>0</v>
      </c>
      <c r="O20" s="11"/>
      <c r="P20" s="7">
        <v>0.28000000000000003</v>
      </c>
      <c r="Q20" s="2"/>
      <c r="R20" s="6">
        <f t="shared" si="4"/>
        <v>0</v>
      </c>
      <c r="S20" s="2"/>
      <c r="T20" s="7"/>
      <c r="U20" s="2"/>
      <c r="V20" s="6">
        <f t="shared" si="5"/>
        <v>0</v>
      </c>
      <c r="W20" s="2"/>
      <c r="X20" s="7">
        <f t="shared" si="6"/>
        <v>0.28000000000000003</v>
      </c>
      <c r="Y20" s="2"/>
      <c r="Z20" s="6">
        <f t="shared" si="7"/>
        <v>0</v>
      </c>
    </row>
    <row r="21" spans="1:26" s="55" customFormat="1" x14ac:dyDescent="0.3">
      <c r="A21" s="36"/>
      <c r="B21" s="36"/>
      <c r="C21" s="36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5" t="s">
        <v>293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3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">
      <c r="A24" s="10"/>
      <c r="B24" s="26" t="s">
        <v>277</v>
      </c>
      <c r="C24" s="26"/>
      <c r="D24" s="21">
        <f>+D16-D18+D22</f>
        <v>-0.28000000000000003</v>
      </c>
      <c r="E24" s="13"/>
      <c r="F24" s="22">
        <f>IF(D$12=0,0,D24/D$12)</f>
        <v>0</v>
      </c>
      <c r="G24" s="13"/>
      <c r="H24" s="21">
        <f>+H16-H18+H22</f>
        <v>0</v>
      </c>
      <c r="I24" s="13"/>
      <c r="J24" s="22">
        <f>IF(H$12=0,0,H24/H$12)</f>
        <v>0</v>
      </c>
      <c r="K24" s="15"/>
      <c r="L24" s="21">
        <f>+D24-H24</f>
        <v>-0.28000000000000003</v>
      </c>
      <c r="M24" s="15"/>
      <c r="N24" s="22">
        <f>IF(H24=0,0,L24/H24)</f>
        <v>0</v>
      </c>
      <c r="O24" s="25"/>
      <c r="P24" s="21">
        <f>+P16-P18+P22</f>
        <v>-0.28000000000000003</v>
      </c>
      <c r="Q24" s="13"/>
      <c r="R24" s="22">
        <f>IF(P$12=0,0,P24/P$12)</f>
        <v>0</v>
      </c>
      <c r="S24" s="13"/>
      <c r="T24" s="21">
        <f>+T16-T18+T22</f>
        <v>0</v>
      </c>
      <c r="U24" s="13"/>
      <c r="V24" s="22">
        <f>IF(T$12=0,0,T24/T$12)</f>
        <v>0</v>
      </c>
      <c r="W24" s="15"/>
      <c r="X24" s="21">
        <f>+P24-T24</f>
        <v>-0.28000000000000003</v>
      </c>
      <c r="Y24" s="15"/>
      <c r="Z24" s="22">
        <f>IF(T24=0,0,X24/T24)</f>
        <v>0</v>
      </c>
    </row>
    <row r="25" spans="1:26" x14ac:dyDescent="0.3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3">
      <c r="A26" s="52"/>
      <c r="B26" s="10" t="s">
        <v>128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3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" thickBot="1" x14ac:dyDescent="0.35">
      <c r="A28" s="10"/>
      <c r="B28" s="26" t="s">
        <v>126</v>
      </c>
      <c r="C28" s="26"/>
      <c r="D28" s="32">
        <f>+D24-D26</f>
        <v>-0.28000000000000003</v>
      </c>
      <c r="E28" s="13"/>
      <c r="F28" s="31">
        <f>IF(D$12=0,0,D28/D$12)</f>
        <v>0</v>
      </c>
      <c r="G28" s="13"/>
      <c r="H28" s="32">
        <f>+H24-H26</f>
        <v>0</v>
      </c>
      <c r="I28" s="13"/>
      <c r="J28" s="31">
        <f>IF(H$12=0,0,H28/H$12)</f>
        <v>0</v>
      </c>
      <c r="K28" s="15"/>
      <c r="L28" s="32">
        <f>D28-H28</f>
        <v>-0.28000000000000003</v>
      </c>
      <c r="M28" s="15"/>
      <c r="N28" s="31">
        <f>IF(H28=0,0,L28/H28)</f>
        <v>0</v>
      </c>
      <c r="O28" s="25"/>
      <c r="P28" s="32">
        <f>+P24-P26</f>
        <v>-0.28000000000000003</v>
      </c>
      <c r="Q28" s="13"/>
      <c r="R28" s="31">
        <f>IF(P$12=0,0,P28/P$12)</f>
        <v>0</v>
      </c>
      <c r="S28" s="13"/>
      <c r="T28" s="32">
        <f>+T24-T26</f>
        <v>0</v>
      </c>
      <c r="U28" s="13"/>
      <c r="V28" s="31">
        <f>IF(T$12=0,0,T28/T$12)</f>
        <v>0</v>
      </c>
      <c r="W28" s="15"/>
      <c r="X28" s="32">
        <f>P28-T28</f>
        <v>-0.28000000000000003</v>
      </c>
      <c r="Y28" s="15"/>
      <c r="Z28" s="31">
        <f>IF(T28=0,0,X28/T28)</f>
        <v>0</v>
      </c>
    </row>
    <row r="29" spans="1:26" ht="15" thickTop="1" x14ac:dyDescent="0.3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3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294</v>
      </c>
      <c r="C31" s="26"/>
      <c r="D31" s="34">
        <f>SUM(D28:D30)</f>
        <v>-0.28000000000000003</v>
      </c>
      <c r="E31" s="13"/>
      <c r="F31" s="35">
        <f>IF(D$12=0,0,D31/D$12)</f>
        <v>0</v>
      </c>
      <c r="G31" s="13"/>
      <c r="H31" s="34">
        <f>SUM(H28:H30)</f>
        <v>0</v>
      </c>
      <c r="I31" s="13"/>
      <c r="J31" s="35">
        <f>IF(H$12=0,0,H31/H$12)</f>
        <v>0</v>
      </c>
      <c r="K31" s="15"/>
      <c r="L31" s="34">
        <f>+D31-H31</f>
        <v>-0.28000000000000003</v>
      </c>
      <c r="M31" s="15"/>
      <c r="N31" s="35">
        <f>IF(H31=0,0,L31/H31)</f>
        <v>0</v>
      </c>
      <c r="O31" s="25"/>
      <c r="P31" s="34">
        <f>SUM(P28:P30)</f>
        <v>-0.28000000000000003</v>
      </c>
      <c r="Q31" s="13"/>
      <c r="R31" s="35">
        <f>IF(P$12=0,0,P31/P$12)</f>
        <v>0</v>
      </c>
      <c r="S31" s="13"/>
      <c r="T31" s="34">
        <f>SUM(T28:T30)</f>
        <v>0</v>
      </c>
      <c r="U31" s="13"/>
      <c r="V31" s="35">
        <f>IF(T$12=0,0,T31/T$12)</f>
        <v>0</v>
      </c>
      <c r="W31" s="15"/>
      <c r="X31" s="34">
        <f>+P31-T31</f>
        <v>-0.28000000000000003</v>
      </c>
      <c r="Y31" s="15"/>
      <c r="Z31" s="35">
        <f>IF(T31=0,0,X31/T31)</f>
        <v>0</v>
      </c>
    </row>
    <row r="32" spans="1:26" ht="15" thickTop="1" x14ac:dyDescent="0.3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3">
      <c r="A33" s="9"/>
      <c r="B33" s="53">
        <v>44604.019995405091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3">
      <c r="A34" s="9"/>
      <c r="B34" s="63" t="s">
        <v>56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3">
      <c r="A35" s="9"/>
      <c r="B35" s="58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3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","444", " - ", "Parkside Dining Hall")</f>
        <v>Department 444 - Parkside Dining Hall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310868.02999999997</v>
      </c>
      <c r="E12" s="4"/>
      <c r="F12" s="12"/>
      <c r="G12" s="4"/>
      <c r="H12" s="4">
        <f>SUM(OSRRefH13x_0)</f>
        <v>217800</v>
      </c>
      <c r="I12" s="4"/>
      <c r="J12" s="12"/>
      <c r="K12" s="4"/>
      <c r="L12" s="4">
        <f t="shared" ref="L12:L16" si="0">+D12-H12</f>
        <v>93068.02999999997</v>
      </c>
      <c r="M12" s="4"/>
      <c r="N12" s="12">
        <f t="shared" ref="N12:N16" si="1">IF(H12=0,0,L12/H12)</f>
        <v>0.42730959595959583</v>
      </c>
      <c r="O12" s="10"/>
      <c r="P12" s="4">
        <f>SUM(OSRRefP13x_0)</f>
        <v>3171505.43</v>
      </c>
      <c r="Q12" s="4"/>
      <c r="R12" s="12"/>
      <c r="S12" s="4"/>
      <c r="T12" s="4">
        <f>SUM(OSRRefT13x_0)</f>
        <v>2435400</v>
      </c>
      <c r="U12" s="4"/>
      <c r="V12" s="12"/>
      <c r="W12" s="4"/>
      <c r="X12" s="4">
        <f t="shared" ref="X12:X16" si="2">+P12-T12</f>
        <v>736105.43000000017</v>
      </c>
      <c r="Y12" s="4"/>
      <c r="Z12" s="12">
        <f t="shared" ref="Z12:Z16" si="3">IF(T12=0,0,X12/T12)</f>
        <v>0.30225237332676363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--58.73</f>
        <v>58.73</v>
      </c>
      <c r="E13" s="2"/>
      <c r="F13" s="19"/>
      <c r="G13" s="2"/>
      <c r="H13" s="2"/>
      <c r="I13" s="2"/>
      <c r="J13" s="19"/>
      <c r="K13" s="2"/>
      <c r="L13" s="2">
        <f t="shared" si="0"/>
        <v>58.73</v>
      </c>
      <c r="M13" s="2"/>
      <c r="N13" s="19">
        <f t="shared" si="1"/>
        <v>0</v>
      </c>
      <c r="O13" s="11"/>
      <c r="P13" s="2">
        <f>--635.49</f>
        <v>635.49</v>
      </c>
      <c r="Q13" s="2"/>
      <c r="R13" s="19"/>
      <c r="S13" s="2"/>
      <c r="T13" s="2"/>
      <c r="U13" s="2"/>
      <c r="V13" s="19"/>
      <c r="W13" s="2"/>
      <c r="X13" s="2">
        <f t="shared" si="2"/>
        <v>635.49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217800</v>
      </c>
      <c r="I14" s="2"/>
      <c r="J14" s="19"/>
      <c r="K14" s="2"/>
      <c r="L14" s="2">
        <f t="shared" si="0"/>
        <v>-217800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2435400</v>
      </c>
      <c r="U14" s="2"/>
      <c r="V14" s="19"/>
      <c r="W14" s="2"/>
      <c r="X14" s="2">
        <f t="shared" si="2"/>
        <v>-2435400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--309702.33</f>
        <v>309702.33</v>
      </c>
      <c r="E15" s="2"/>
      <c r="F15" s="19"/>
      <c r="G15" s="2"/>
      <c r="H15" s="2"/>
      <c r="I15" s="2"/>
      <c r="J15" s="19"/>
      <c r="K15" s="2"/>
      <c r="L15" s="2">
        <f t="shared" si="0"/>
        <v>309702.33</v>
      </c>
      <c r="M15" s="2"/>
      <c r="N15" s="19">
        <f t="shared" si="1"/>
        <v>0</v>
      </c>
      <c r="O15" s="11"/>
      <c r="P15" s="2">
        <f>--3156072.18</f>
        <v>3156072.18</v>
      </c>
      <c r="Q15" s="2"/>
      <c r="R15" s="19"/>
      <c r="S15" s="2"/>
      <c r="T15" s="2"/>
      <c r="U15" s="2"/>
      <c r="V15" s="19"/>
      <c r="W15" s="2"/>
      <c r="X15" s="2">
        <f t="shared" si="2"/>
        <v>3156072.18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--1106.97</f>
        <v>1106.97</v>
      </c>
      <c r="E16" s="2"/>
      <c r="F16" s="19"/>
      <c r="G16" s="2"/>
      <c r="H16" s="2"/>
      <c r="I16" s="2"/>
      <c r="J16" s="19"/>
      <c r="K16" s="2"/>
      <c r="L16" s="2">
        <f t="shared" si="0"/>
        <v>1106.97</v>
      </c>
      <c r="M16" s="2"/>
      <c r="N16" s="19">
        <f t="shared" si="1"/>
        <v>0</v>
      </c>
      <c r="O16" s="11"/>
      <c r="P16" s="2">
        <f>--14797.76</f>
        <v>14797.76</v>
      </c>
      <c r="Q16" s="2"/>
      <c r="R16" s="19"/>
      <c r="S16" s="2"/>
      <c r="T16" s="2"/>
      <c r="U16" s="2"/>
      <c r="V16" s="19"/>
      <c r="W16" s="2"/>
      <c r="X16" s="2">
        <f t="shared" si="2"/>
        <v>14797.76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40781.550000000003</v>
      </c>
      <c r="E18" s="4"/>
      <c r="F18" s="12">
        <f t="shared" ref="F18:F21" si="4">IF(D$12=0,0,D18/D$12)</f>
        <v>0.13118605345168496</v>
      </c>
      <c r="G18" s="4"/>
      <c r="H18" s="4">
        <f>SUM(OSRRefH16x_0)</f>
        <v>60984</v>
      </c>
      <c r="I18" s="4"/>
      <c r="J18" s="12">
        <f t="shared" ref="J18:J21" si="5">IF(H$12=0,0,H18/H$12)</f>
        <v>0.28000000000000003</v>
      </c>
      <c r="K18" s="4"/>
      <c r="L18" s="4">
        <f t="shared" ref="L18:L21" si="6">+D18-H18</f>
        <v>-20202.449999999997</v>
      </c>
      <c r="M18" s="4"/>
      <c r="N18" s="12">
        <f t="shared" ref="N18:N21" si="7">IF(H18=0,0,L18/H18)</f>
        <v>-0.33127459661550568</v>
      </c>
      <c r="O18" s="10"/>
      <c r="P18" s="4">
        <f>SUM(OSRRefP16x_0)</f>
        <v>773816.23</v>
      </c>
      <c r="Q18" s="4"/>
      <c r="R18" s="12">
        <f t="shared" ref="R18:R21" si="8">IF(P$12=0,0,P18/P$12)</f>
        <v>0.24399019553310364</v>
      </c>
      <c r="S18" s="4"/>
      <c r="T18" s="4">
        <f>SUM(OSRRefT16x_0)</f>
        <v>688248</v>
      </c>
      <c r="U18" s="4"/>
      <c r="V18" s="12">
        <f t="shared" ref="V18:V21" si="9">IF(T$12=0,0,T18/T$12)</f>
        <v>0.28260162601626015</v>
      </c>
      <c r="W18" s="4"/>
      <c r="X18" s="4">
        <f t="shared" ref="X18:X21" si="10">+P18-T18</f>
        <v>85568.229999999981</v>
      </c>
      <c r="Y18" s="4"/>
      <c r="Z18" s="12">
        <f t="shared" ref="Z18:Z21" si="11">IF(T18=0,0,X18/T18)</f>
        <v>0.12432761155862419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60984</v>
      </c>
      <c r="I19" s="2"/>
      <c r="J19" s="19">
        <f t="shared" si="5"/>
        <v>0.28000000000000003</v>
      </c>
      <c r="K19" s="2"/>
      <c r="L19" s="2">
        <f t="shared" si="6"/>
        <v>-60984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688248</v>
      </c>
      <c r="U19" s="2"/>
      <c r="V19" s="19">
        <f t="shared" si="9"/>
        <v>0.28260162601626015</v>
      </c>
      <c r="W19" s="2"/>
      <c r="X19" s="2">
        <f t="shared" si="10"/>
        <v>-688248</v>
      </c>
      <c r="Y19" s="2"/>
      <c r="Z19" s="19">
        <f t="shared" si="11"/>
        <v>-1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56297.55</v>
      </c>
      <c r="E20" s="2"/>
      <c r="F20" s="19">
        <f t="shared" si="4"/>
        <v>0.18109790833106901</v>
      </c>
      <c r="G20" s="2"/>
      <c r="H20" s="2"/>
      <c r="I20" s="2"/>
      <c r="J20" s="19">
        <f t="shared" si="5"/>
        <v>0</v>
      </c>
      <c r="K20" s="2"/>
      <c r="L20" s="2">
        <f t="shared" si="6"/>
        <v>56297.55</v>
      </c>
      <c r="M20" s="2"/>
      <c r="N20" s="19">
        <f t="shared" si="7"/>
        <v>0</v>
      </c>
      <c r="O20" s="11"/>
      <c r="P20" s="2">
        <v>780710.23</v>
      </c>
      <c r="Q20" s="2"/>
      <c r="R20" s="19">
        <f t="shared" si="8"/>
        <v>0.24616392663719952</v>
      </c>
      <c r="S20" s="2"/>
      <c r="T20" s="2"/>
      <c r="U20" s="2"/>
      <c r="V20" s="19">
        <f t="shared" si="9"/>
        <v>0</v>
      </c>
      <c r="W20" s="2"/>
      <c r="X20" s="2">
        <f t="shared" si="10"/>
        <v>780710.23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-15516</v>
      </c>
      <c r="E21" s="2"/>
      <c r="F21" s="19">
        <f t="shared" si="4"/>
        <v>-4.9911854879384029E-2</v>
      </c>
      <c r="G21" s="2"/>
      <c r="H21" s="2"/>
      <c r="I21" s="2"/>
      <c r="J21" s="19">
        <f t="shared" si="5"/>
        <v>0</v>
      </c>
      <c r="K21" s="2"/>
      <c r="L21" s="2">
        <f t="shared" si="6"/>
        <v>-15516</v>
      </c>
      <c r="M21" s="2"/>
      <c r="N21" s="19">
        <f t="shared" si="7"/>
        <v>0</v>
      </c>
      <c r="O21" s="11"/>
      <c r="P21" s="2">
        <v>-6894</v>
      </c>
      <c r="Q21" s="2"/>
      <c r="R21" s="19">
        <f t="shared" si="8"/>
        <v>-2.1737311040958868E-3</v>
      </c>
      <c r="S21" s="2"/>
      <c r="T21" s="2"/>
      <c r="U21" s="2"/>
      <c r="V21" s="19">
        <f t="shared" si="9"/>
        <v>0</v>
      </c>
      <c r="W21" s="2"/>
      <c r="X21" s="2">
        <f t="shared" si="10"/>
        <v>-6894</v>
      </c>
      <c r="Y21" s="2"/>
      <c r="Z21" s="19">
        <f t="shared" si="11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1">
        <f>D12-D18</f>
        <v>270086.48</v>
      </c>
      <c r="E23" s="13"/>
      <c r="F23" s="22">
        <f>IF(D$12=0,0,D23/D$12)</f>
        <v>0.86881394654831512</v>
      </c>
      <c r="G23" s="13"/>
      <c r="H23" s="21">
        <f>H12-H18</f>
        <v>156816</v>
      </c>
      <c r="I23" s="13"/>
      <c r="J23" s="22">
        <f>IF(H$12=0,0,H23/H$12)</f>
        <v>0.72</v>
      </c>
      <c r="K23" s="15"/>
      <c r="L23" s="21">
        <f>+D23-H23</f>
        <v>113270.47999999998</v>
      </c>
      <c r="M23" s="15"/>
      <c r="N23" s="22">
        <f>IF(H23=0,0,L23/H23)</f>
        <v>0.7223145597388021</v>
      </c>
      <c r="O23" s="25"/>
      <c r="P23" s="21">
        <f>P12-P18</f>
        <v>2397689.2000000002</v>
      </c>
      <c r="Q23" s="13"/>
      <c r="R23" s="22">
        <f>IF(P$12=0,0,P23/P$12)</f>
        <v>0.75600980446689636</v>
      </c>
      <c r="S23" s="13"/>
      <c r="T23" s="21">
        <f>T12-T18</f>
        <v>1747152</v>
      </c>
      <c r="U23" s="13"/>
      <c r="V23" s="22">
        <f>IF(T$12=0,0,T23/T$12)</f>
        <v>0.71739837398373985</v>
      </c>
      <c r="W23" s="15"/>
      <c r="X23" s="21">
        <f>+P23-T23</f>
        <v>650537.20000000019</v>
      </c>
      <c r="Y23" s="15"/>
      <c r="Z23" s="22">
        <f>IF(T23=0,0,X23/T23)</f>
        <v>0.37234150205591737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0">
        <f>SUM(OSRRefD22x_0)</f>
        <v>127504.17000000003</v>
      </c>
      <c r="E25" s="20"/>
      <c r="F25" s="33">
        <f t="shared" ref="F25:F36" si="12">IF(D$12=0,0,D25/D$12)</f>
        <v>0.41015529966204645</v>
      </c>
      <c r="G25" s="20"/>
      <c r="H25" s="20">
        <f>SUM(OSRRefH22x_0)</f>
        <v>190696.89061402495</v>
      </c>
      <c r="I25" s="20"/>
      <c r="J25" s="33">
        <f t="shared" ref="J25:J36" si="13">IF(H$12=0,0,H25/H$12)</f>
        <v>0.87555964469249281</v>
      </c>
      <c r="K25" s="4"/>
      <c r="L25" s="20">
        <f t="shared" ref="L25:L36" si="14">+D25-H25</f>
        <v>-63192.720614024918</v>
      </c>
      <c r="M25" s="4"/>
      <c r="N25" s="33">
        <f t="shared" ref="N25:N36" si="15">IF(H25=0,0,L25/H25)</f>
        <v>-0.33137782378386282</v>
      </c>
      <c r="O25" s="10"/>
      <c r="P25" s="20">
        <f>SUM(OSRRefP22x_0)</f>
        <v>1241415.4700000002</v>
      </c>
      <c r="Q25" s="20"/>
      <c r="R25" s="33">
        <f t="shared" ref="R25:R36" si="16">IF(P$12=0,0,P25/P$12)</f>
        <v>0.39142782423046335</v>
      </c>
      <c r="S25" s="20"/>
      <c r="T25" s="20">
        <f>SUM(OSRRefT22x_0)</f>
        <v>1408429.894606954</v>
      </c>
      <c r="U25" s="20"/>
      <c r="V25" s="33">
        <f t="shared" ref="V25:V36" si="17">IF(T$12=0,0,T25/T$12)</f>
        <v>0.57831563382070872</v>
      </c>
      <c r="W25" s="4"/>
      <c r="X25" s="20">
        <f t="shared" ref="X25:X36" si="18">+P25-T25</f>
        <v>-167014.42460695375</v>
      </c>
      <c r="Y25" s="4"/>
      <c r="Z25" s="33">
        <f t="shared" ref="Z25:Z36" si="19">IF(T25=0,0,X25/T25)</f>
        <v>-0.11858199349962104</v>
      </c>
    </row>
    <row r="26" spans="1:26" s="28" customFormat="1" outlineLevel="1" collapsed="1" x14ac:dyDescent="0.3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26798.07</v>
      </c>
      <c r="E26" s="1"/>
      <c r="F26" s="5">
        <f t="shared" si="12"/>
        <v>8.6204007533357496E-2</v>
      </c>
      <c r="G26" s="1"/>
      <c r="H26" s="1">
        <f>SUM(OSRRefH22_0x_0)</f>
        <v>44231.121325563421</v>
      </c>
      <c r="I26" s="1"/>
      <c r="J26" s="5">
        <f t="shared" si="13"/>
        <v>0.20308136513114519</v>
      </c>
      <c r="K26" s="1"/>
      <c r="L26" s="1">
        <f t="shared" si="14"/>
        <v>-17433.051325563421</v>
      </c>
      <c r="M26" s="1"/>
      <c r="N26" s="5">
        <f t="shared" si="15"/>
        <v>-0.39413541423124565</v>
      </c>
      <c r="O26" s="14"/>
      <c r="P26" s="1">
        <f>SUM(OSRRefP22_0x_0)</f>
        <v>212531.67</v>
      </c>
      <c r="Q26" s="1"/>
      <c r="R26" s="5">
        <f t="shared" si="16"/>
        <v>6.7012866504850985E-2</v>
      </c>
      <c r="S26" s="1"/>
      <c r="T26" s="1">
        <f>SUM(OSRRefT22_0x_0)</f>
        <v>290071.26761849289</v>
      </c>
      <c r="U26" s="1"/>
      <c r="V26" s="5">
        <f t="shared" si="17"/>
        <v>0.11910621155395125</v>
      </c>
      <c r="W26" s="1"/>
      <c r="X26" s="1">
        <f t="shared" si="18"/>
        <v>-77539.597618492873</v>
      </c>
      <c r="Y26" s="1"/>
      <c r="Z26" s="5">
        <f t="shared" si="19"/>
        <v>-0.26731223073246396</v>
      </c>
    </row>
    <row r="27" spans="1:26" s="24" customFormat="1" hidden="1" outlineLevel="2" x14ac:dyDescent="0.3">
      <c r="A27" s="27"/>
      <c r="B27" s="11" t="str">
        <f>CONCATENATE("          ", "6111", " - ", "F.I.C.A.")</f>
        <v xml:space="preserve">          6111 - F.I.C.A.</v>
      </c>
      <c r="C27" s="11"/>
      <c r="D27" s="7">
        <v>3152.36</v>
      </c>
      <c r="E27" s="2"/>
      <c r="F27" s="6">
        <f t="shared" si="12"/>
        <v>1.014050881977153E-2</v>
      </c>
      <c r="G27" s="2"/>
      <c r="H27" s="7">
        <v>4391.0983236403799</v>
      </c>
      <c r="I27" s="2"/>
      <c r="J27" s="6">
        <f t="shared" si="13"/>
        <v>2.0161149328009092E-2</v>
      </c>
      <c r="K27" s="2"/>
      <c r="L27" s="7">
        <f t="shared" si="14"/>
        <v>-1238.7383236403798</v>
      </c>
      <c r="M27" s="2"/>
      <c r="N27" s="6">
        <f t="shared" si="15"/>
        <v>-0.28210216040287178</v>
      </c>
      <c r="O27" s="11"/>
      <c r="P27" s="7">
        <v>32461.15</v>
      </c>
      <c r="Q27" s="2"/>
      <c r="R27" s="6">
        <f t="shared" si="16"/>
        <v>1.0235249699698606E-2</v>
      </c>
      <c r="S27" s="2"/>
      <c r="T27" s="7">
        <v>29612.545606570398</v>
      </c>
      <c r="U27" s="2"/>
      <c r="V27" s="6">
        <f t="shared" si="17"/>
        <v>1.215921228815406E-2</v>
      </c>
      <c r="W27" s="2"/>
      <c r="X27" s="7">
        <f t="shared" si="18"/>
        <v>2848.6043934296031</v>
      </c>
      <c r="Y27" s="2"/>
      <c r="Z27" s="6">
        <f t="shared" si="19"/>
        <v>9.6195863445037902E-2</v>
      </c>
    </row>
    <row r="28" spans="1:26" s="24" customFormat="1" hidden="1" outlineLevel="2" x14ac:dyDescent="0.3">
      <c r="A28" s="27"/>
      <c r="B28" s="11" t="str">
        <f>CONCATENATE("          ", "6112", " - ", "COMPENSATION INSURANCE")</f>
        <v xml:space="preserve">          6112 - COMPENSATION INSURANCE</v>
      </c>
      <c r="C28" s="11"/>
      <c r="D28" s="7">
        <v>1773.5</v>
      </c>
      <c r="E28" s="2"/>
      <c r="F28" s="6">
        <f t="shared" si="12"/>
        <v>5.7049932088545745E-3</v>
      </c>
      <c r="G28" s="2"/>
      <c r="H28" s="7">
        <v>3950.2365426730798</v>
      </c>
      <c r="I28" s="2"/>
      <c r="J28" s="6">
        <f t="shared" si="13"/>
        <v>1.8136990554054544E-2</v>
      </c>
      <c r="K28" s="2"/>
      <c r="L28" s="7">
        <f t="shared" si="14"/>
        <v>-2176.7365426730798</v>
      </c>
      <c r="M28" s="2"/>
      <c r="N28" s="6">
        <f t="shared" si="15"/>
        <v>-0.55103954387503773</v>
      </c>
      <c r="O28" s="11"/>
      <c r="P28" s="7">
        <v>19830.740000000002</v>
      </c>
      <c r="Q28" s="2"/>
      <c r="R28" s="6">
        <f t="shared" si="16"/>
        <v>6.2527845017752342E-3</v>
      </c>
      <c r="S28" s="2"/>
      <c r="T28" s="7">
        <v>29046.493982573102</v>
      </c>
      <c r="U28" s="2"/>
      <c r="V28" s="6">
        <f t="shared" si="17"/>
        <v>1.1926785736459351E-2</v>
      </c>
      <c r="W28" s="2"/>
      <c r="X28" s="7">
        <f t="shared" si="18"/>
        <v>-9215.7539825731001</v>
      </c>
      <c r="Y28" s="2"/>
      <c r="Z28" s="6">
        <f t="shared" si="19"/>
        <v>-0.31727595034713091</v>
      </c>
    </row>
    <row r="29" spans="1:26" s="24" customFormat="1" hidden="1" outlineLevel="2" x14ac:dyDescent="0.3">
      <c r="A29" s="27"/>
      <c r="B29" s="11" t="str">
        <f>CONCATENATE("          ", "6113", " - ", "GROUP INSURANCE")</f>
        <v xml:space="preserve">          6113 - GROUP INSURANCE</v>
      </c>
      <c r="C29" s="11"/>
      <c r="D29" s="7">
        <v>12270.9</v>
      </c>
      <c r="E29" s="2"/>
      <c r="F29" s="6">
        <f t="shared" si="12"/>
        <v>3.9473020110816805E-2</v>
      </c>
      <c r="G29" s="2"/>
      <c r="H29" s="7">
        <v>25460.461538461499</v>
      </c>
      <c r="I29" s="2"/>
      <c r="J29" s="6">
        <f t="shared" si="13"/>
        <v>0.11689835417108126</v>
      </c>
      <c r="K29" s="2"/>
      <c r="L29" s="7">
        <f t="shared" si="14"/>
        <v>-13189.561538461499</v>
      </c>
      <c r="M29" s="2"/>
      <c r="N29" s="6">
        <f t="shared" si="15"/>
        <v>-0.51804094432997094</v>
      </c>
      <c r="O29" s="11"/>
      <c r="P29" s="7">
        <v>104117.45</v>
      </c>
      <c r="Q29" s="2"/>
      <c r="R29" s="6">
        <f t="shared" si="16"/>
        <v>3.2829030975362383E-2</v>
      </c>
      <c r="S29" s="2"/>
      <c r="T29" s="7">
        <v>161072.46153846101</v>
      </c>
      <c r="U29" s="2"/>
      <c r="V29" s="6">
        <f t="shared" si="17"/>
        <v>6.6137990284331524E-2</v>
      </c>
      <c r="W29" s="2"/>
      <c r="X29" s="7">
        <f t="shared" si="18"/>
        <v>-56955.011538461011</v>
      </c>
      <c r="Y29" s="2"/>
      <c r="Z29" s="6">
        <f t="shared" si="19"/>
        <v>-0.35359869089019447</v>
      </c>
    </row>
    <row r="30" spans="1:26" s="24" customFormat="1" hidden="1" outlineLevel="2" x14ac:dyDescent="0.3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7">
        <v>128.09</v>
      </c>
      <c r="E30" s="2"/>
      <c r="F30" s="6">
        <f t="shared" si="12"/>
        <v>4.1203979708045248E-4</v>
      </c>
      <c r="G30" s="2"/>
      <c r="H30" s="7">
        <v>218.878541942308</v>
      </c>
      <c r="I30" s="2"/>
      <c r="J30" s="6">
        <f t="shared" si="13"/>
        <v>1.0049519832061892E-3</v>
      </c>
      <c r="K30" s="2"/>
      <c r="L30" s="7">
        <f t="shared" si="14"/>
        <v>-90.788541942308001</v>
      </c>
      <c r="M30" s="2"/>
      <c r="N30" s="6">
        <f t="shared" si="15"/>
        <v>-0.41478959580349378</v>
      </c>
      <c r="O30" s="11"/>
      <c r="P30" s="7">
        <v>1432.21</v>
      </c>
      <c r="Q30" s="2"/>
      <c r="R30" s="6">
        <f t="shared" si="16"/>
        <v>4.5158680368395269E-4</v>
      </c>
      <c r="S30" s="2"/>
      <c r="T30" s="7">
        <v>1609.4363420423099</v>
      </c>
      <c r="U30" s="2"/>
      <c r="V30" s="6">
        <f t="shared" si="17"/>
        <v>6.6085092471146825E-4</v>
      </c>
      <c r="W30" s="2"/>
      <c r="X30" s="7">
        <f t="shared" si="18"/>
        <v>-177.22634204230985</v>
      </c>
      <c r="Y30" s="2"/>
      <c r="Z30" s="6">
        <f t="shared" si="19"/>
        <v>-0.11011702508060478</v>
      </c>
    </row>
    <row r="31" spans="1:26" s="24" customFormat="1" hidden="1" outlineLevel="2" x14ac:dyDescent="0.3">
      <c r="A31" s="27"/>
      <c r="B31" s="11" t="str">
        <f>CONCATENATE("          ", "6115", " - ", "P.E.R.S.")</f>
        <v xml:space="preserve">          6115 - P.E.R.S.</v>
      </c>
      <c r="C31" s="11"/>
      <c r="D31" s="7">
        <v>1163.51</v>
      </c>
      <c r="E31" s="2"/>
      <c r="F31" s="6">
        <f t="shared" si="12"/>
        <v>3.7427779241242663E-3</v>
      </c>
      <c r="G31" s="2"/>
      <c r="H31" s="7">
        <v>1758.3385519230801</v>
      </c>
      <c r="I31" s="2"/>
      <c r="J31" s="6">
        <f t="shared" si="13"/>
        <v>8.0731797608956848E-3</v>
      </c>
      <c r="K31" s="2"/>
      <c r="L31" s="7">
        <f t="shared" si="14"/>
        <v>-594.82855192308011</v>
      </c>
      <c r="M31" s="2"/>
      <c r="N31" s="6">
        <f t="shared" si="15"/>
        <v>-0.33829011555966915</v>
      </c>
      <c r="O31" s="11"/>
      <c r="P31" s="7">
        <v>10543.07</v>
      </c>
      <c r="Q31" s="2"/>
      <c r="R31" s="6">
        <f t="shared" si="16"/>
        <v>3.3243108778155234E-3</v>
      </c>
      <c r="S31" s="2"/>
      <c r="T31" s="7">
        <v>10901.699021923099</v>
      </c>
      <c r="U31" s="2"/>
      <c r="V31" s="6">
        <f t="shared" si="17"/>
        <v>4.4763484527893154E-3</v>
      </c>
      <c r="W31" s="2"/>
      <c r="X31" s="7">
        <f t="shared" si="18"/>
        <v>-358.62902192309957</v>
      </c>
      <c r="Y31" s="2"/>
      <c r="Z31" s="6">
        <f t="shared" si="19"/>
        <v>-3.2896617417331353E-2</v>
      </c>
    </row>
    <row r="32" spans="1:26" s="24" customFormat="1" hidden="1" outlineLevel="2" x14ac:dyDescent="0.3">
      <c r="A32" s="27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3">
      <c r="A33" s="27"/>
      <c r="B33" s="11" t="str">
        <f>CONCATENATE("          ", "6117", " - ", "RETIREMENT STAFF HOURLY")</f>
        <v xml:space="preserve">          6117 - RETIREMENT STAFF HOURLY</v>
      </c>
      <c r="C33" s="11"/>
      <c r="D33" s="7">
        <v>724.14</v>
      </c>
      <c r="E33" s="2"/>
      <c r="F33" s="6">
        <f t="shared" si="12"/>
        <v>2.3294129023174242E-3</v>
      </c>
      <c r="G33" s="2"/>
      <c r="H33" s="7"/>
      <c r="I33" s="2"/>
      <c r="J33" s="6">
        <f t="shared" si="13"/>
        <v>0</v>
      </c>
      <c r="K33" s="2"/>
      <c r="L33" s="7">
        <f t="shared" si="14"/>
        <v>724.14</v>
      </c>
      <c r="M33" s="2"/>
      <c r="N33" s="6">
        <f t="shared" si="15"/>
        <v>0</v>
      </c>
      <c r="O33" s="11"/>
      <c r="P33" s="7">
        <v>3302.17</v>
      </c>
      <c r="Q33" s="2"/>
      <c r="R33" s="6">
        <f t="shared" si="16"/>
        <v>1.0411995416321894E-3</v>
      </c>
      <c r="S33" s="2"/>
      <c r="T33" s="7"/>
      <c r="U33" s="2"/>
      <c r="V33" s="6">
        <f t="shared" si="17"/>
        <v>0</v>
      </c>
      <c r="W33" s="2"/>
      <c r="X33" s="7">
        <f t="shared" si="18"/>
        <v>3302.17</v>
      </c>
      <c r="Y33" s="2"/>
      <c r="Z33" s="6">
        <f t="shared" si="19"/>
        <v>0</v>
      </c>
    </row>
    <row r="34" spans="1:26" s="24" customFormat="1" hidden="1" outlineLevel="2" x14ac:dyDescent="0.3">
      <c r="A34" s="27"/>
      <c r="B34" s="11" t="str">
        <f>CONCATENATE("          ", "6118", " - ", "VACATION")</f>
        <v xml:space="preserve">          6118 - VACATION</v>
      </c>
      <c r="C34" s="11"/>
      <c r="D34" s="7">
        <v>4206.37</v>
      </c>
      <c r="E34" s="2"/>
      <c r="F34" s="6">
        <f t="shared" si="12"/>
        <v>1.3531047242136801E-2</v>
      </c>
      <c r="G34" s="2"/>
      <c r="H34" s="7">
        <v>2459.9579134615401</v>
      </c>
      <c r="I34" s="2"/>
      <c r="J34" s="6">
        <f t="shared" si="13"/>
        <v>1.1294572605424885E-2</v>
      </c>
      <c r="K34" s="2"/>
      <c r="L34" s="7">
        <f t="shared" si="14"/>
        <v>1746.4120865384598</v>
      </c>
      <c r="M34" s="2"/>
      <c r="N34" s="6">
        <f t="shared" si="15"/>
        <v>0.7099357582427045</v>
      </c>
      <c r="O34" s="11"/>
      <c r="P34" s="7">
        <v>20155.11</v>
      </c>
      <c r="Q34" s="2"/>
      <c r="R34" s="6">
        <f t="shared" si="16"/>
        <v>6.355060851968965E-3</v>
      </c>
      <c r="S34" s="2"/>
      <c r="T34" s="7">
        <v>15251.7390634615</v>
      </c>
      <c r="U34" s="2"/>
      <c r="V34" s="6">
        <f t="shared" si="17"/>
        <v>6.2625191194306895E-3</v>
      </c>
      <c r="W34" s="2"/>
      <c r="X34" s="7">
        <f t="shared" si="18"/>
        <v>4903.3709365385002</v>
      </c>
      <c r="Y34" s="2"/>
      <c r="Z34" s="6">
        <f t="shared" si="19"/>
        <v>0.32149585802221575</v>
      </c>
    </row>
    <row r="35" spans="1:26" s="24" customFormat="1" hidden="1" outlineLevel="2" x14ac:dyDescent="0.3">
      <c r="A35" s="27"/>
      <c r="B35" s="11" t="str">
        <f>CONCATENATE("          ", "6119", " - ", "SICK LEAVE")</f>
        <v xml:space="preserve">          6119 - SICK LEAVE</v>
      </c>
      <c r="C35" s="11"/>
      <c r="D35" s="7">
        <v>2761.95</v>
      </c>
      <c r="E35" s="2"/>
      <c r="F35" s="6">
        <f t="shared" si="12"/>
        <v>8.8846382820388457E-3</v>
      </c>
      <c r="G35" s="2"/>
      <c r="H35" s="7">
        <v>3717.1499134615401</v>
      </c>
      <c r="I35" s="2"/>
      <c r="J35" s="6">
        <f t="shared" si="13"/>
        <v>1.7066804010383563E-2</v>
      </c>
      <c r="K35" s="2"/>
      <c r="L35" s="7">
        <f t="shared" si="14"/>
        <v>-955.19991346154029</v>
      </c>
      <c r="M35" s="2"/>
      <c r="N35" s="6">
        <f t="shared" si="15"/>
        <v>-0.25697104924456077</v>
      </c>
      <c r="O35" s="11"/>
      <c r="P35" s="7">
        <v>13832.25</v>
      </c>
      <c r="Q35" s="2"/>
      <c r="R35" s="6">
        <f t="shared" si="16"/>
        <v>4.3614145727633195E-3</v>
      </c>
      <c r="S35" s="2"/>
      <c r="T35" s="7">
        <v>26651.892063461499</v>
      </c>
      <c r="U35" s="2"/>
      <c r="V35" s="6">
        <f t="shared" si="17"/>
        <v>1.0943537843254291E-2</v>
      </c>
      <c r="W35" s="2"/>
      <c r="X35" s="7">
        <f t="shared" si="18"/>
        <v>-12819.642063461499</v>
      </c>
      <c r="Y35" s="2"/>
      <c r="Z35" s="6">
        <f t="shared" si="19"/>
        <v>-0.48100307598936398</v>
      </c>
    </row>
    <row r="36" spans="1:26" s="24" customFormat="1" hidden="1" outlineLevel="2" x14ac:dyDescent="0.3">
      <c r="A36" s="27"/>
      <c r="B36" s="11" t="str">
        <f>CONCATENATE("          ", "6156", " - ", "EMPLOYEE MEALS")</f>
        <v xml:space="preserve">          6156 - EMPLOYEE MEALS</v>
      </c>
      <c r="C36" s="11"/>
      <c r="D36" s="7">
        <v>617.25</v>
      </c>
      <c r="E36" s="2"/>
      <c r="F36" s="6">
        <f t="shared" si="12"/>
        <v>1.9855692462167952E-3</v>
      </c>
      <c r="G36" s="2"/>
      <c r="H36" s="7">
        <v>2275</v>
      </c>
      <c r="I36" s="2"/>
      <c r="J36" s="6">
        <f t="shared" si="13"/>
        <v>1.044536271808999E-2</v>
      </c>
      <c r="K36" s="2"/>
      <c r="L36" s="7">
        <f t="shared" si="14"/>
        <v>-1657.75</v>
      </c>
      <c r="M36" s="2"/>
      <c r="N36" s="6">
        <f t="shared" si="15"/>
        <v>-0.72868131868131869</v>
      </c>
      <c r="O36" s="11"/>
      <c r="P36" s="7">
        <v>6857.52</v>
      </c>
      <c r="Q36" s="2"/>
      <c r="R36" s="6">
        <f t="shared" si="16"/>
        <v>2.1622286801508015E-3</v>
      </c>
      <c r="S36" s="2"/>
      <c r="T36" s="7">
        <v>15925</v>
      </c>
      <c r="U36" s="2"/>
      <c r="V36" s="6">
        <f t="shared" si="17"/>
        <v>6.5389669048205633E-3</v>
      </c>
      <c r="W36" s="2"/>
      <c r="X36" s="7">
        <f t="shared" si="18"/>
        <v>-9067.48</v>
      </c>
      <c r="Y36" s="2"/>
      <c r="Z36" s="6">
        <f t="shared" si="19"/>
        <v>-0.56938649921507056</v>
      </c>
    </row>
    <row r="37" spans="1:26" s="28" customFormat="1" outlineLevel="1" collapsed="1" x14ac:dyDescent="0.3">
      <c r="A37" s="29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63605.69</v>
      </c>
      <c r="E37" s="1"/>
      <c r="F37" s="5">
        <f t="shared" ref="F37:F47" si="20">IF(D$12=0,0,D37/D$12)</f>
        <v>0.20460672652636558</v>
      </c>
      <c r="G37" s="1"/>
      <c r="H37" s="1">
        <f>SUM(OSRRefH22_1x_0)</f>
        <v>98050.76928846151</v>
      </c>
      <c r="I37" s="1"/>
      <c r="J37" s="5">
        <f t="shared" ref="J37:J47" si="21">IF(H$12=0,0,H37/H$12)</f>
        <v>0.45018718681570941</v>
      </c>
      <c r="K37" s="1"/>
      <c r="L37" s="1">
        <f t="shared" ref="L37:L47" si="22">+D37-H37</f>
        <v>-34445.079288461508</v>
      </c>
      <c r="M37" s="1"/>
      <c r="N37" s="5">
        <f t="shared" ref="N37:N47" si="23">IF(H37=0,0,L37/H37)</f>
        <v>-0.35129840936918544</v>
      </c>
      <c r="O37" s="14"/>
      <c r="P37" s="1">
        <f>SUM(OSRRefP22_1x_0)</f>
        <v>602710.27</v>
      </c>
      <c r="Q37" s="1"/>
      <c r="R37" s="5">
        <f t="shared" ref="R37:R47" si="24">IF(P$12=0,0,P37/P$12)</f>
        <v>0.19003917328938641</v>
      </c>
      <c r="S37" s="1"/>
      <c r="T37" s="1">
        <f>SUM(OSRRefT22_1x_0)</f>
        <v>724494.62698846101</v>
      </c>
      <c r="U37" s="1"/>
      <c r="V37" s="5">
        <f t="shared" ref="V37:V47" si="25">IF(T$12=0,0,T37/T$12)</f>
        <v>0.29748485956658494</v>
      </c>
      <c r="W37" s="1"/>
      <c r="X37" s="1">
        <f t="shared" ref="X37:X47" si="26">+P37-T37</f>
        <v>-121784.35698846099</v>
      </c>
      <c r="Y37" s="1"/>
      <c r="Z37" s="5">
        <f t="shared" ref="Z37:Z47" si="27">IF(T37=0,0,X37/T37)</f>
        <v>-0.16809559719536835</v>
      </c>
    </row>
    <row r="38" spans="1:26" s="24" customFormat="1" hidden="1" outlineLevel="2" x14ac:dyDescent="0.3">
      <c r="A38" s="27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3">
      <c r="A39" s="27"/>
      <c r="B39" s="11" t="str">
        <f>CONCATENATE("          ", "6002", " - ", "STAFF SALARIES")</f>
        <v xml:space="preserve">          6002 - STAFF SALARIES</v>
      </c>
      <c r="C39" s="11"/>
      <c r="D39" s="7">
        <v>14511.56</v>
      </c>
      <c r="E39" s="2"/>
      <c r="F39" s="6">
        <f t="shared" si="20"/>
        <v>4.6680773188545639E-2</v>
      </c>
      <c r="G39" s="2"/>
      <c r="H39" s="7">
        <v>19219.049288461501</v>
      </c>
      <c r="I39" s="2"/>
      <c r="J39" s="6">
        <f t="shared" si="21"/>
        <v>8.8241732270254822E-2</v>
      </c>
      <c r="K39" s="2"/>
      <c r="L39" s="7">
        <f t="shared" si="22"/>
        <v>-4707.4892884615019</v>
      </c>
      <c r="M39" s="2"/>
      <c r="N39" s="6">
        <f t="shared" si="23"/>
        <v>-0.24493871771730805</v>
      </c>
      <c r="O39" s="11"/>
      <c r="P39" s="7">
        <v>118604.46</v>
      </c>
      <c r="Q39" s="2"/>
      <c r="R39" s="6">
        <f t="shared" si="24"/>
        <v>3.7396896400710249E-2</v>
      </c>
      <c r="S39" s="2"/>
      <c r="T39" s="7">
        <v>119158.105588461</v>
      </c>
      <c r="U39" s="2"/>
      <c r="V39" s="6">
        <f t="shared" si="25"/>
        <v>4.8927529600254989E-2</v>
      </c>
      <c r="W39" s="2"/>
      <c r="X39" s="7">
        <f t="shared" si="26"/>
        <v>-553.64558846098953</v>
      </c>
      <c r="Y39" s="2"/>
      <c r="Z39" s="6">
        <f t="shared" si="27"/>
        <v>-4.6463107627199747E-3</v>
      </c>
    </row>
    <row r="40" spans="1:26" s="24" customFormat="1" hidden="1" outlineLevel="2" x14ac:dyDescent="0.3">
      <c r="A40" s="27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3">
      <c r="A41" s="27"/>
      <c r="B41" s="11" t="str">
        <f>CONCATENATE("          ", "6004", " - ", "STAFF HOURLY")</f>
        <v xml:space="preserve">          6004 - STAFF HOURLY</v>
      </c>
      <c r="C41" s="11"/>
      <c r="D41" s="7">
        <v>20199.490000000002</v>
      </c>
      <c r="E41" s="2"/>
      <c r="F41" s="6">
        <f t="shared" si="20"/>
        <v>6.4977701309459207E-2</v>
      </c>
      <c r="G41" s="2"/>
      <c r="H41" s="7">
        <v>33386.832000000002</v>
      </c>
      <c r="I41" s="2"/>
      <c r="J41" s="6">
        <f t="shared" si="21"/>
        <v>0.15329123966942149</v>
      </c>
      <c r="K41" s="2"/>
      <c r="L41" s="7">
        <f t="shared" si="22"/>
        <v>-13187.342000000001</v>
      </c>
      <c r="M41" s="2"/>
      <c r="N41" s="6">
        <f t="shared" si="23"/>
        <v>-0.39498632275143686</v>
      </c>
      <c r="O41" s="11"/>
      <c r="P41" s="7">
        <v>193979.68</v>
      </c>
      <c r="Q41" s="2"/>
      <c r="R41" s="6">
        <f t="shared" si="24"/>
        <v>6.1163281691117892E-2</v>
      </c>
      <c r="S41" s="2"/>
      <c r="T41" s="7">
        <v>206998.3584</v>
      </c>
      <c r="U41" s="2"/>
      <c r="V41" s="6">
        <f t="shared" si="25"/>
        <v>8.4995630450849957E-2</v>
      </c>
      <c r="W41" s="2"/>
      <c r="X41" s="7">
        <f t="shared" si="26"/>
        <v>-13018.678400000004</v>
      </c>
      <c r="Y41" s="2"/>
      <c r="Z41" s="6">
        <f t="shared" si="27"/>
        <v>-6.2892664949752583E-2</v>
      </c>
    </row>
    <row r="42" spans="1:26" s="24" customFormat="1" hidden="1" outlineLevel="2" x14ac:dyDescent="0.3">
      <c r="A42" s="27"/>
      <c r="B42" s="11" t="str">
        <f>CONCATENATE("          ", "6005", " - ", "TEMPORARY WAGES-HOURLY")</f>
        <v xml:space="preserve">          6005 - TEMPORARY WAGES-HOURLY</v>
      </c>
      <c r="C42" s="11"/>
      <c r="D42" s="7">
        <v>3595.03</v>
      </c>
      <c r="E42" s="2"/>
      <c r="F42" s="6">
        <f t="shared" si="20"/>
        <v>1.1564489278617683E-2</v>
      </c>
      <c r="G42" s="2"/>
      <c r="H42" s="7">
        <v>12067.77</v>
      </c>
      <c r="I42" s="2"/>
      <c r="J42" s="6">
        <f t="shared" si="21"/>
        <v>5.540757575757576E-2</v>
      </c>
      <c r="K42" s="2"/>
      <c r="L42" s="7">
        <f t="shared" si="22"/>
        <v>-8472.74</v>
      </c>
      <c r="M42" s="2"/>
      <c r="N42" s="6">
        <f t="shared" si="23"/>
        <v>-0.70209657625228183</v>
      </c>
      <c r="O42" s="11"/>
      <c r="P42" s="7">
        <v>114602.4</v>
      </c>
      <c r="Q42" s="2"/>
      <c r="R42" s="6">
        <f t="shared" si="24"/>
        <v>3.6135016171168904E-2</v>
      </c>
      <c r="S42" s="2"/>
      <c r="T42" s="7">
        <v>90980.664999999994</v>
      </c>
      <c r="U42" s="2"/>
      <c r="V42" s="6">
        <f t="shared" si="25"/>
        <v>3.7357586022829924E-2</v>
      </c>
      <c r="W42" s="2"/>
      <c r="X42" s="7">
        <f t="shared" si="26"/>
        <v>23621.735000000001</v>
      </c>
      <c r="Y42" s="2"/>
      <c r="Z42" s="6">
        <f t="shared" si="27"/>
        <v>0.25963467072921487</v>
      </c>
    </row>
    <row r="43" spans="1:26" s="24" customFormat="1" hidden="1" outlineLevel="2" x14ac:dyDescent="0.3">
      <c r="A43" s="27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3">
      <c r="A44" s="27"/>
      <c r="B44" s="11" t="str">
        <f>CONCATENATE("          ", "6007", " - ", "STUDENT HOURLY")</f>
        <v xml:space="preserve">          6007 - STUDENT HOURLY</v>
      </c>
      <c r="C44" s="11"/>
      <c r="D44" s="7">
        <v>19632.16</v>
      </c>
      <c r="E44" s="2"/>
      <c r="F44" s="6">
        <f t="shared" si="20"/>
        <v>6.3152714674455268E-2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19632.16</v>
      </c>
      <c r="M44" s="2"/>
      <c r="N44" s="6">
        <f t="shared" si="23"/>
        <v>0</v>
      </c>
      <c r="O44" s="11"/>
      <c r="P44" s="7">
        <v>134453.78</v>
      </c>
      <c r="Q44" s="2"/>
      <c r="R44" s="6">
        <f t="shared" si="24"/>
        <v>4.2394308623334119E-2</v>
      </c>
      <c r="S44" s="2"/>
      <c r="T44" s="7">
        <v>30264</v>
      </c>
      <c r="U44" s="2"/>
      <c r="V44" s="6">
        <f t="shared" si="25"/>
        <v>1.2426706085242671E-2</v>
      </c>
      <c r="W44" s="2"/>
      <c r="X44" s="7">
        <f t="shared" si="26"/>
        <v>104189.78</v>
      </c>
      <c r="Y44" s="2"/>
      <c r="Z44" s="6">
        <f t="shared" si="27"/>
        <v>3.442696933650542</v>
      </c>
    </row>
    <row r="45" spans="1:26" s="24" customFormat="1" hidden="1" outlineLevel="2" x14ac:dyDescent="0.3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7">
        <v>5667.45</v>
      </c>
      <c r="E45" s="2"/>
      <c r="F45" s="6">
        <f t="shared" si="20"/>
        <v>1.8231048075287769E-2</v>
      </c>
      <c r="G45" s="2"/>
      <c r="H45" s="7">
        <v>33377.118000000002</v>
      </c>
      <c r="I45" s="2"/>
      <c r="J45" s="6">
        <f t="shared" si="21"/>
        <v>0.15324663911845732</v>
      </c>
      <c r="K45" s="2"/>
      <c r="L45" s="7">
        <f t="shared" si="22"/>
        <v>-27709.668000000001</v>
      </c>
      <c r="M45" s="2"/>
      <c r="N45" s="6">
        <f t="shared" si="23"/>
        <v>-0.83019953969662685</v>
      </c>
      <c r="O45" s="11"/>
      <c r="P45" s="7">
        <v>41069.949999999997</v>
      </c>
      <c r="Q45" s="2"/>
      <c r="R45" s="6">
        <f t="shared" si="24"/>
        <v>1.2949670403055244E-2</v>
      </c>
      <c r="S45" s="2"/>
      <c r="T45" s="7">
        <v>277093.49800000002</v>
      </c>
      <c r="U45" s="2"/>
      <c r="V45" s="6">
        <f t="shared" si="25"/>
        <v>0.11377740740740741</v>
      </c>
      <c r="W45" s="2"/>
      <c r="X45" s="7">
        <f t="shared" si="26"/>
        <v>-236023.54800000001</v>
      </c>
      <c r="Y45" s="2"/>
      <c r="Z45" s="6">
        <f t="shared" si="27"/>
        <v>-0.8517830613261087</v>
      </c>
    </row>
    <row r="46" spans="1:26" s="24" customFormat="1" hidden="1" outlineLevel="2" x14ac:dyDescent="0.3">
      <c r="A46" s="27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3">
      <c r="A47" s="27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8" customFormat="1" outlineLevel="1" collapsed="1" x14ac:dyDescent="0.3">
      <c r="A48" s="29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14.39</v>
      </c>
      <c r="E48" s="1"/>
      <c r="F48" s="5">
        <f t="shared" ref="F48:F68" si="28">IF(D$12=0,0,D48/D$12)</f>
        <v>4.6289739089606618E-5</v>
      </c>
      <c r="G48" s="1"/>
      <c r="H48" s="1">
        <f>SUM(OSRRefH22_2x_0)</f>
        <v>369</v>
      </c>
      <c r="I48" s="1"/>
      <c r="J48" s="5">
        <f t="shared" ref="J48:J68" si="29">IF(H$12=0,0,H48/H$12)</f>
        <v>1.6942148760330578E-3</v>
      </c>
      <c r="K48" s="1"/>
      <c r="L48" s="1">
        <f t="shared" ref="L48:L68" si="30">+D48-H48</f>
        <v>-354.61</v>
      </c>
      <c r="M48" s="1"/>
      <c r="N48" s="5">
        <f t="shared" ref="N48:N68" si="31">IF(H48=0,0,L48/H48)</f>
        <v>-0.96100271002710036</v>
      </c>
      <c r="O48" s="14"/>
      <c r="P48" s="1">
        <f>SUM(OSRRefP22_2x_0)</f>
        <v>1037.69</v>
      </c>
      <c r="Q48" s="1"/>
      <c r="R48" s="5">
        <f t="shared" ref="R48:R68" si="32">IF(P$12=0,0,P48/P$12)</f>
        <v>3.271916201638034E-4</v>
      </c>
      <c r="S48" s="1"/>
      <c r="T48" s="1">
        <f>SUM(OSRRefT22_2x_0)</f>
        <v>2583</v>
      </c>
      <c r="U48" s="1"/>
      <c r="V48" s="5">
        <f t="shared" ref="V48:V68" si="33">IF(T$12=0,0,T48/T$12)</f>
        <v>1.0606060606060607E-3</v>
      </c>
      <c r="W48" s="1"/>
      <c r="X48" s="1">
        <f t="shared" ref="X48:X68" si="34">+P48-T48</f>
        <v>-1545.31</v>
      </c>
      <c r="Y48" s="1"/>
      <c r="Z48" s="5">
        <f t="shared" ref="Z48:Z68" si="35">IF(T48=0,0,X48/T48)</f>
        <v>-0.59826171118854043</v>
      </c>
    </row>
    <row r="49" spans="1:26" s="24" customFormat="1" hidden="1" outlineLevel="2" x14ac:dyDescent="0.3">
      <c r="A49" s="27"/>
      <c r="B49" s="11" t="str">
        <f>CONCATENATE("          ", "6362", " - ", "ADVERTISING EXPENSE")</f>
        <v xml:space="preserve">          6362 - ADVERTISING EXPENSE</v>
      </c>
      <c r="C49" s="11"/>
      <c r="D49" s="7">
        <v>14.39</v>
      </c>
      <c r="E49" s="2"/>
      <c r="F49" s="6">
        <f t="shared" si="28"/>
        <v>4.6289739089606618E-5</v>
      </c>
      <c r="G49" s="2"/>
      <c r="H49" s="7">
        <v>369</v>
      </c>
      <c r="I49" s="2"/>
      <c r="J49" s="6">
        <f t="shared" si="29"/>
        <v>1.6942148760330578E-3</v>
      </c>
      <c r="K49" s="2"/>
      <c r="L49" s="7">
        <f t="shared" si="30"/>
        <v>-354.61</v>
      </c>
      <c r="M49" s="2"/>
      <c r="N49" s="6">
        <f t="shared" si="31"/>
        <v>-0.96100271002710036</v>
      </c>
      <c r="O49" s="11"/>
      <c r="P49" s="7">
        <v>1037.69</v>
      </c>
      <c r="Q49" s="2"/>
      <c r="R49" s="6">
        <f t="shared" si="32"/>
        <v>3.271916201638034E-4</v>
      </c>
      <c r="S49" s="2"/>
      <c r="T49" s="7">
        <v>2583</v>
      </c>
      <c r="U49" s="2"/>
      <c r="V49" s="6">
        <f t="shared" si="33"/>
        <v>1.0606060606060607E-3</v>
      </c>
      <c r="W49" s="2"/>
      <c r="X49" s="7">
        <f t="shared" si="34"/>
        <v>-1545.31</v>
      </c>
      <c r="Y49" s="2"/>
      <c r="Z49" s="6">
        <f t="shared" si="35"/>
        <v>-0.59826171118854043</v>
      </c>
    </row>
    <row r="50" spans="1:26" s="28" customFormat="1" outlineLevel="1" collapsed="1" x14ac:dyDescent="0.3">
      <c r="A50" s="29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9.1</v>
      </c>
      <c r="E50" s="1"/>
      <c r="F50" s="5">
        <f t="shared" si="28"/>
        <v>2.9272871835678955E-5</v>
      </c>
      <c r="G50" s="1"/>
      <c r="H50" s="1">
        <f>SUM(OSRRefH22_3x_0)</f>
        <v>8</v>
      </c>
      <c r="I50" s="1"/>
      <c r="J50" s="5">
        <f t="shared" si="29"/>
        <v>3.6730945821854914E-5</v>
      </c>
      <c r="K50" s="1"/>
      <c r="L50" s="1">
        <f t="shared" si="30"/>
        <v>1.0999999999999996</v>
      </c>
      <c r="M50" s="1"/>
      <c r="N50" s="5">
        <f t="shared" si="31"/>
        <v>0.13749999999999996</v>
      </c>
      <c r="O50" s="14"/>
      <c r="P50" s="1">
        <f>SUM(OSRRefP22_3x_0)</f>
        <v>9.1</v>
      </c>
      <c r="Q50" s="1"/>
      <c r="R50" s="5">
        <f t="shared" si="32"/>
        <v>2.8692998327926556E-6</v>
      </c>
      <c r="S50" s="1"/>
      <c r="T50" s="1">
        <f>SUM(OSRRefT22_3x_0)</f>
        <v>48</v>
      </c>
      <c r="U50" s="1"/>
      <c r="V50" s="5">
        <f t="shared" si="33"/>
        <v>1.9709288001970929E-5</v>
      </c>
      <c r="W50" s="1"/>
      <c r="X50" s="1">
        <f t="shared" si="34"/>
        <v>-38.9</v>
      </c>
      <c r="Y50" s="1"/>
      <c r="Z50" s="5">
        <f t="shared" si="35"/>
        <v>-0.81041666666666667</v>
      </c>
    </row>
    <row r="51" spans="1:26" s="24" customFormat="1" hidden="1" outlineLevel="2" x14ac:dyDescent="0.3">
      <c r="A51" s="27"/>
      <c r="B51" s="11" t="str">
        <f>CONCATENATE("          ", "6272", " - ", "CASH (OVER/SHORT)")</f>
        <v xml:space="preserve">          6272 - CASH (OVER/SHORT)</v>
      </c>
      <c r="C51" s="11"/>
      <c r="D51" s="7">
        <v>9.1</v>
      </c>
      <c r="E51" s="2"/>
      <c r="F51" s="6">
        <f t="shared" si="28"/>
        <v>2.9272871835678955E-5</v>
      </c>
      <c r="G51" s="2"/>
      <c r="H51" s="7">
        <v>8</v>
      </c>
      <c r="I51" s="2"/>
      <c r="J51" s="6">
        <f t="shared" si="29"/>
        <v>3.6730945821854914E-5</v>
      </c>
      <c r="K51" s="2"/>
      <c r="L51" s="7">
        <f t="shared" si="30"/>
        <v>1.0999999999999996</v>
      </c>
      <c r="M51" s="2"/>
      <c r="N51" s="6">
        <f t="shared" si="31"/>
        <v>0.13749999999999996</v>
      </c>
      <c r="O51" s="11"/>
      <c r="P51" s="7">
        <v>9.1</v>
      </c>
      <c r="Q51" s="2"/>
      <c r="R51" s="6">
        <f t="shared" si="32"/>
        <v>2.8692998327926556E-6</v>
      </c>
      <c r="S51" s="2"/>
      <c r="T51" s="7">
        <v>48</v>
      </c>
      <c r="U51" s="2"/>
      <c r="V51" s="6">
        <f t="shared" si="33"/>
        <v>1.9709288001970929E-5</v>
      </c>
      <c r="W51" s="2"/>
      <c r="X51" s="7">
        <f t="shared" si="34"/>
        <v>-38.9</v>
      </c>
      <c r="Y51" s="2"/>
      <c r="Z51" s="6">
        <f t="shared" si="35"/>
        <v>-0.81041666666666667</v>
      </c>
    </row>
    <row r="52" spans="1:26" s="28" customFormat="1" outlineLevel="1" collapsed="1" x14ac:dyDescent="0.3">
      <c r="A52" s="29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19.440000000000001</v>
      </c>
      <c r="E52" s="1"/>
      <c r="F52" s="5">
        <f t="shared" si="28"/>
        <v>6.2534574558857029E-5</v>
      </c>
      <c r="G52" s="1"/>
      <c r="H52" s="1">
        <f>SUM(OSRRefH22_4x_0)</f>
        <v>135</v>
      </c>
      <c r="I52" s="1"/>
      <c r="J52" s="5">
        <f t="shared" si="29"/>
        <v>6.1983471074380169E-4</v>
      </c>
      <c r="K52" s="1"/>
      <c r="L52" s="1">
        <f t="shared" si="30"/>
        <v>-115.56</v>
      </c>
      <c r="M52" s="1"/>
      <c r="N52" s="5">
        <f t="shared" si="31"/>
        <v>-0.85599999999999998</v>
      </c>
      <c r="O52" s="14"/>
      <c r="P52" s="1">
        <f>SUM(OSRRefP22_4x_0)</f>
        <v>352.03</v>
      </c>
      <c r="Q52" s="1"/>
      <c r="R52" s="5">
        <f t="shared" si="32"/>
        <v>1.109977604547251E-4</v>
      </c>
      <c r="S52" s="1"/>
      <c r="T52" s="1">
        <f>SUM(OSRRefT22_4x_0)</f>
        <v>945</v>
      </c>
      <c r="U52" s="1"/>
      <c r="V52" s="5">
        <f t="shared" si="33"/>
        <v>3.8802660753880266E-4</v>
      </c>
      <c r="W52" s="1"/>
      <c r="X52" s="1">
        <f t="shared" si="34"/>
        <v>-592.97</v>
      </c>
      <c r="Y52" s="1"/>
      <c r="Z52" s="5">
        <f t="shared" si="35"/>
        <v>-0.62748148148148153</v>
      </c>
    </row>
    <row r="53" spans="1:26" s="24" customFormat="1" hidden="1" outlineLevel="2" x14ac:dyDescent="0.3">
      <c r="A53" s="27"/>
      <c r="B53" s="11" t="str">
        <f>CONCATENATE("          ", "6381", " - ", "BANK/CREDIT CARD FEES")</f>
        <v xml:space="preserve">          6381 - BANK/CREDIT CARD FEES</v>
      </c>
      <c r="C53" s="11"/>
      <c r="D53" s="7">
        <v>19.440000000000001</v>
      </c>
      <c r="E53" s="2"/>
      <c r="F53" s="6">
        <f t="shared" si="28"/>
        <v>6.2534574558857029E-5</v>
      </c>
      <c r="G53" s="2"/>
      <c r="H53" s="7">
        <v>135</v>
      </c>
      <c r="I53" s="2"/>
      <c r="J53" s="6">
        <f t="shared" si="29"/>
        <v>6.1983471074380169E-4</v>
      </c>
      <c r="K53" s="2"/>
      <c r="L53" s="7">
        <f t="shared" si="30"/>
        <v>-115.56</v>
      </c>
      <c r="M53" s="2"/>
      <c r="N53" s="6">
        <f t="shared" si="31"/>
        <v>-0.85599999999999998</v>
      </c>
      <c r="O53" s="11"/>
      <c r="P53" s="7">
        <v>352.03</v>
      </c>
      <c r="Q53" s="2"/>
      <c r="R53" s="6">
        <f t="shared" si="32"/>
        <v>1.109977604547251E-4</v>
      </c>
      <c r="S53" s="2"/>
      <c r="T53" s="7">
        <v>945</v>
      </c>
      <c r="U53" s="2"/>
      <c r="V53" s="6">
        <f t="shared" si="33"/>
        <v>3.8802660753880266E-4</v>
      </c>
      <c r="W53" s="2"/>
      <c r="X53" s="7">
        <f t="shared" si="34"/>
        <v>-592.97</v>
      </c>
      <c r="Y53" s="2"/>
      <c r="Z53" s="6">
        <f t="shared" si="35"/>
        <v>-0.62748148148148153</v>
      </c>
    </row>
    <row r="54" spans="1:26" s="28" customFormat="1" outlineLevel="1" collapsed="1" x14ac:dyDescent="0.3">
      <c r="A54" s="29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273.51</v>
      </c>
      <c r="E54" s="1"/>
      <c r="F54" s="5">
        <f t="shared" si="28"/>
        <v>8.7982672261280781E-4</v>
      </c>
      <c r="G54" s="1"/>
      <c r="H54" s="1">
        <f>SUM(OSRRefH22_5x_0)</f>
        <v>273</v>
      </c>
      <c r="I54" s="1"/>
      <c r="J54" s="5">
        <f t="shared" si="29"/>
        <v>1.2534435261707989E-3</v>
      </c>
      <c r="K54" s="1"/>
      <c r="L54" s="1">
        <f t="shared" si="30"/>
        <v>0.50999999999999091</v>
      </c>
      <c r="M54" s="1"/>
      <c r="N54" s="5">
        <f t="shared" si="31"/>
        <v>1.8681318681318347E-3</v>
      </c>
      <c r="O54" s="14"/>
      <c r="P54" s="1">
        <f>SUM(OSRRefP22_5x_0)</f>
        <v>1914.57</v>
      </c>
      <c r="Q54" s="1"/>
      <c r="R54" s="5">
        <f t="shared" si="32"/>
        <v>6.0367861328239944E-4</v>
      </c>
      <c r="S54" s="1"/>
      <c r="T54" s="1">
        <f>SUM(OSRRefT22_5x_0)</f>
        <v>1911</v>
      </c>
      <c r="U54" s="1"/>
      <c r="V54" s="5">
        <f t="shared" si="33"/>
        <v>7.846760285784676E-4</v>
      </c>
      <c r="W54" s="1"/>
      <c r="X54" s="1">
        <f t="shared" si="34"/>
        <v>3.5699999999999363</v>
      </c>
      <c r="Y54" s="1"/>
      <c r="Z54" s="5">
        <f t="shared" si="35"/>
        <v>1.8681318681318347E-3</v>
      </c>
    </row>
    <row r="55" spans="1:26" s="24" customFormat="1" hidden="1" outlineLevel="2" x14ac:dyDescent="0.3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273.51</v>
      </c>
      <c r="E55" s="2"/>
      <c r="F55" s="6">
        <f t="shared" si="28"/>
        <v>8.7982672261280781E-4</v>
      </c>
      <c r="G55" s="2"/>
      <c r="H55" s="7">
        <v>273</v>
      </c>
      <c r="I55" s="2"/>
      <c r="J55" s="6">
        <f t="shared" si="29"/>
        <v>1.2534435261707989E-3</v>
      </c>
      <c r="K55" s="2"/>
      <c r="L55" s="7">
        <f t="shared" si="30"/>
        <v>0.50999999999999091</v>
      </c>
      <c r="M55" s="2"/>
      <c r="N55" s="6">
        <f t="shared" si="31"/>
        <v>1.8681318681318347E-3</v>
      </c>
      <c r="O55" s="11"/>
      <c r="P55" s="7">
        <v>1914.57</v>
      </c>
      <c r="Q55" s="2"/>
      <c r="R55" s="6">
        <f t="shared" si="32"/>
        <v>6.0367861328239944E-4</v>
      </c>
      <c r="S55" s="2"/>
      <c r="T55" s="7">
        <v>1911</v>
      </c>
      <c r="U55" s="2"/>
      <c r="V55" s="6">
        <f t="shared" si="33"/>
        <v>7.846760285784676E-4</v>
      </c>
      <c r="W55" s="2"/>
      <c r="X55" s="7">
        <f t="shared" si="34"/>
        <v>3.5699999999999363</v>
      </c>
      <c r="Y55" s="2"/>
      <c r="Z55" s="6">
        <f t="shared" si="35"/>
        <v>1.8681318681318347E-3</v>
      </c>
    </row>
    <row r="56" spans="1:26" s="28" customFormat="1" outlineLevel="1" collapsed="1" x14ac:dyDescent="0.3">
      <c r="A56" s="29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1335.25</v>
      </c>
      <c r="E56" s="1"/>
      <c r="F56" s="5">
        <f t="shared" si="28"/>
        <v>4.2952310020428928E-3</v>
      </c>
      <c r="G56" s="1"/>
      <c r="H56" s="1">
        <f>SUM(OSRRefH22_6x_0)</f>
        <v>6500</v>
      </c>
      <c r="I56" s="1"/>
      <c r="J56" s="5">
        <f t="shared" si="29"/>
        <v>2.9843893480257115E-2</v>
      </c>
      <c r="K56" s="1"/>
      <c r="L56" s="1">
        <f t="shared" si="30"/>
        <v>-5164.75</v>
      </c>
      <c r="M56" s="1"/>
      <c r="N56" s="5">
        <f t="shared" si="31"/>
        <v>-0.79457692307692307</v>
      </c>
      <c r="O56" s="14"/>
      <c r="P56" s="1">
        <f>SUM(OSRRefP22_6x_0)</f>
        <v>13455.25</v>
      </c>
      <c r="Q56" s="1"/>
      <c r="R56" s="5">
        <f t="shared" si="32"/>
        <v>4.242543579690481E-3</v>
      </c>
      <c r="S56" s="1"/>
      <c r="T56" s="1">
        <f>SUM(OSRRefT22_6x_0)</f>
        <v>39000</v>
      </c>
      <c r="U56" s="1"/>
      <c r="V56" s="5">
        <f t="shared" si="33"/>
        <v>1.6013796501601379E-2</v>
      </c>
      <c r="W56" s="1"/>
      <c r="X56" s="1">
        <f t="shared" si="34"/>
        <v>-25544.75</v>
      </c>
      <c r="Y56" s="1"/>
      <c r="Z56" s="5">
        <f t="shared" si="35"/>
        <v>-0.65499358974358979</v>
      </c>
    </row>
    <row r="57" spans="1:26" s="24" customFormat="1" hidden="1" outlineLevel="2" x14ac:dyDescent="0.3">
      <c r="A57" s="27"/>
      <c r="B57" s="11" t="str">
        <f>CONCATENATE("          ", "6399", " - ", "DONATION-ON CAMPUS")</f>
        <v xml:space="preserve">          6399 - DONATION-ON CAMPUS</v>
      </c>
      <c r="C57" s="11"/>
      <c r="D57" s="7">
        <v>1335.25</v>
      </c>
      <c r="E57" s="2"/>
      <c r="F57" s="6">
        <f t="shared" si="28"/>
        <v>4.2952310020428928E-3</v>
      </c>
      <c r="G57" s="2"/>
      <c r="H57" s="7">
        <v>6500</v>
      </c>
      <c r="I57" s="2"/>
      <c r="J57" s="6">
        <f t="shared" si="29"/>
        <v>2.9843893480257115E-2</v>
      </c>
      <c r="K57" s="2"/>
      <c r="L57" s="7">
        <f t="shared" si="30"/>
        <v>-5164.75</v>
      </c>
      <c r="M57" s="2"/>
      <c r="N57" s="6">
        <f t="shared" si="31"/>
        <v>-0.79457692307692307</v>
      </c>
      <c r="O57" s="11"/>
      <c r="P57" s="7">
        <v>13455.25</v>
      </c>
      <c r="Q57" s="2"/>
      <c r="R57" s="6">
        <f t="shared" si="32"/>
        <v>4.242543579690481E-3</v>
      </c>
      <c r="S57" s="2"/>
      <c r="T57" s="7">
        <v>39000</v>
      </c>
      <c r="U57" s="2"/>
      <c r="V57" s="6">
        <f t="shared" si="33"/>
        <v>1.6013796501601379E-2</v>
      </c>
      <c r="W57" s="2"/>
      <c r="X57" s="7">
        <f t="shared" si="34"/>
        <v>-25544.75</v>
      </c>
      <c r="Y57" s="2"/>
      <c r="Z57" s="6">
        <f t="shared" si="35"/>
        <v>-0.65499358974358979</v>
      </c>
    </row>
    <row r="58" spans="1:26" s="28" customFormat="1" outlineLevel="1" collapsed="1" x14ac:dyDescent="0.3">
      <c r="A58" s="29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150</v>
      </c>
      <c r="I58" s="1"/>
      <c r="J58" s="5">
        <f t="shared" si="29"/>
        <v>6.8870523415977963E-4</v>
      </c>
      <c r="K58" s="1"/>
      <c r="L58" s="1">
        <f t="shared" si="30"/>
        <v>-150</v>
      </c>
      <c r="M58" s="1"/>
      <c r="N58" s="5">
        <f t="shared" si="31"/>
        <v>-1</v>
      </c>
      <c r="O58" s="14"/>
      <c r="P58" s="1">
        <f>SUM(OSRRefP22_7x_0)</f>
        <v>113.4</v>
      </c>
      <c r="Q58" s="1"/>
      <c r="R58" s="5">
        <f t="shared" si="32"/>
        <v>3.5755890224031555E-5</v>
      </c>
      <c r="S58" s="1"/>
      <c r="T58" s="1">
        <f>SUM(OSRRefT22_7x_0)</f>
        <v>1050</v>
      </c>
      <c r="U58" s="1"/>
      <c r="V58" s="5">
        <f t="shared" si="33"/>
        <v>4.3114067504311407E-4</v>
      </c>
      <c r="W58" s="1"/>
      <c r="X58" s="1">
        <f t="shared" si="34"/>
        <v>-936.6</v>
      </c>
      <c r="Y58" s="1"/>
      <c r="Z58" s="5">
        <f t="shared" si="35"/>
        <v>-0.89200000000000002</v>
      </c>
    </row>
    <row r="59" spans="1:26" s="24" customFormat="1" hidden="1" outlineLevel="2" x14ac:dyDescent="0.3">
      <c r="A59" s="27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28"/>
        <v>0</v>
      </c>
      <c r="G59" s="2"/>
      <c r="H59" s="7">
        <v>150</v>
      </c>
      <c r="I59" s="2"/>
      <c r="J59" s="6">
        <f t="shared" si="29"/>
        <v>6.8870523415977963E-4</v>
      </c>
      <c r="K59" s="2"/>
      <c r="L59" s="7">
        <f t="shared" si="30"/>
        <v>-150</v>
      </c>
      <c r="M59" s="2"/>
      <c r="N59" s="6">
        <f t="shared" si="31"/>
        <v>-1</v>
      </c>
      <c r="O59" s="11"/>
      <c r="P59" s="7">
        <v>113.4</v>
      </c>
      <c r="Q59" s="2"/>
      <c r="R59" s="6">
        <f t="shared" si="32"/>
        <v>3.5755890224031555E-5</v>
      </c>
      <c r="S59" s="2"/>
      <c r="T59" s="7">
        <v>1050</v>
      </c>
      <c r="U59" s="2"/>
      <c r="V59" s="6">
        <f t="shared" si="33"/>
        <v>4.3114067504311407E-4</v>
      </c>
      <c r="W59" s="2"/>
      <c r="X59" s="7">
        <f t="shared" si="34"/>
        <v>-936.6</v>
      </c>
      <c r="Y59" s="2"/>
      <c r="Z59" s="6">
        <f t="shared" si="35"/>
        <v>-0.89200000000000002</v>
      </c>
    </row>
    <row r="60" spans="1:26" s="28" customFormat="1" outlineLevel="1" collapsed="1" x14ac:dyDescent="0.3">
      <c r="A60" s="29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249.74</v>
      </c>
      <c r="E60" s="1"/>
      <c r="F60" s="5">
        <f t="shared" si="28"/>
        <v>8.0336340793873214E-4</v>
      </c>
      <c r="G60" s="1"/>
      <c r="H60" s="1">
        <f>SUM(OSRRefH22_8x_0)</f>
        <v>295</v>
      </c>
      <c r="I60" s="1"/>
      <c r="J60" s="5">
        <f t="shared" si="29"/>
        <v>1.3544536271808999E-3</v>
      </c>
      <c r="K60" s="1"/>
      <c r="L60" s="1">
        <f t="shared" si="30"/>
        <v>-45.259999999999991</v>
      </c>
      <c r="M60" s="1"/>
      <c r="N60" s="5">
        <f t="shared" si="31"/>
        <v>-0.15342372881355928</v>
      </c>
      <c r="O60" s="14"/>
      <c r="P60" s="1">
        <f>SUM(OSRRefP22_8x_0)</f>
        <v>2218.39</v>
      </c>
      <c r="Q60" s="1"/>
      <c r="R60" s="5">
        <f t="shared" si="32"/>
        <v>6.9947539077680205E-4</v>
      </c>
      <c r="S60" s="1"/>
      <c r="T60" s="1">
        <f>SUM(OSRRefT22_8x_0)</f>
        <v>2065</v>
      </c>
      <c r="U60" s="1"/>
      <c r="V60" s="5">
        <f t="shared" si="33"/>
        <v>8.4790999425145763E-4</v>
      </c>
      <c r="W60" s="1"/>
      <c r="X60" s="1">
        <f t="shared" si="34"/>
        <v>153.38999999999987</v>
      </c>
      <c r="Y60" s="1"/>
      <c r="Z60" s="5">
        <f t="shared" si="35"/>
        <v>7.4280871670702117E-2</v>
      </c>
    </row>
    <row r="61" spans="1:26" s="24" customFormat="1" hidden="1" outlineLevel="2" x14ac:dyDescent="0.3">
      <c r="A61" s="27"/>
      <c r="B61" s="11" t="str">
        <f>CONCATENATE("          ", "6351", " - ", "EQUIPMENT RENTAL")</f>
        <v xml:space="preserve">          6351 - EQUIPMENT RENTAL</v>
      </c>
      <c r="C61" s="11"/>
      <c r="D61" s="7">
        <v>249.74</v>
      </c>
      <c r="E61" s="2"/>
      <c r="F61" s="6">
        <f t="shared" si="28"/>
        <v>8.0336340793873214E-4</v>
      </c>
      <c r="G61" s="2"/>
      <c r="H61" s="7">
        <v>295</v>
      </c>
      <c r="I61" s="2"/>
      <c r="J61" s="6">
        <f t="shared" si="29"/>
        <v>1.3544536271808999E-3</v>
      </c>
      <c r="K61" s="2"/>
      <c r="L61" s="7">
        <f t="shared" si="30"/>
        <v>-45.259999999999991</v>
      </c>
      <c r="M61" s="2"/>
      <c r="N61" s="6">
        <f t="shared" si="31"/>
        <v>-0.15342372881355928</v>
      </c>
      <c r="O61" s="11"/>
      <c r="P61" s="7">
        <v>2218.39</v>
      </c>
      <c r="Q61" s="2"/>
      <c r="R61" s="6">
        <f t="shared" si="32"/>
        <v>6.9947539077680205E-4</v>
      </c>
      <c r="S61" s="2"/>
      <c r="T61" s="7">
        <v>2065</v>
      </c>
      <c r="U61" s="2"/>
      <c r="V61" s="6">
        <f t="shared" si="33"/>
        <v>8.4790999425145763E-4</v>
      </c>
      <c r="W61" s="2"/>
      <c r="X61" s="7">
        <f t="shared" si="34"/>
        <v>153.38999999999987</v>
      </c>
      <c r="Y61" s="2"/>
      <c r="Z61" s="6">
        <f t="shared" si="35"/>
        <v>7.4280871670702117E-2</v>
      </c>
    </row>
    <row r="62" spans="1:26" s="28" customFormat="1" outlineLevel="1" collapsed="1" x14ac:dyDescent="0.3">
      <c r="A62" s="29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368.25</v>
      </c>
      <c r="E62" s="1"/>
      <c r="F62" s="5">
        <f t="shared" si="28"/>
        <v>1.1845862696141512E-3</v>
      </c>
      <c r="G62" s="1"/>
      <c r="H62" s="1">
        <f>SUM(OSRRefH22_9x_0)</f>
        <v>180</v>
      </c>
      <c r="I62" s="1"/>
      <c r="J62" s="5">
        <f t="shared" si="29"/>
        <v>8.2644628099173552E-4</v>
      </c>
      <c r="K62" s="1"/>
      <c r="L62" s="1">
        <f t="shared" si="30"/>
        <v>188.25</v>
      </c>
      <c r="M62" s="1"/>
      <c r="N62" s="5">
        <f t="shared" si="31"/>
        <v>1.0458333333333334</v>
      </c>
      <c r="O62" s="14"/>
      <c r="P62" s="1">
        <f>SUM(OSRRefP22_9x_0)</f>
        <v>1926.18</v>
      </c>
      <c r="Q62" s="1"/>
      <c r="R62" s="5">
        <f t="shared" si="32"/>
        <v>6.0733933537676459E-4</v>
      </c>
      <c r="S62" s="1"/>
      <c r="T62" s="1">
        <f>SUM(OSRRefT22_9x_0)</f>
        <v>2860</v>
      </c>
      <c r="U62" s="1"/>
      <c r="V62" s="5">
        <f t="shared" si="33"/>
        <v>1.1743450767841012E-3</v>
      </c>
      <c r="W62" s="1"/>
      <c r="X62" s="1">
        <f t="shared" si="34"/>
        <v>-933.81999999999994</v>
      </c>
      <c r="Y62" s="1"/>
      <c r="Z62" s="5">
        <f t="shared" si="35"/>
        <v>-0.3265104895104895</v>
      </c>
    </row>
    <row r="63" spans="1:26" s="24" customFormat="1" hidden="1" outlineLevel="2" x14ac:dyDescent="0.3">
      <c r="A63" s="27"/>
      <c r="B63" s="11" t="str">
        <f>CONCATENATE("          ", "6279", " - ", "GENERAL EXPENSE")</f>
        <v xml:space="preserve">          6279 - GENERAL EXPENSE</v>
      </c>
      <c r="C63" s="11"/>
      <c r="D63" s="7">
        <v>368.25</v>
      </c>
      <c r="E63" s="2"/>
      <c r="F63" s="6">
        <f t="shared" si="28"/>
        <v>1.1845862696141512E-3</v>
      </c>
      <c r="G63" s="2"/>
      <c r="H63" s="7">
        <v>180</v>
      </c>
      <c r="I63" s="2"/>
      <c r="J63" s="6">
        <f t="shared" si="29"/>
        <v>8.2644628099173552E-4</v>
      </c>
      <c r="K63" s="2"/>
      <c r="L63" s="7">
        <f t="shared" si="30"/>
        <v>188.25</v>
      </c>
      <c r="M63" s="2"/>
      <c r="N63" s="6">
        <f t="shared" si="31"/>
        <v>1.0458333333333334</v>
      </c>
      <c r="O63" s="11"/>
      <c r="P63" s="7">
        <v>1926.18</v>
      </c>
      <c r="Q63" s="2"/>
      <c r="R63" s="6">
        <f t="shared" si="32"/>
        <v>6.0733933537676459E-4</v>
      </c>
      <c r="S63" s="2"/>
      <c r="T63" s="7">
        <v>2860</v>
      </c>
      <c r="U63" s="2"/>
      <c r="V63" s="6">
        <f t="shared" si="33"/>
        <v>1.1743450767841012E-3</v>
      </c>
      <c r="W63" s="2"/>
      <c r="X63" s="7">
        <f t="shared" si="34"/>
        <v>-933.81999999999994</v>
      </c>
      <c r="Y63" s="2"/>
      <c r="Z63" s="6">
        <f t="shared" si="35"/>
        <v>-0.3265104895104895</v>
      </c>
    </row>
    <row r="64" spans="1:26" s="28" customFormat="1" outlineLevel="1" collapsed="1" x14ac:dyDescent="0.3">
      <c r="A64" s="29"/>
      <c r="B64" s="14" t="str">
        <f>CONCATENATE("     ","R/H Commissions                                   ")</f>
        <v xml:space="preserve">     R/H Commissions                                   </v>
      </c>
      <c r="C64" s="14"/>
      <c r="D64" s="1">
        <f>SUM(OSRRefD22_10x_0)</f>
        <v>24669.37</v>
      </c>
      <c r="E64" s="1"/>
      <c r="F64" s="5">
        <f t="shared" si="28"/>
        <v>7.9356407283180594E-2</v>
      </c>
      <c r="G64" s="1"/>
      <c r="H64" s="1">
        <f>SUM(OSRRefH22_10x_0)</f>
        <v>17424</v>
      </c>
      <c r="I64" s="1"/>
      <c r="J64" s="5">
        <f t="shared" si="29"/>
        <v>0.08</v>
      </c>
      <c r="K64" s="1"/>
      <c r="L64" s="1">
        <f t="shared" si="30"/>
        <v>7245.369999999999</v>
      </c>
      <c r="M64" s="1"/>
      <c r="N64" s="5">
        <f t="shared" si="31"/>
        <v>0.41582702020202017</v>
      </c>
      <c r="O64" s="14"/>
      <c r="P64" s="1">
        <f>SUM(OSRRefP22_10x_0)</f>
        <v>248931</v>
      </c>
      <c r="Q64" s="1"/>
      <c r="R64" s="5">
        <f t="shared" si="32"/>
        <v>7.8489854579880058E-2</v>
      </c>
      <c r="S64" s="1"/>
      <c r="T64" s="1">
        <f>SUM(OSRRefT22_10x_0)</f>
        <v>192672</v>
      </c>
      <c r="U64" s="1"/>
      <c r="V64" s="5">
        <f t="shared" si="33"/>
        <v>7.9113082039911312E-2</v>
      </c>
      <c r="W64" s="1"/>
      <c r="X64" s="1">
        <f t="shared" si="34"/>
        <v>56259</v>
      </c>
      <c r="Y64" s="1"/>
      <c r="Z64" s="5">
        <f t="shared" si="35"/>
        <v>0.29199364723467863</v>
      </c>
    </row>
    <row r="65" spans="1:26" s="24" customFormat="1" hidden="1" outlineLevel="2" x14ac:dyDescent="0.3">
      <c r="A65" s="27"/>
      <c r="B65" s="11" t="str">
        <f>CONCATENATE("          ", "6387", " - ", "COMMISSION DUE HOUSING")</f>
        <v xml:space="preserve">          6387 - COMMISSION DUE HOUSING</v>
      </c>
      <c r="C65" s="11"/>
      <c r="D65" s="7">
        <v>24669.37</v>
      </c>
      <c r="E65" s="2"/>
      <c r="F65" s="6">
        <f t="shared" si="28"/>
        <v>7.9356407283180594E-2</v>
      </c>
      <c r="G65" s="2"/>
      <c r="H65" s="7">
        <v>17424</v>
      </c>
      <c r="I65" s="2"/>
      <c r="J65" s="6">
        <f t="shared" si="29"/>
        <v>0.08</v>
      </c>
      <c r="K65" s="2"/>
      <c r="L65" s="7">
        <f t="shared" si="30"/>
        <v>7245.369999999999</v>
      </c>
      <c r="M65" s="2"/>
      <c r="N65" s="6">
        <f t="shared" si="31"/>
        <v>0.41582702020202017</v>
      </c>
      <c r="O65" s="11"/>
      <c r="P65" s="7">
        <v>248931</v>
      </c>
      <c r="Q65" s="2"/>
      <c r="R65" s="6">
        <f t="shared" si="32"/>
        <v>7.8489854579880058E-2</v>
      </c>
      <c r="S65" s="2"/>
      <c r="T65" s="7">
        <v>192672</v>
      </c>
      <c r="U65" s="2"/>
      <c r="V65" s="6">
        <f t="shared" si="33"/>
        <v>7.9113082039911312E-2</v>
      </c>
      <c r="W65" s="2"/>
      <c r="X65" s="7">
        <f t="shared" si="34"/>
        <v>56259</v>
      </c>
      <c r="Y65" s="2"/>
      <c r="Z65" s="6">
        <f t="shared" si="35"/>
        <v>0.29199364723467863</v>
      </c>
    </row>
    <row r="66" spans="1:26" s="28" customFormat="1" outlineLevel="1" collapsed="1" x14ac:dyDescent="0.3">
      <c r="A66" s="29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5.35</v>
      </c>
      <c r="E66" s="1"/>
      <c r="F66" s="5">
        <f t="shared" si="28"/>
        <v>1.7209875200096969E-5</v>
      </c>
      <c r="G66" s="1"/>
      <c r="H66" s="1">
        <f>SUM(OSRRefH22_11x_0)</f>
        <v>2200</v>
      </c>
      <c r="I66" s="1"/>
      <c r="J66" s="5">
        <f t="shared" si="29"/>
        <v>1.0101010101010102E-2</v>
      </c>
      <c r="K66" s="1"/>
      <c r="L66" s="1">
        <f t="shared" si="30"/>
        <v>-2194.65</v>
      </c>
      <c r="M66" s="1"/>
      <c r="N66" s="5">
        <f t="shared" si="31"/>
        <v>-0.99756818181818185</v>
      </c>
      <c r="O66" s="14"/>
      <c r="P66" s="1">
        <f>SUM(OSRRefP22_11x_0)</f>
        <v>2118.31</v>
      </c>
      <c r="Q66" s="1"/>
      <c r="R66" s="5">
        <f t="shared" si="32"/>
        <v>6.6791939876956153E-4</v>
      </c>
      <c r="S66" s="1"/>
      <c r="T66" s="1">
        <f>SUM(OSRRefT22_11x_0)</f>
        <v>5400</v>
      </c>
      <c r="U66" s="1"/>
      <c r="V66" s="5">
        <f t="shared" si="33"/>
        <v>2.2172949002217295E-3</v>
      </c>
      <c r="W66" s="1"/>
      <c r="X66" s="1">
        <f t="shared" si="34"/>
        <v>-3281.69</v>
      </c>
      <c r="Y66" s="1"/>
      <c r="Z66" s="5">
        <f t="shared" si="35"/>
        <v>-0.60772037037037041</v>
      </c>
    </row>
    <row r="67" spans="1:26" s="24" customFormat="1" hidden="1" outlineLevel="2" x14ac:dyDescent="0.3">
      <c r="A67" s="27"/>
      <c r="B67" s="11" t="str">
        <f>CONCATENATE("          ", "6373", " - ", "MAINTENANCE CONTRACTS")</f>
        <v xml:space="preserve">          6373 - MAINTENANCE CONTRACTS</v>
      </c>
      <c r="C67" s="11"/>
      <c r="D67" s="7">
        <v>5.35</v>
      </c>
      <c r="E67" s="2"/>
      <c r="F67" s="6">
        <f t="shared" si="28"/>
        <v>1.7209875200096969E-5</v>
      </c>
      <c r="G67" s="2"/>
      <c r="H67" s="7">
        <v>2000</v>
      </c>
      <c r="I67" s="2"/>
      <c r="J67" s="6">
        <f t="shared" si="29"/>
        <v>9.1827364554637279E-3</v>
      </c>
      <c r="K67" s="2"/>
      <c r="L67" s="7">
        <f t="shared" si="30"/>
        <v>-1994.65</v>
      </c>
      <c r="M67" s="2"/>
      <c r="N67" s="6">
        <f t="shared" si="31"/>
        <v>-0.99732500000000002</v>
      </c>
      <c r="O67" s="11"/>
      <c r="P67" s="7">
        <v>273.77999999999997</v>
      </c>
      <c r="Q67" s="2"/>
      <c r="R67" s="6">
        <f t="shared" si="32"/>
        <v>8.6324934969447603E-5</v>
      </c>
      <c r="S67" s="2"/>
      <c r="T67" s="7">
        <v>4000</v>
      </c>
      <c r="U67" s="2"/>
      <c r="V67" s="6">
        <f t="shared" si="33"/>
        <v>1.6424406668309108E-3</v>
      </c>
      <c r="W67" s="2"/>
      <c r="X67" s="7">
        <f t="shared" si="34"/>
        <v>-3726.2200000000003</v>
      </c>
      <c r="Y67" s="2"/>
      <c r="Z67" s="6">
        <f t="shared" si="35"/>
        <v>-0.93155500000000002</v>
      </c>
    </row>
    <row r="68" spans="1:26" s="24" customFormat="1" hidden="1" outlineLevel="2" x14ac:dyDescent="0.3">
      <c r="A68" s="27"/>
      <c r="B68" s="11" t="str">
        <f>CONCATENATE("          ", "6375", " - ", "OUTSIDE REPAIRS &amp; MAINTENANCE")</f>
        <v xml:space="preserve">          6375 - OUTSIDE REPAIRS &amp; MAINTENANCE</v>
      </c>
      <c r="C68" s="11"/>
      <c r="D68" s="7"/>
      <c r="E68" s="2"/>
      <c r="F68" s="6">
        <f t="shared" si="28"/>
        <v>0</v>
      </c>
      <c r="G68" s="2"/>
      <c r="H68" s="7">
        <v>200</v>
      </c>
      <c r="I68" s="2"/>
      <c r="J68" s="6">
        <f t="shared" si="29"/>
        <v>9.1827364554637281E-4</v>
      </c>
      <c r="K68" s="2"/>
      <c r="L68" s="7">
        <f t="shared" si="30"/>
        <v>-200</v>
      </c>
      <c r="M68" s="2"/>
      <c r="N68" s="6">
        <f t="shared" si="31"/>
        <v>-1</v>
      </c>
      <c r="O68" s="11"/>
      <c r="P68" s="7">
        <v>1844.53</v>
      </c>
      <c r="Q68" s="2"/>
      <c r="R68" s="6">
        <f t="shared" si="32"/>
        <v>5.8159446380011393E-4</v>
      </c>
      <c r="S68" s="2"/>
      <c r="T68" s="7">
        <v>1400</v>
      </c>
      <c r="U68" s="2"/>
      <c r="V68" s="6">
        <f t="shared" si="33"/>
        <v>5.7485423339081879E-4</v>
      </c>
      <c r="W68" s="2"/>
      <c r="X68" s="7">
        <f t="shared" si="34"/>
        <v>444.53</v>
      </c>
      <c r="Y68" s="2"/>
      <c r="Z68" s="6">
        <f t="shared" si="35"/>
        <v>0.31752142857142857</v>
      </c>
    </row>
    <row r="69" spans="1:26" s="28" customFormat="1" outlineLevel="1" collapsed="1" x14ac:dyDescent="0.3">
      <c r="A69" s="29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SUM(OSRRefD22_12x_0)</f>
        <v>6565.7300000000005</v>
      </c>
      <c r="E69" s="1"/>
      <c r="F69" s="5">
        <f t="shared" ref="F69:F73" si="36">IF(D$12=0,0,D69/D$12)</f>
        <v>2.1120634373370594E-2</v>
      </c>
      <c r="G69" s="1"/>
      <c r="H69" s="1">
        <f>SUM(OSRRefH22_12x_0)</f>
        <v>7422</v>
      </c>
      <c r="I69" s="1"/>
      <c r="J69" s="5">
        <f t="shared" ref="J69:J73" si="37">IF(H$12=0,0,H69/H$12)</f>
        <v>3.4077134986225895E-2</v>
      </c>
      <c r="K69" s="1"/>
      <c r="L69" s="1">
        <f t="shared" ref="L69:L73" si="38">+D69-H69</f>
        <v>-856.26999999999953</v>
      </c>
      <c r="M69" s="1"/>
      <c r="N69" s="5">
        <f t="shared" ref="N69:N73" si="39">IF(H69=0,0,L69/H69)</f>
        <v>-0.11536917272972239</v>
      </c>
      <c r="O69" s="14"/>
      <c r="P69" s="1">
        <f>SUM(OSRRefP22_12x_0)</f>
        <v>45749.98</v>
      </c>
      <c r="Q69" s="1"/>
      <c r="R69" s="5">
        <f t="shared" ref="R69:R73" si="40">IF(P$12=0,0,P69/P$12)</f>
        <v>1.4425319776293116E-2</v>
      </c>
      <c r="S69" s="1"/>
      <c r="T69" s="1">
        <f>SUM(OSRRefT22_12x_0)</f>
        <v>50322</v>
      </c>
      <c r="U69" s="1"/>
      <c r="V69" s="5">
        <f t="shared" ref="V69:V73" si="41">IF(T$12=0,0,T69/T$12)</f>
        <v>2.0662724809066273E-2</v>
      </c>
      <c r="W69" s="1"/>
      <c r="X69" s="1">
        <f t="shared" ref="X69:X73" si="42">+P69-T69</f>
        <v>-4572.0199999999968</v>
      </c>
      <c r="Y69" s="1"/>
      <c r="Z69" s="5">
        <f t="shared" ref="Z69:Z73" si="43">IF(T69=0,0,X69/T69)</f>
        <v>-9.0855291920034914E-2</v>
      </c>
    </row>
    <row r="70" spans="1:26" s="24" customFormat="1" hidden="1" outlineLevel="2" x14ac:dyDescent="0.3">
      <c r="A70" s="27"/>
      <c r="B70" s="11" t="str">
        <f>CONCATENATE("          ", "6282", " - ", "JANITORIAL/EXTERMINATOR EXPENS")</f>
        <v xml:space="preserve">          6282 - JANITORIAL/EXTERMINATOR EXPENS</v>
      </c>
      <c r="C70" s="11"/>
      <c r="D70" s="7">
        <v>459.25</v>
      </c>
      <c r="E70" s="2"/>
      <c r="F70" s="6">
        <f t="shared" si="36"/>
        <v>1.4773149879709407E-3</v>
      </c>
      <c r="G70" s="2"/>
      <c r="H70" s="7">
        <v>450</v>
      </c>
      <c r="I70" s="2"/>
      <c r="J70" s="6">
        <f t="shared" si="37"/>
        <v>2.0661157024793389E-3</v>
      </c>
      <c r="K70" s="2"/>
      <c r="L70" s="7">
        <f t="shared" si="38"/>
        <v>9.25</v>
      </c>
      <c r="M70" s="2"/>
      <c r="N70" s="6">
        <f t="shared" si="39"/>
        <v>2.0555555555555556E-2</v>
      </c>
      <c r="O70" s="11"/>
      <c r="P70" s="7">
        <v>4118.3</v>
      </c>
      <c r="Q70" s="2"/>
      <c r="R70" s="6">
        <f t="shared" si="40"/>
        <v>1.29853159355934E-3</v>
      </c>
      <c r="S70" s="2"/>
      <c r="T70" s="7">
        <v>3150</v>
      </c>
      <c r="U70" s="2"/>
      <c r="V70" s="6">
        <f t="shared" si="41"/>
        <v>1.2934220251293422E-3</v>
      </c>
      <c r="W70" s="2"/>
      <c r="X70" s="7">
        <f t="shared" si="42"/>
        <v>968.30000000000018</v>
      </c>
      <c r="Y70" s="2"/>
      <c r="Z70" s="6">
        <f t="shared" si="43"/>
        <v>0.30739682539682545</v>
      </c>
    </row>
    <row r="71" spans="1:26" s="24" customFormat="1" hidden="1" outlineLevel="2" x14ac:dyDescent="0.3">
      <c r="A71" s="27"/>
      <c r="B71" s="11" t="str">
        <f>CONCATENATE("          ", "6284", " - ", "TRASH REMOVAL EXPENSE")</f>
        <v xml:space="preserve">          6284 - TRASH REMOVAL EXPENSE</v>
      </c>
      <c r="C71" s="11"/>
      <c r="D71" s="7"/>
      <c r="E71" s="2"/>
      <c r="F71" s="6">
        <f t="shared" si="36"/>
        <v>0</v>
      </c>
      <c r="G71" s="2"/>
      <c r="H71" s="7">
        <v>50</v>
      </c>
      <c r="I71" s="2"/>
      <c r="J71" s="6">
        <f t="shared" si="37"/>
        <v>2.295684113865932E-4</v>
      </c>
      <c r="K71" s="2"/>
      <c r="L71" s="7">
        <f t="shared" si="38"/>
        <v>-50</v>
      </c>
      <c r="M71" s="2"/>
      <c r="N71" s="6">
        <f t="shared" si="39"/>
        <v>-1</v>
      </c>
      <c r="O71" s="11"/>
      <c r="P71" s="7"/>
      <c r="Q71" s="2"/>
      <c r="R71" s="6">
        <f t="shared" si="40"/>
        <v>0</v>
      </c>
      <c r="S71" s="2"/>
      <c r="T71" s="7">
        <v>350</v>
      </c>
      <c r="U71" s="2"/>
      <c r="V71" s="6">
        <f t="shared" si="41"/>
        <v>1.437135583477047E-4</v>
      </c>
      <c r="W71" s="2"/>
      <c r="X71" s="7">
        <f t="shared" si="42"/>
        <v>-350</v>
      </c>
      <c r="Y71" s="2"/>
      <c r="Z71" s="6">
        <f t="shared" si="43"/>
        <v>-1</v>
      </c>
    </row>
    <row r="72" spans="1:26" s="24" customFormat="1" hidden="1" outlineLevel="2" x14ac:dyDescent="0.3">
      <c r="A72" s="27"/>
      <c r="B72" s="11" t="str">
        <f>CONCATENATE("          ", "6285", " - ", "JANITORIAL SERVICES")</f>
        <v xml:space="preserve">          6285 - JANITORIAL SERVICES</v>
      </c>
      <c r="C72" s="11"/>
      <c r="D72" s="7">
        <v>5236.5200000000004</v>
      </c>
      <c r="E72" s="2"/>
      <c r="F72" s="6">
        <f t="shared" si="36"/>
        <v>1.6844832837908746E-2</v>
      </c>
      <c r="G72" s="2"/>
      <c r="H72" s="7">
        <v>5255</v>
      </c>
      <c r="I72" s="2"/>
      <c r="J72" s="6">
        <f t="shared" si="37"/>
        <v>2.4127640036730947E-2</v>
      </c>
      <c r="K72" s="2"/>
      <c r="L72" s="7">
        <f t="shared" si="38"/>
        <v>-18.479999999999563</v>
      </c>
      <c r="M72" s="2"/>
      <c r="N72" s="6">
        <f t="shared" si="39"/>
        <v>-3.5166508087534848E-3</v>
      </c>
      <c r="O72" s="11"/>
      <c r="P72" s="7">
        <v>34380.06</v>
      </c>
      <c r="Q72" s="2"/>
      <c r="R72" s="6">
        <f t="shared" si="40"/>
        <v>1.0840296748285875E-2</v>
      </c>
      <c r="S72" s="2"/>
      <c r="T72" s="7">
        <v>35153</v>
      </c>
      <c r="U72" s="2"/>
      <c r="V72" s="6">
        <f t="shared" si="41"/>
        <v>1.4434179190276751E-2</v>
      </c>
      <c r="W72" s="2"/>
      <c r="X72" s="7">
        <f t="shared" si="42"/>
        <v>-772.94000000000233</v>
      </c>
      <c r="Y72" s="2"/>
      <c r="Z72" s="6">
        <f t="shared" si="43"/>
        <v>-2.1987881546383019E-2</v>
      </c>
    </row>
    <row r="73" spans="1:26" s="24" customFormat="1" hidden="1" outlineLevel="2" x14ac:dyDescent="0.3">
      <c r="A73" s="27"/>
      <c r="B73" s="11" t="str">
        <f>CONCATENATE("          ", "6286", " - ", "LAUNDRY EXPENSE")</f>
        <v xml:space="preserve">          6286 - LAUNDRY EXPENSE</v>
      </c>
      <c r="C73" s="11"/>
      <c r="D73" s="7">
        <v>869.96</v>
      </c>
      <c r="E73" s="2"/>
      <c r="F73" s="6">
        <f t="shared" si="36"/>
        <v>2.7984865474909083E-3</v>
      </c>
      <c r="G73" s="2"/>
      <c r="H73" s="7">
        <v>1667</v>
      </c>
      <c r="I73" s="2"/>
      <c r="J73" s="6">
        <f t="shared" si="37"/>
        <v>7.6538108356290178E-3</v>
      </c>
      <c r="K73" s="2"/>
      <c r="L73" s="7">
        <f t="shared" si="38"/>
        <v>-797.04</v>
      </c>
      <c r="M73" s="2"/>
      <c r="N73" s="6">
        <f t="shared" si="39"/>
        <v>-0.47812837432513494</v>
      </c>
      <c r="O73" s="11"/>
      <c r="P73" s="7">
        <v>7251.62</v>
      </c>
      <c r="Q73" s="2"/>
      <c r="R73" s="6">
        <f t="shared" si="40"/>
        <v>2.2864914344478985E-3</v>
      </c>
      <c r="S73" s="2"/>
      <c r="T73" s="7">
        <v>11669</v>
      </c>
      <c r="U73" s="2"/>
      <c r="V73" s="6">
        <f t="shared" si="41"/>
        <v>4.7914100353124746E-3</v>
      </c>
      <c r="W73" s="2"/>
      <c r="X73" s="7">
        <f t="shared" si="42"/>
        <v>-4417.38</v>
      </c>
      <c r="Y73" s="2"/>
      <c r="Z73" s="6">
        <f t="shared" si="43"/>
        <v>-0.37855686005656014</v>
      </c>
    </row>
    <row r="74" spans="1:26" s="28" customFormat="1" outlineLevel="1" collapsed="1" x14ac:dyDescent="0.3">
      <c r="A74" s="29"/>
      <c r="B74" s="14" t="str">
        <f>CONCATENATE("     ","Subscriptions &amp; Dues                              ")</f>
        <v xml:space="preserve">     Subscriptions &amp; Dues                              </v>
      </c>
      <c r="C74" s="14"/>
      <c r="D74" s="1">
        <f>SUM(OSRRefD22_13x_0)</f>
        <v>0</v>
      </c>
      <c r="E74" s="1"/>
      <c r="F74" s="5">
        <f t="shared" ref="F74:F84" si="44">IF(D$12=0,0,D74/D$12)</f>
        <v>0</v>
      </c>
      <c r="G74" s="1"/>
      <c r="H74" s="1">
        <f>SUM(OSRRefH22_13x_0)</f>
        <v>0</v>
      </c>
      <c r="I74" s="1"/>
      <c r="J74" s="5">
        <f t="shared" ref="J74:J84" si="45">IF(H$12=0,0,H74/H$12)</f>
        <v>0</v>
      </c>
      <c r="K74" s="1"/>
      <c r="L74" s="1">
        <f t="shared" ref="L74:L84" si="46">+D74-H74</f>
        <v>0</v>
      </c>
      <c r="M74" s="1"/>
      <c r="N74" s="5">
        <f t="shared" ref="N74:N84" si="47">IF(H74=0,0,L74/H74)</f>
        <v>0</v>
      </c>
      <c r="O74" s="14"/>
      <c r="P74" s="1">
        <f>SUM(OSRRefP22_13x_0)</f>
        <v>0</v>
      </c>
      <c r="Q74" s="1"/>
      <c r="R74" s="5">
        <f t="shared" ref="R74:R84" si="48">IF(P$12=0,0,P74/P$12)</f>
        <v>0</v>
      </c>
      <c r="S74" s="1"/>
      <c r="T74" s="1">
        <f>SUM(OSRRefT22_13x_0)</f>
        <v>795</v>
      </c>
      <c r="U74" s="1"/>
      <c r="V74" s="5">
        <f t="shared" ref="V74:V84" si="49">IF(T$12=0,0,T74/T$12)</f>
        <v>3.2643508253264351E-4</v>
      </c>
      <c r="W74" s="1"/>
      <c r="X74" s="1">
        <f t="shared" ref="X74:X84" si="50">+P74-T74</f>
        <v>-795</v>
      </c>
      <c r="Y74" s="1"/>
      <c r="Z74" s="5">
        <f t="shared" ref="Z74:Z84" si="51">IF(T74=0,0,X74/T74)</f>
        <v>-1</v>
      </c>
    </row>
    <row r="75" spans="1:26" s="24" customFormat="1" hidden="1" outlineLevel="2" x14ac:dyDescent="0.3">
      <c r="A75" s="27"/>
      <c r="B75" s="11" t="str">
        <f>CONCATENATE("          ", "6258", " - ", "MEMBERSHIP DUES")</f>
        <v xml:space="preserve">          6258 - MEMBERSHIP DUES</v>
      </c>
      <c r="C75" s="11"/>
      <c r="D75" s="7"/>
      <c r="E75" s="2"/>
      <c r="F75" s="6">
        <f t="shared" si="44"/>
        <v>0</v>
      </c>
      <c r="G75" s="2"/>
      <c r="H75" s="7"/>
      <c r="I75" s="2"/>
      <c r="J75" s="6">
        <f t="shared" si="45"/>
        <v>0</v>
      </c>
      <c r="K75" s="2"/>
      <c r="L75" s="7">
        <f t="shared" si="46"/>
        <v>0</v>
      </c>
      <c r="M75" s="2"/>
      <c r="N75" s="6">
        <f t="shared" si="47"/>
        <v>0</v>
      </c>
      <c r="O75" s="11"/>
      <c r="P75" s="7"/>
      <c r="Q75" s="2"/>
      <c r="R75" s="6">
        <f t="shared" si="48"/>
        <v>0</v>
      </c>
      <c r="S75" s="2"/>
      <c r="T75" s="7">
        <v>795</v>
      </c>
      <c r="U75" s="2"/>
      <c r="V75" s="6">
        <f t="shared" si="49"/>
        <v>3.2643508253264351E-4</v>
      </c>
      <c r="W75" s="2"/>
      <c r="X75" s="7">
        <f t="shared" si="50"/>
        <v>-795</v>
      </c>
      <c r="Y75" s="2"/>
      <c r="Z75" s="6">
        <f t="shared" si="51"/>
        <v>-1</v>
      </c>
    </row>
    <row r="76" spans="1:26" s="28" customFormat="1" outlineLevel="1" collapsed="1" x14ac:dyDescent="0.3">
      <c r="A76" s="29"/>
      <c r="B76" s="14" t="str">
        <f>CONCATENATE("     ","Supplies                                          ")</f>
        <v xml:space="preserve">     Supplies                                          </v>
      </c>
      <c r="C76" s="14"/>
      <c r="D76" s="1">
        <f>SUM(OSRRefD22_14x_0)</f>
        <v>3281.2799999999997</v>
      </c>
      <c r="E76" s="1"/>
      <c r="F76" s="5">
        <f t="shared" si="44"/>
        <v>1.0555218560107323E-2</v>
      </c>
      <c r="G76" s="1"/>
      <c r="H76" s="1">
        <f>SUM(OSRRefH22_14x_0)</f>
        <v>13066</v>
      </c>
      <c r="I76" s="1"/>
      <c r="J76" s="5">
        <f t="shared" si="45"/>
        <v>5.9990817263544535E-2</v>
      </c>
      <c r="K76" s="1"/>
      <c r="L76" s="1">
        <f t="shared" si="46"/>
        <v>-9784.7200000000012</v>
      </c>
      <c r="M76" s="1"/>
      <c r="N76" s="5">
        <f t="shared" si="47"/>
        <v>-0.74886881983774689</v>
      </c>
      <c r="O76" s="14"/>
      <c r="P76" s="1">
        <f>SUM(OSRRefP22_14x_0)</f>
        <v>106031.63</v>
      </c>
      <c r="Q76" s="1"/>
      <c r="R76" s="5">
        <f t="shared" si="48"/>
        <v>3.3432586618651949E-2</v>
      </c>
      <c r="S76" s="1"/>
      <c r="T76" s="1">
        <f>SUM(OSRRefT22_14x_0)</f>
        <v>91462</v>
      </c>
      <c r="U76" s="1"/>
      <c r="V76" s="5">
        <f t="shared" si="49"/>
        <v>3.7555227067422189E-2</v>
      </c>
      <c r="W76" s="1"/>
      <c r="X76" s="1">
        <f t="shared" si="50"/>
        <v>14569.630000000005</v>
      </c>
      <c r="Y76" s="1"/>
      <c r="Z76" s="5">
        <f t="shared" si="51"/>
        <v>0.15929708512825003</v>
      </c>
    </row>
    <row r="77" spans="1:26" s="24" customFormat="1" hidden="1" outlineLevel="2" x14ac:dyDescent="0.3">
      <c r="A77" s="27"/>
      <c r="B77" s="11" t="str">
        <f>CONCATENATE("          ", "6234", " - ", "EXPENDABLE SUPPLIES &amp; EQUIPMEN")</f>
        <v xml:space="preserve">          6234 - EXPENDABLE SUPPLIES &amp; EQUIPMEN</v>
      </c>
      <c r="C77" s="11"/>
      <c r="D77" s="7"/>
      <c r="E77" s="2"/>
      <c r="F77" s="6">
        <f t="shared" si="44"/>
        <v>0</v>
      </c>
      <c r="G77" s="2"/>
      <c r="H77" s="7"/>
      <c r="I77" s="2"/>
      <c r="J77" s="6">
        <f t="shared" si="45"/>
        <v>0</v>
      </c>
      <c r="K77" s="2"/>
      <c r="L77" s="7">
        <f t="shared" si="46"/>
        <v>0</v>
      </c>
      <c r="M77" s="2"/>
      <c r="N77" s="6">
        <f t="shared" si="47"/>
        <v>0</v>
      </c>
      <c r="O77" s="11"/>
      <c r="P77" s="7">
        <v>315</v>
      </c>
      <c r="Q77" s="2"/>
      <c r="R77" s="6">
        <f t="shared" si="48"/>
        <v>9.932191728897654E-5</v>
      </c>
      <c r="S77" s="2"/>
      <c r="T77" s="7"/>
      <c r="U77" s="2"/>
      <c r="V77" s="6">
        <f t="shared" si="49"/>
        <v>0</v>
      </c>
      <c r="W77" s="2"/>
      <c r="X77" s="7">
        <f t="shared" si="50"/>
        <v>315</v>
      </c>
      <c r="Y77" s="2"/>
      <c r="Z77" s="6">
        <f t="shared" si="51"/>
        <v>0</v>
      </c>
    </row>
    <row r="78" spans="1:26" s="24" customFormat="1" hidden="1" outlineLevel="2" x14ac:dyDescent="0.3">
      <c r="A78" s="27"/>
      <c r="B78" s="11" t="str">
        <f>CONCATENATE("          ", "6237", " - ", "JANITORIAL SUPPLIES")</f>
        <v xml:space="preserve">          6237 - JANITORIAL SUPPLIES</v>
      </c>
      <c r="C78" s="11"/>
      <c r="D78" s="7">
        <v>668.33</v>
      </c>
      <c r="E78" s="2"/>
      <c r="F78" s="6">
        <f t="shared" si="44"/>
        <v>2.1498833443889362E-3</v>
      </c>
      <c r="G78" s="2"/>
      <c r="H78" s="7">
        <v>3750</v>
      </c>
      <c r="I78" s="2"/>
      <c r="J78" s="6">
        <f t="shared" si="45"/>
        <v>1.7217630853994491E-2</v>
      </c>
      <c r="K78" s="2"/>
      <c r="L78" s="7">
        <f t="shared" si="46"/>
        <v>-3081.67</v>
      </c>
      <c r="M78" s="2"/>
      <c r="N78" s="6">
        <f t="shared" si="47"/>
        <v>-0.82177866666666666</v>
      </c>
      <c r="O78" s="11"/>
      <c r="P78" s="7">
        <v>16117.44</v>
      </c>
      <c r="Q78" s="2"/>
      <c r="R78" s="6">
        <f t="shared" si="48"/>
        <v>5.0819525161588637E-3</v>
      </c>
      <c r="S78" s="2"/>
      <c r="T78" s="7">
        <v>26250</v>
      </c>
      <c r="U78" s="2"/>
      <c r="V78" s="6">
        <f t="shared" si="49"/>
        <v>1.0778516876077851E-2</v>
      </c>
      <c r="W78" s="2"/>
      <c r="X78" s="7">
        <f t="shared" si="50"/>
        <v>-10132.56</v>
      </c>
      <c r="Y78" s="2"/>
      <c r="Z78" s="6">
        <f t="shared" si="51"/>
        <v>-0.38600228571428569</v>
      </c>
    </row>
    <row r="79" spans="1:26" s="24" customFormat="1" hidden="1" outlineLevel="2" x14ac:dyDescent="0.3">
      <c r="A79" s="27"/>
      <c r="B79" s="11" t="str">
        <f>CONCATENATE("          ", "6239", " - ", "KITCHEN SUPPLIES")</f>
        <v xml:space="preserve">          6239 - KITCHEN SUPPLIES</v>
      </c>
      <c r="C79" s="11"/>
      <c r="D79" s="7"/>
      <c r="E79" s="2"/>
      <c r="F79" s="6">
        <f t="shared" si="44"/>
        <v>0</v>
      </c>
      <c r="G79" s="2"/>
      <c r="H79" s="7">
        <v>1800</v>
      </c>
      <c r="I79" s="2"/>
      <c r="J79" s="6">
        <f t="shared" si="45"/>
        <v>8.2644628099173556E-3</v>
      </c>
      <c r="K79" s="2"/>
      <c r="L79" s="7">
        <f t="shared" si="46"/>
        <v>-1800</v>
      </c>
      <c r="M79" s="2"/>
      <c r="N79" s="6">
        <f t="shared" si="47"/>
        <v>-1</v>
      </c>
      <c r="O79" s="11"/>
      <c r="P79" s="7">
        <v>9506.25</v>
      </c>
      <c r="Q79" s="2"/>
      <c r="R79" s="6">
        <f t="shared" si="48"/>
        <v>2.9973935753280423E-3</v>
      </c>
      <c r="S79" s="2"/>
      <c r="T79" s="7">
        <v>12600</v>
      </c>
      <c r="U79" s="2"/>
      <c r="V79" s="6">
        <f t="shared" si="49"/>
        <v>5.1736881005173688E-3</v>
      </c>
      <c r="W79" s="2"/>
      <c r="X79" s="7">
        <f t="shared" si="50"/>
        <v>-3093.75</v>
      </c>
      <c r="Y79" s="2"/>
      <c r="Z79" s="6">
        <f t="shared" si="51"/>
        <v>-0.24553571428571427</v>
      </c>
    </row>
    <row r="80" spans="1:26" s="24" customFormat="1" hidden="1" outlineLevel="2" x14ac:dyDescent="0.3">
      <c r="A80" s="27"/>
      <c r="B80" s="11" t="str">
        <f>CONCATENATE("          ", "6241", " - ", "OFFICE EXPENSE")</f>
        <v xml:space="preserve">          6241 - OFFICE EXPENSE</v>
      </c>
      <c r="C80" s="11"/>
      <c r="D80" s="7">
        <v>9.35</v>
      </c>
      <c r="E80" s="2"/>
      <c r="F80" s="6">
        <f t="shared" si="44"/>
        <v>3.0077071611384422E-5</v>
      </c>
      <c r="G80" s="2"/>
      <c r="H80" s="7">
        <v>820</v>
      </c>
      <c r="I80" s="2"/>
      <c r="J80" s="6">
        <f t="shared" si="45"/>
        <v>3.7649219467401286E-3</v>
      </c>
      <c r="K80" s="2"/>
      <c r="L80" s="7">
        <f t="shared" si="46"/>
        <v>-810.65</v>
      </c>
      <c r="M80" s="2"/>
      <c r="N80" s="6">
        <f t="shared" si="47"/>
        <v>-0.98859756097560969</v>
      </c>
      <c r="O80" s="11"/>
      <c r="P80" s="7">
        <v>3581.57</v>
      </c>
      <c r="Q80" s="2"/>
      <c r="R80" s="6">
        <f t="shared" si="48"/>
        <v>1.1292965057291421E-3</v>
      </c>
      <c r="S80" s="2"/>
      <c r="T80" s="7">
        <v>5740</v>
      </c>
      <c r="U80" s="2"/>
      <c r="V80" s="6">
        <f t="shared" si="49"/>
        <v>2.3569023569023568E-3</v>
      </c>
      <c r="W80" s="2"/>
      <c r="X80" s="7">
        <f t="shared" si="50"/>
        <v>-2158.4299999999998</v>
      </c>
      <c r="Y80" s="2"/>
      <c r="Z80" s="6">
        <f t="shared" si="51"/>
        <v>-0.37603310104529614</v>
      </c>
    </row>
    <row r="81" spans="1:26" s="24" customFormat="1" hidden="1" outlineLevel="2" x14ac:dyDescent="0.3">
      <c r="A81" s="27"/>
      <c r="B81" s="11" t="str">
        <f>CONCATENATE("          ", "6243", " - ", "PAPER SUPPLIES")</f>
        <v xml:space="preserve">          6243 - PAPER SUPPLIES</v>
      </c>
      <c r="C81" s="11"/>
      <c r="D81" s="7">
        <v>2603.6</v>
      </c>
      <c r="E81" s="2"/>
      <c r="F81" s="6">
        <f t="shared" si="44"/>
        <v>8.3752581441070024E-3</v>
      </c>
      <c r="G81" s="2"/>
      <c r="H81" s="7">
        <v>6300</v>
      </c>
      <c r="I81" s="2"/>
      <c r="J81" s="6">
        <f t="shared" si="45"/>
        <v>2.8925619834710745E-2</v>
      </c>
      <c r="K81" s="2"/>
      <c r="L81" s="7">
        <f t="shared" si="46"/>
        <v>-3696.4</v>
      </c>
      <c r="M81" s="2"/>
      <c r="N81" s="6">
        <f t="shared" si="47"/>
        <v>-0.58673015873015877</v>
      </c>
      <c r="O81" s="11"/>
      <c r="P81" s="7">
        <v>74256.800000000003</v>
      </c>
      <c r="Q81" s="2"/>
      <c r="R81" s="6">
        <f t="shared" si="48"/>
        <v>2.3413738881727219E-2</v>
      </c>
      <c r="S81" s="2"/>
      <c r="T81" s="7">
        <v>44100</v>
      </c>
      <c r="U81" s="2"/>
      <c r="V81" s="6">
        <f t="shared" si="49"/>
        <v>1.8107908351810791E-2</v>
      </c>
      <c r="W81" s="2"/>
      <c r="X81" s="7">
        <f t="shared" si="50"/>
        <v>30156.800000000003</v>
      </c>
      <c r="Y81" s="2"/>
      <c r="Z81" s="6">
        <f t="shared" si="51"/>
        <v>0.68382766439909304</v>
      </c>
    </row>
    <row r="82" spans="1:26" s="24" customFormat="1" hidden="1" outlineLevel="2" x14ac:dyDescent="0.3">
      <c r="A82" s="27"/>
      <c r="B82" s="11" t="str">
        <f>CONCATENATE("          ", "6244", " - ", "SAFETY SUPPLY EXPENSE")</f>
        <v xml:space="preserve">          6244 - SAFETY SUPPLY EXPENSE</v>
      </c>
      <c r="C82" s="11"/>
      <c r="D82" s="7"/>
      <c r="E82" s="2"/>
      <c r="F82" s="6">
        <f t="shared" si="44"/>
        <v>0</v>
      </c>
      <c r="G82" s="2"/>
      <c r="H82" s="7">
        <v>200</v>
      </c>
      <c r="I82" s="2"/>
      <c r="J82" s="6">
        <f t="shared" si="45"/>
        <v>9.1827364554637281E-4</v>
      </c>
      <c r="K82" s="2"/>
      <c r="L82" s="7">
        <f t="shared" si="46"/>
        <v>-200</v>
      </c>
      <c r="M82" s="2"/>
      <c r="N82" s="6">
        <f t="shared" si="47"/>
        <v>-1</v>
      </c>
      <c r="O82" s="11"/>
      <c r="P82" s="7"/>
      <c r="Q82" s="2"/>
      <c r="R82" s="6">
        <f t="shared" si="48"/>
        <v>0</v>
      </c>
      <c r="S82" s="2"/>
      <c r="T82" s="7">
        <v>1400</v>
      </c>
      <c r="U82" s="2"/>
      <c r="V82" s="6">
        <f t="shared" si="49"/>
        <v>5.7485423339081879E-4</v>
      </c>
      <c r="W82" s="2"/>
      <c r="X82" s="7">
        <f t="shared" si="50"/>
        <v>-1400</v>
      </c>
      <c r="Y82" s="2"/>
      <c r="Z82" s="6">
        <f t="shared" si="51"/>
        <v>-1</v>
      </c>
    </row>
    <row r="83" spans="1:26" s="24" customFormat="1" hidden="1" outlineLevel="2" x14ac:dyDescent="0.3">
      <c r="A83" s="27"/>
      <c r="B83" s="11" t="str">
        <f>CONCATENATE("          ", "6247", " - ", "STORE SUPPLIES")</f>
        <v xml:space="preserve">          6247 - STORE SUPPLIES</v>
      </c>
      <c r="C83" s="11"/>
      <c r="D83" s="7"/>
      <c r="E83" s="2"/>
      <c r="F83" s="6">
        <f t="shared" si="44"/>
        <v>0</v>
      </c>
      <c r="G83" s="2"/>
      <c r="H83" s="7"/>
      <c r="I83" s="2"/>
      <c r="J83" s="6">
        <f t="shared" si="45"/>
        <v>0</v>
      </c>
      <c r="K83" s="2"/>
      <c r="L83" s="7">
        <f t="shared" si="46"/>
        <v>0</v>
      </c>
      <c r="M83" s="2"/>
      <c r="N83" s="6">
        <f t="shared" si="47"/>
        <v>0</v>
      </c>
      <c r="O83" s="11"/>
      <c r="P83" s="7">
        <v>384.16</v>
      </c>
      <c r="Q83" s="2"/>
      <c r="R83" s="6">
        <f t="shared" si="48"/>
        <v>1.2112859601820073E-4</v>
      </c>
      <c r="S83" s="2"/>
      <c r="T83" s="7"/>
      <c r="U83" s="2"/>
      <c r="V83" s="6">
        <f t="shared" si="49"/>
        <v>0</v>
      </c>
      <c r="W83" s="2"/>
      <c r="X83" s="7">
        <f t="shared" si="50"/>
        <v>384.16</v>
      </c>
      <c r="Y83" s="2"/>
      <c r="Z83" s="6">
        <f t="shared" si="51"/>
        <v>0</v>
      </c>
    </row>
    <row r="84" spans="1:26" s="24" customFormat="1" hidden="1" outlineLevel="2" x14ac:dyDescent="0.3">
      <c r="A84" s="27"/>
      <c r="B84" s="11" t="str">
        <f>CONCATENATE("          ", "6248", " - ", "UNIFORMS")</f>
        <v xml:space="preserve">          6248 - UNIFORMS</v>
      </c>
      <c r="C84" s="11"/>
      <c r="D84" s="7"/>
      <c r="E84" s="2"/>
      <c r="F84" s="6">
        <f t="shared" si="44"/>
        <v>0</v>
      </c>
      <c r="G84" s="2"/>
      <c r="H84" s="7">
        <v>196</v>
      </c>
      <c r="I84" s="2"/>
      <c r="J84" s="6">
        <f t="shared" si="45"/>
        <v>8.9990817263544537E-4</v>
      </c>
      <c r="K84" s="2"/>
      <c r="L84" s="7">
        <f t="shared" si="46"/>
        <v>-196</v>
      </c>
      <c r="M84" s="2"/>
      <c r="N84" s="6">
        <f t="shared" si="47"/>
        <v>-1</v>
      </c>
      <c r="O84" s="11"/>
      <c r="P84" s="7">
        <v>1870.41</v>
      </c>
      <c r="Q84" s="2"/>
      <c r="R84" s="6">
        <f t="shared" si="48"/>
        <v>5.8975462640150679E-4</v>
      </c>
      <c r="S84" s="2"/>
      <c r="T84" s="7">
        <v>1372</v>
      </c>
      <c r="U84" s="2"/>
      <c r="V84" s="6">
        <f t="shared" si="49"/>
        <v>5.6335714872300234E-4</v>
      </c>
      <c r="W84" s="2"/>
      <c r="X84" s="7">
        <f t="shared" si="50"/>
        <v>498.41000000000008</v>
      </c>
      <c r="Y84" s="2"/>
      <c r="Z84" s="6">
        <f t="shared" si="51"/>
        <v>0.36327259475218665</v>
      </c>
    </row>
    <row r="85" spans="1:26" s="28" customFormat="1" outlineLevel="1" collapsed="1" x14ac:dyDescent="0.3">
      <c r="A85" s="29"/>
      <c r="B85" s="14" t="str">
        <f>CONCATENATE("     ","Telephone/Data Lines                              ")</f>
        <v xml:space="preserve">     Telephone/Data Lines                              </v>
      </c>
      <c r="C85" s="14"/>
      <c r="D85" s="1">
        <f>SUM(OSRRefD22_15x_0)</f>
        <v>309</v>
      </c>
      <c r="E85" s="1"/>
      <c r="F85" s="5">
        <f t="shared" ref="F85:F88" si="52">IF(D$12=0,0,D85/D$12)</f>
        <v>9.9399092277195579E-4</v>
      </c>
      <c r="G85" s="1"/>
      <c r="H85" s="1">
        <f>SUM(OSRRefH22_15x_0)</f>
        <v>218</v>
      </c>
      <c r="I85" s="1"/>
      <c r="J85" s="5">
        <f t="shared" ref="J85:J88" si="53">IF(H$12=0,0,H85/H$12)</f>
        <v>1.0009182736455463E-3</v>
      </c>
      <c r="K85" s="1"/>
      <c r="L85" s="1">
        <f t="shared" ref="L85:L88" si="54">+D85-H85</f>
        <v>91</v>
      </c>
      <c r="M85" s="1"/>
      <c r="N85" s="5">
        <f t="shared" ref="N85:N88" si="55">IF(H85=0,0,L85/H85)</f>
        <v>0.41743119266055045</v>
      </c>
      <c r="O85" s="14"/>
      <c r="P85" s="1">
        <f>SUM(OSRRefP22_15x_0)</f>
        <v>2071</v>
      </c>
      <c r="Q85" s="1"/>
      <c r="R85" s="5">
        <f t="shared" ref="R85:R88" si="56">IF(P$12=0,0,P85/P$12)</f>
        <v>6.5300219271577906E-4</v>
      </c>
      <c r="S85" s="1"/>
      <c r="T85" s="1">
        <f>SUM(OSRRefT22_15x_0)</f>
        <v>1526</v>
      </c>
      <c r="U85" s="1"/>
      <c r="V85" s="5">
        <f t="shared" ref="V85:V88" si="57">IF(T$12=0,0,T85/T$12)</f>
        <v>6.2659111439599248E-4</v>
      </c>
      <c r="W85" s="1"/>
      <c r="X85" s="1">
        <f t="shared" ref="X85:X88" si="58">+P85-T85</f>
        <v>545</v>
      </c>
      <c r="Y85" s="1"/>
      <c r="Z85" s="5">
        <f t="shared" ref="Z85:Z88" si="59">IF(T85=0,0,X85/T85)</f>
        <v>0.35714285714285715</v>
      </c>
    </row>
    <row r="86" spans="1:26" s="24" customFormat="1" hidden="1" outlineLevel="2" x14ac:dyDescent="0.3">
      <c r="A86" s="27"/>
      <c r="B86" s="11" t="str">
        <f>CONCATENATE("          ", "6309", " - ", "TELEPHONE")</f>
        <v xml:space="preserve">          6309 - TELEPHONE</v>
      </c>
      <c r="C86" s="11"/>
      <c r="D86" s="7">
        <v>309</v>
      </c>
      <c r="E86" s="2"/>
      <c r="F86" s="6">
        <f t="shared" si="52"/>
        <v>9.9399092277195579E-4</v>
      </c>
      <c r="G86" s="2"/>
      <c r="H86" s="7">
        <v>218</v>
      </c>
      <c r="I86" s="2"/>
      <c r="J86" s="6">
        <f t="shared" si="53"/>
        <v>1.0009182736455463E-3</v>
      </c>
      <c r="K86" s="2"/>
      <c r="L86" s="7">
        <f t="shared" si="54"/>
        <v>91</v>
      </c>
      <c r="M86" s="2"/>
      <c r="N86" s="6">
        <f t="shared" si="55"/>
        <v>0.41743119266055045</v>
      </c>
      <c r="O86" s="11"/>
      <c r="P86" s="7">
        <v>2071</v>
      </c>
      <c r="Q86" s="2"/>
      <c r="R86" s="6">
        <f t="shared" si="56"/>
        <v>6.5300219271577906E-4</v>
      </c>
      <c r="S86" s="2"/>
      <c r="T86" s="7">
        <v>1526</v>
      </c>
      <c r="U86" s="2"/>
      <c r="V86" s="6">
        <f t="shared" si="57"/>
        <v>6.2659111439599248E-4</v>
      </c>
      <c r="W86" s="2"/>
      <c r="X86" s="7">
        <f t="shared" si="58"/>
        <v>545</v>
      </c>
      <c r="Y86" s="2"/>
      <c r="Z86" s="6">
        <f t="shared" si="59"/>
        <v>0.35714285714285715</v>
      </c>
    </row>
    <row r="87" spans="1:26" s="28" customFormat="1" outlineLevel="1" collapsed="1" x14ac:dyDescent="0.3">
      <c r="A87" s="29"/>
      <c r="B87" s="14" t="str">
        <f>CONCATENATE("     ","Training                                          ")</f>
        <v xml:space="preserve">     Training                                          </v>
      </c>
      <c r="C87" s="14"/>
      <c r="D87" s="1">
        <f>SUM(OSRRefD22_16x_0)</f>
        <v>0</v>
      </c>
      <c r="E87" s="1"/>
      <c r="F87" s="5">
        <f t="shared" si="52"/>
        <v>0</v>
      </c>
      <c r="G87" s="1"/>
      <c r="H87" s="1">
        <f>SUM(OSRRefH22_16x_0)</f>
        <v>175</v>
      </c>
      <c r="I87" s="1"/>
      <c r="J87" s="5">
        <f t="shared" si="53"/>
        <v>8.0348943985307617E-4</v>
      </c>
      <c r="K87" s="1"/>
      <c r="L87" s="1">
        <f t="shared" si="54"/>
        <v>-175</v>
      </c>
      <c r="M87" s="1"/>
      <c r="N87" s="5">
        <f t="shared" si="55"/>
        <v>-1</v>
      </c>
      <c r="O87" s="14"/>
      <c r="P87" s="1">
        <f>SUM(OSRRefP22_16x_0)</f>
        <v>245</v>
      </c>
      <c r="Q87" s="1"/>
      <c r="R87" s="5">
        <f t="shared" si="56"/>
        <v>7.7250380113648423E-5</v>
      </c>
      <c r="S87" s="1"/>
      <c r="T87" s="1">
        <f>SUM(OSRRefT22_16x_0)</f>
        <v>1225</v>
      </c>
      <c r="U87" s="1"/>
      <c r="V87" s="5">
        <f t="shared" si="57"/>
        <v>5.0299745421696638E-4</v>
      </c>
      <c r="W87" s="1"/>
      <c r="X87" s="1">
        <f t="shared" si="58"/>
        <v>-980</v>
      </c>
      <c r="Y87" s="1"/>
      <c r="Z87" s="5">
        <f t="shared" si="59"/>
        <v>-0.8</v>
      </c>
    </row>
    <row r="88" spans="1:26" s="24" customFormat="1" hidden="1" outlineLevel="2" x14ac:dyDescent="0.3">
      <c r="A88" s="27"/>
      <c r="B88" s="11" t="str">
        <f>CONCATENATE("          ", "6376", " - ", "TRAINING")</f>
        <v xml:space="preserve">          6376 - TRAINING</v>
      </c>
      <c r="C88" s="11"/>
      <c r="D88" s="7"/>
      <c r="E88" s="2"/>
      <c r="F88" s="6">
        <f t="shared" si="52"/>
        <v>0</v>
      </c>
      <c r="G88" s="2"/>
      <c r="H88" s="7">
        <v>175</v>
      </c>
      <c r="I88" s="2"/>
      <c r="J88" s="6">
        <f t="shared" si="53"/>
        <v>8.0348943985307617E-4</v>
      </c>
      <c r="K88" s="2"/>
      <c r="L88" s="7">
        <f t="shared" si="54"/>
        <v>-175</v>
      </c>
      <c r="M88" s="2"/>
      <c r="N88" s="6">
        <f t="shared" si="55"/>
        <v>-1</v>
      </c>
      <c r="O88" s="11"/>
      <c r="P88" s="7">
        <v>245</v>
      </c>
      <c r="Q88" s="2"/>
      <c r="R88" s="6">
        <f t="shared" si="56"/>
        <v>7.7250380113648423E-5</v>
      </c>
      <c r="S88" s="2"/>
      <c r="T88" s="7">
        <v>1225</v>
      </c>
      <c r="U88" s="2"/>
      <c r="V88" s="6">
        <f t="shared" si="57"/>
        <v>5.0299745421696638E-4</v>
      </c>
      <c r="W88" s="2"/>
      <c r="X88" s="7">
        <f t="shared" si="58"/>
        <v>-980</v>
      </c>
      <c r="Y88" s="2"/>
      <c r="Z88" s="6">
        <f t="shared" si="59"/>
        <v>-0.8</v>
      </c>
    </row>
    <row r="89" spans="1:26" s="55" customFormat="1" x14ac:dyDescent="0.3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3">
      <c r="A90" s="10"/>
      <c r="B90" s="25" t="s">
        <v>293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3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3">
      <c r="A92" s="10"/>
      <c r="B92" s="26" t="s">
        <v>277</v>
      </c>
      <c r="C92" s="26"/>
      <c r="D92" s="21">
        <f>+D23-D25+D90</f>
        <v>142582.30999999994</v>
      </c>
      <c r="E92" s="13"/>
      <c r="F92" s="22">
        <f>IF(D$12=0,0,D92/D$12)</f>
        <v>0.45865864688626862</v>
      </c>
      <c r="G92" s="13"/>
      <c r="H92" s="21">
        <f>+H23-H25+H90</f>
        <v>-33880.890614024946</v>
      </c>
      <c r="I92" s="13"/>
      <c r="J92" s="22">
        <f>IF(H$12=0,0,H92/H$12)</f>
        <v>-0.15555964469249287</v>
      </c>
      <c r="K92" s="15"/>
      <c r="L92" s="21">
        <f>+D92-H92</f>
        <v>176463.20061402488</v>
      </c>
      <c r="M92" s="15"/>
      <c r="N92" s="22">
        <f>IF(H92=0,0,L92/H92)</f>
        <v>-5.2083400824468944</v>
      </c>
      <c r="O92" s="25"/>
      <c r="P92" s="21">
        <f>+P23-P25+P90</f>
        <v>1156273.73</v>
      </c>
      <c r="Q92" s="13"/>
      <c r="R92" s="22">
        <f>IF(P$12=0,0,P92/P$12)</f>
        <v>0.36458198023643301</v>
      </c>
      <c r="S92" s="13"/>
      <c r="T92" s="21">
        <f>+T23-T25+T90</f>
        <v>338722.10539304605</v>
      </c>
      <c r="U92" s="13"/>
      <c r="V92" s="22">
        <f>IF(T$12=0,0,T92/T$12)</f>
        <v>0.13908274016303115</v>
      </c>
      <c r="W92" s="15"/>
      <c r="X92" s="21">
        <f>+P92-T92</f>
        <v>817551.62460695393</v>
      </c>
      <c r="Y92" s="15"/>
      <c r="Z92" s="22">
        <f>IF(T92=0,0,X92/T92)</f>
        <v>2.4136352826996164</v>
      </c>
    </row>
    <row r="93" spans="1:26" x14ac:dyDescent="0.3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3">
      <c r="A94" s="52"/>
      <c r="B94" s="10" t="s">
        <v>128</v>
      </c>
      <c r="C94" s="10"/>
      <c r="D94" s="4">
        <v>75466.69</v>
      </c>
      <c r="E94" s="4"/>
      <c r="F94" s="12">
        <f>IF(D$12=0,0,D94/D$12)</f>
        <v>0.24276118068493568</v>
      </c>
      <c r="G94" s="4"/>
      <c r="H94" s="4">
        <v>18032</v>
      </c>
      <c r="I94" s="4"/>
      <c r="J94" s="12">
        <f>IF(H$12=0,0,H94/H$12)</f>
        <v>8.279155188246097E-2</v>
      </c>
      <c r="K94" s="4"/>
      <c r="L94" s="4">
        <f>+D94-H94</f>
        <v>57434.69</v>
      </c>
      <c r="M94" s="4"/>
      <c r="N94" s="12">
        <f>IF(H94=0,0,L94/H94)</f>
        <v>3.1851536157941438</v>
      </c>
      <c r="O94" s="10"/>
      <c r="P94" s="4">
        <v>419803.88</v>
      </c>
      <c r="Q94" s="4"/>
      <c r="R94" s="12">
        <f>IF(P$12=0,0,P94/P$12)</f>
        <v>0.13236738491095693</v>
      </c>
      <c r="S94" s="4"/>
      <c r="T94" s="4">
        <v>305147</v>
      </c>
      <c r="U94" s="4"/>
      <c r="V94" s="12">
        <f>IF(T$12=0,0,T94/T$12)</f>
        <v>0.12529646054036297</v>
      </c>
      <c r="W94" s="4"/>
      <c r="X94" s="4">
        <f>+P94-T94</f>
        <v>114656.88</v>
      </c>
      <c r="Y94" s="4"/>
      <c r="Z94" s="12">
        <f>IF(T94=0,0,X94/T94)</f>
        <v>0.37574310086613993</v>
      </c>
    </row>
    <row r="95" spans="1:26" x14ac:dyDescent="0.3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" thickBot="1" x14ac:dyDescent="0.35">
      <c r="A96" s="10"/>
      <c r="B96" s="26" t="s">
        <v>126</v>
      </c>
      <c r="C96" s="26"/>
      <c r="D96" s="32">
        <f>+D92-D94</f>
        <v>67115.619999999937</v>
      </c>
      <c r="E96" s="13"/>
      <c r="F96" s="31">
        <f>IF(D$12=0,0,D96/D$12)</f>
        <v>0.2158974662013329</v>
      </c>
      <c r="G96" s="13"/>
      <c r="H96" s="32">
        <f>+H92-H94</f>
        <v>-51912.890614024946</v>
      </c>
      <c r="I96" s="13"/>
      <c r="J96" s="31">
        <f>IF(H$12=0,0,H96/H$12)</f>
        <v>-0.23835119657495385</v>
      </c>
      <c r="K96" s="15"/>
      <c r="L96" s="32">
        <f>D96-H96</f>
        <v>119028.51061402488</v>
      </c>
      <c r="M96" s="15"/>
      <c r="N96" s="31">
        <f>IF(H96=0,0,L96/H96)</f>
        <v>-2.2928507583792257</v>
      </c>
      <c r="O96" s="25"/>
      <c r="P96" s="32">
        <f>+P92-P94</f>
        <v>736469.85</v>
      </c>
      <c r="Q96" s="13"/>
      <c r="R96" s="31">
        <f>IF(P$12=0,0,P96/P$12)</f>
        <v>0.23221459532547606</v>
      </c>
      <c r="S96" s="13"/>
      <c r="T96" s="32">
        <f>+T92-T94</f>
        <v>33575.105393046048</v>
      </c>
      <c r="U96" s="13"/>
      <c r="V96" s="31">
        <f>IF(T$12=0,0,T96/T$12)</f>
        <v>1.3786279622668164E-2</v>
      </c>
      <c r="W96" s="15"/>
      <c r="X96" s="32">
        <f>P96-T96</f>
        <v>702894.74460695393</v>
      </c>
      <c r="Y96" s="15"/>
      <c r="Z96" s="31">
        <f>IF(T96=0,0,X96/T96)</f>
        <v>20.934997414856511</v>
      </c>
    </row>
    <row r="97" spans="1:26" ht="15" thickTop="1" x14ac:dyDescent="0.3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3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" thickBot="1" x14ac:dyDescent="0.35">
      <c r="A99" s="10"/>
      <c r="B99" s="26" t="s">
        <v>294</v>
      </c>
      <c r="C99" s="26"/>
      <c r="D99" s="34">
        <f>SUM(D96:D98)</f>
        <v>67115.619999999937</v>
      </c>
      <c r="E99" s="13"/>
      <c r="F99" s="35">
        <f>IF(D$12=0,0,D99/D$12)</f>
        <v>0.2158974662013329</v>
      </c>
      <c r="G99" s="13"/>
      <c r="H99" s="34">
        <f>SUM(H96:H98)</f>
        <v>-51912.890614024946</v>
      </c>
      <c r="I99" s="13"/>
      <c r="J99" s="35">
        <f>IF(H$12=0,0,H99/H$12)</f>
        <v>-0.23835119657495385</v>
      </c>
      <c r="K99" s="15"/>
      <c r="L99" s="34">
        <f>+D99-H99</f>
        <v>119028.51061402488</v>
      </c>
      <c r="M99" s="15"/>
      <c r="N99" s="35">
        <f>IF(H99=0,0,L99/H99)</f>
        <v>-2.2928507583792257</v>
      </c>
      <c r="O99" s="25"/>
      <c r="P99" s="34">
        <f>SUM(P96:P98)</f>
        <v>736469.85</v>
      </c>
      <c r="Q99" s="13"/>
      <c r="R99" s="35">
        <f>IF(P$12=0,0,P99/P$12)</f>
        <v>0.23221459532547606</v>
      </c>
      <c r="S99" s="13"/>
      <c r="T99" s="34">
        <f>SUM(T96:T98)</f>
        <v>33575.105393046048</v>
      </c>
      <c r="U99" s="13"/>
      <c r="V99" s="35">
        <f>IF(T$12=0,0,T99/T$12)</f>
        <v>1.3786279622668164E-2</v>
      </c>
      <c r="W99" s="15"/>
      <c r="X99" s="34">
        <f>+P99-T99</f>
        <v>702894.74460695393</v>
      </c>
      <c r="Y99" s="15"/>
      <c r="Z99" s="35">
        <f>IF(T99=0,0,X99/T99)</f>
        <v>20.934997414856511</v>
      </c>
    </row>
    <row r="100" spans="1:26" ht="15" thickTop="1" x14ac:dyDescent="0.3">
      <c r="A100" s="9"/>
      <c r="C100" s="9"/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6" x14ac:dyDescent="0.3">
      <c r="A101" s="9"/>
      <c r="B101" s="53">
        <v>44604.019995405091</v>
      </c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3">
      <c r="A102" s="9"/>
      <c r="B102" s="63" t="s">
        <v>56</v>
      </c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3">
      <c r="A103" s="9"/>
      <c r="B103" s="58"/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3"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92D050"/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","450", " - ", "Beachside Dining Hall")</f>
        <v>Department 450 - Beachside Dining Hall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116650.59000000001</v>
      </c>
      <c r="E12" s="4"/>
      <c r="F12" s="12"/>
      <c r="G12" s="4"/>
      <c r="H12" s="4">
        <f>SUM(OSRRefH13x_0)</f>
        <v>47520</v>
      </c>
      <c r="I12" s="4"/>
      <c r="J12" s="12"/>
      <c r="K12" s="4"/>
      <c r="L12" s="4">
        <f t="shared" ref="L12:L16" si="0">+D12-H12</f>
        <v>69130.590000000011</v>
      </c>
      <c r="M12" s="4"/>
      <c r="N12" s="12">
        <f t="shared" ref="N12:N16" si="1">IF(H12=0,0,L12/H12)</f>
        <v>1.4547683080808083</v>
      </c>
      <c r="O12" s="10"/>
      <c r="P12" s="4">
        <f>SUM(OSRRefP13x_0)</f>
        <v>1014563.6</v>
      </c>
      <c r="Q12" s="4"/>
      <c r="R12" s="12"/>
      <c r="S12" s="4"/>
      <c r="T12" s="4">
        <f>SUM(OSRRefT13x_0)</f>
        <v>531360</v>
      </c>
      <c r="U12" s="4"/>
      <c r="V12" s="12"/>
      <c r="W12" s="4"/>
      <c r="X12" s="4">
        <f t="shared" ref="X12:X16" si="2">+P12-T12</f>
        <v>483203.6</v>
      </c>
      <c r="Y12" s="4"/>
      <c r="Z12" s="12">
        <f t="shared" ref="Z12:Z16" si="3">IF(T12=0,0,X12/T12)</f>
        <v>0.90937142426979822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--30.24</f>
        <v>30.24</v>
      </c>
      <c r="E13" s="2"/>
      <c r="F13" s="19"/>
      <c r="G13" s="2"/>
      <c r="H13" s="2"/>
      <c r="I13" s="2"/>
      <c r="J13" s="19"/>
      <c r="K13" s="2"/>
      <c r="L13" s="2">
        <f t="shared" si="0"/>
        <v>30.24</v>
      </c>
      <c r="M13" s="2"/>
      <c r="N13" s="19">
        <f t="shared" si="1"/>
        <v>0</v>
      </c>
      <c r="O13" s="11"/>
      <c r="P13" s="2">
        <f>--193.36</f>
        <v>193.36</v>
      </c>
      <c r="Q13" s="2"/>
      <c r="R13" s="19"/>
      <c r="S13" s="2"/>
      <c r="T13" s="2"/>
      <c r="U13" s="2"/>
      <c r="V13" s="19"/>
      <c r="W13" s="2"/>
      <c r="X13" s="2">
        <f t="shared" si="2"/>
        <v>193.36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47520</v>
      </c>
      <c r="I14" s="2"/>
      <c r="J14" s="19"/>
      <c r="K14" s="2"/>
      <c r="L14" s="2">
        <f t="shared" si="0"/>
        <v>-47520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531360</v>
      </c>
      <c r="U14" s="2"/>
      <c r="V14" s="19"/>
      <c r="W14" s="2"/>
      <c r="X14" s="2">
        <f t="shared" si="2"/>
        <v>-531360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--116127.57</f>
        <v>116127.57</v>
      </c>
      <c r="E15" s="2"/>
      <c r="F15" s="19"/>
      <c r="G15" s="2"/>
      <c r="H15" s="2"/>
      <c r="I15" s="2"/>
      <c r="J15" s="19"/>
      <c r="K15" s="2"/>
      <c r="L15" s="2">
        <f t="shared" si="0"/>
        <v>116127.57</v>
      </c>
      <c r="M15" s="2"/>
      <c r="N15" s="19">
        <f t="shared" si="1"/>
        <v>0</v>
      </c>
      <c r="O15" s="11"/>
      <c r="P15" s="2">
        <f>--1009402.57</f>
        <v>1009402.57</v>
      </c>
      <c r="Q15" s="2"/>
      <c r="R15" s="19"/>
      <c r="S15" s="2"/>
      <c r="T15" s="2"/>
      <c r="U15" s="2"/>
      <c r="V15" s="19"/>
      <c r="W15" s="2"/>
      <c r="X15" s="2">
        <f t="shared" si="2"/>
        <v>1009402.57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--492.78</f>
        <v>492.78</v>
      </c>
      <c r="E16" s="2"/>
      <c r="F16" s="19"/>
      <c r="G16" s="2"/>
      <c r="H16" s="2"/>
      <c r="I16" s="2"/>
      <c r="J16" s="19"/>
      <c r="K16" s="2"/>
      <c r="L16" s="2">
        <f t="shared" si="0"/>
        <v>492.78</v>
      </c>
      <c r="M16" s="2"/>
      <c r="N16" s="19">
        <f t="shared" si="1"/>
        <v>0</v>
      </c>
      <c r="O16" s="11"/>
      <c r="P16" s="2">
        <f>--4967.67</f>
        <v>4967.67</v>
      </c>
      <c r="Q16" s="2"/>
      <c r="R16" s="19"/>
      <c r="S16" s="2"/>
      <c r="T16" s="2"/>
      <c r="U16" s="2"/>
      <c r="V16" s="19"/>
      <c r="W16" s="2"/>
      <c r="X16" s="2">
        <f t="shared" si="2"/>
        <v>4967.67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5" t="s">
        <v>257</v>
      </c>
      <c r="C18" s="10"/>
      <c r="D18" s="4">
        <f>SUM(OSRRefD16x_0)</f>
        <v>24438.3</v>
      </c>
      <c r="E18" s="4"/>
      <c r="F18" s="12">
        <f t="shared" ref="F18:F21" si="4">IF(D$12=0,0,D18/D$12)</f>
        <v>0.20950001195879075</v>
      </c>
      <c r="G18" s="4"/>
      <c r="H18" s="4">
        <f>SUM(OSRRefH16x_0)</f>
        <v>12355</v>
      </c>
      <c r="I18" s="4"/>
      <c r="J18" s="12">
        <f t="shared" ref="J18:J21" si="5">IF(H$12=0,0,H18/H$12)</f>
        <v>0.25999579124579125</v>
      </c>
      <c r="K18" s="4"/>
      <c r="L18" s="4">
        <f t="shared" ref="L18:L21" si="6">+D18-H18</f>
        <v>12083.3</v>
      </c>
      <c r="M18" s="4"/>
      <c r="N18" s="12">
        <f t="shared" ref="N18:N21" si="7">IF(H18=0,0,L18/H18)</f>
        <v>0.97800890327802503</v>
      </c>
      <c r="O18" s="10"/>
      <c r="P18" s="4">
        <f>SUM(OSRRefP16x_0)</f>
        <v>261814.59000000003</v>
      </c>
      <c r="Q18" s="4"/>
      <c r="R18" s="12">
        <f t="shared" ref="R18:R21" si="8">IF(P$12=0,0,P18/P$12)</f>
        <v>0.25805636038982677</v>
      </c>
      <c r="S18" s="4"/>
      <c r="T18" s="4">
        <f>SUM(OSRRefT16x_0)</f>
        <v>144783</v>
      </c>
      <c r="U18" s="4"/>
      <c r="V18" s="12">
        <f t="shared" ref="V18:V21" si="9">IF(T$12=0,0,T18/T$12)</f>
        <v>0.27247628726287265</v>
      </c>
      <c r="W18" s="4"/>
      <c r="X18" s="4">
        <f t="shared" ref="X18:X21" si="10">+P18-T18</f>
        <v>117031.59000000003</v>
      </c>
      <c r="Y18" s="4"/>
      <c r="Z18" s="12">
        <f t="shared" ref="Z18:Z21" si="11">IF(T18=0,0,X18/T18)</f>
        <v>0.80832411263753357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12355</v>
      </c>
      <c r="I19" s="2"/>
      <c r="J19" s="19">
        <f t="shared" si="5"/>
        <v>0.25999579124579125</v>
      </c>
      <c r="K19" s="2"/>
      <c r="L19" s="2">
        <f t="shared" si="6"/>
        <v>-12355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144783</v>
      </c>
      <c r="U19" s="2"/>
      <c r="V19" s="19">
        <f t="shared" si="9"/>
        <v>0.27247628726287265</v>
      </c>
      <c r="W19" s="2"/>
      <c r="X19" s="2">
        <f t="shared" si="10"/>
        <v>-144783</v>
      </c>
      <c r="Y19" s="2"/>
      <c r="Z19" s="19">
        <f t="shared" si="11"/>
        <v>-1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27390.3</v>
      </c>
      <c r="E20" s="2"/>
      <c r="F20" s="19">
        <f t="shared" si="4"/>
        <v>0.2348063563159003</v>
      </c>
      <c r="G20" s="2"/>
      <c r="H20" s="2"/>
      <c r="I20" s="2"/>
      <c r="J20" s="19">
        <f t="shared" si="5"/>
        <v>0</v>
      </c>
      <c r="K20" s="2"/>
      <c r="L20" s="2">
        <f t="shared" si="6"/>
        <v>27390.3</v>
      </c>
      <c r="M20" s="2"/>
      <c r="N20" s="19">
        <f t="shared" si="7"/>
        <v>0</v>
      </c>
      <c r="O20" s="11"/>
      <c r="P20" s="2">
        <v>273593.65000000002</v>
      </c>
      <c r="Q20" s="2"/>
      <c r="R20" s="19">
        <f t="shared" si="8"/>
        <v>0.26966633732966572</v>
      </c>
      <c r="S20" s="2"/>
      <c r="T20" s="2"/>
      <c r="U20" s="2"/>
      <c r="V20" s="19">
        <f t="shared" si="9"/>
        <v>0</v>
      </c>
      <c r="W20" s="2"/>
      <c r="X20" s="2">
        <f t="shared" si="10"/>
        <v>273593.65000000002</v>
      </c>
      <c r="Y20" s="2"/>
      <c r="Z20" s="19">
        <f t="shared" si="11"/>
        <v>0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-2952</v>
      </c>
      <c r="E21" s="2"/>
      <c r="F21" s="19">
        <f t="shared" si="4"/>
        <v>-2.5306344357109552E-2</v>
      </c>
      <c r="G21" s="2"/>
      <c r="H21" s="2"/>
      <c r="I21" s="2"/>
      <c r="J21" s="19">
        <f t="shared" si="5"/>
        <v>0</v>
      </c>
      <c r="K21" s="2"/>
      <c r="L21" s="2">
        <f t="shared" si="6"/>
        <v>-2952</v>
      </c>
      <c r="M21" s="2"/>
      <c r="N21" s="19">
        <f t="shared" si="7"/>
        <v>0</v>
      </c>
      <c r="O21" s="11"/>
      <c r="P21" s="2">
        <v>-11779.06</v>
      </c>
      <c r="Q21" s="2"/>
      <c r="R21" s="19">
        <f t="shared" si="8"/>
        <v>-1.1609976939838961E-2</v>
      </c>
      <c r="S21" s="2"/>
      <c r="T21" s="2"/>
      <c r="U21" s="2"/>
      <c r="V21" s="19">
        <f t="shared" si="9"/>
        <v>0</v>
      </c>
      <c r="W21" s="2"/>
      <c r="X21" s="2">
        <f t="shared" si="10"/>
        <v>-11779.06</v>
      </c>
      <c r="Y21" s="2"/>
      <c r="Z21" s="19">
        <f t="shared" si="11"/>
        <v>0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6" t="s">
        <v>108</v>
      </c>
      <c r="C23" s="26"/>
      <c r="D23" s="21">
        <f>D12-D18</f>
        <v>92212.290000000008</v>
      </c>
      <c r="E23" s="13"/>
      <c r="F23" s="22">
        <f>IF(D$12=0,0,D23/D$12)</f>
        <v>0.79049998804120925</v>
      </c>
      <c r="G23" s="13"/>
      <c r="H23" s="21">
        <f>H12-H18</f>
        <v>35165</v>
      </c>
      <c r="I23" s="13"/>
      <c r="J23" s="22">
        <f>IF(H$12=0,0,H23/H$12)</f>
        <v>0.7400042087542088</v>
      </c>
      <c r="K23" s="15"/>
      <c r="L23" s="21">
        <f>+D23-H23</f>
        <v>57047.290000000008</v>
      </c>
      <c r="M23" s="15"/>
      <c r="N23" s="22">
        <f>IF(H23=0,0,L23/H23)</f>
        <v>1.6222747049623207</v>
      </c>
      <c r="O23" s="25"/>
      <c r="P23" s="21">
        <f>P12-P18</f>
        <v>752749.01</v>
      </c>
      <c r="Q23" s="13"/>
      <c r="R23" s="22">
        <f>IF(P$12=0,0,P23/P$12)</f>
        <v>0.74194363961017329</v>
      </c>
      <c r="S23" s="13"/>
      <c r="T23" s="21">
        <f>T12-T18</f>
        <v>386577</v>
      </c>
      <c r="U23" s="13"/>
      <c r="V23" s="22">
        <f>IF(T$12=0,0,T23/T$12)</f>
        <v>0.72752371273712735</v>
      </c>
      <c r="W23" s="15"/>
      <c r="X23" s="21">
        <f>+P23-T23</f>
        <v>366172.01</v>
      </c>
      <c r="Y23" s="15"/>
      <c r="Z23" s="22">
        <f>IF(T23=0,0,X23/T23)</f>
        <v>0.94721623376455399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5" t="s">
        <v>295</v>
      </c>
      <c r="C25" s="10"/>
      <c r="D25" s="20">
        <f>SUM(OSRRefD22x_0)</f>
        <v>80142.510000000009</v>
      </c>
      <c r="E25" s="20"/>
      <c r="F25" s="33">
        <f t="shared" ref="F25:F36" si="12">IF(D$12=0,0,D25/D$12)</f>
        <v>0.68703047279915175</v>
      </c>
      <c r="G25" s="20"/>
      <c r="H25" s="20">
        <f>SUM(OSRRefH22x_0)</f>
        <v>119023.74674615386</v>
      </c>
      <c r="I25" s="20"/>
      <c r="J25" s="33">
        <f t="shared" ref="J25:J36" si="13">IF(H$12=0,0,H25/H$12)</f>
        <v>2.5047084752978508</v>
      </c>
      <c r="K25" s="4"/>
      <c r="L25" s="20">
        <f t="shared" ref="L25:L36" si="14">+D25-H25</f>
        <v>-38881.236746153852</v>
      </c>
      <c r="M25" s="4"/>
      <c r="N25" s="33">
        <f t="shared" ref="N25:N36" si="15">IF(H25=0,0,L25/H25)</f>
        <v>-0.32666789450912881</v>
      </c>
      <c r="O25" s="10"/>
      <c r="P25" s="20">
        <f>SUM(OSRRefP22x_0)</f>
        <v>746501.41000000015</v>
      </c>
      <c r="Q25" s="20"/>
      <c r="R25" s="33">
        <f t="shared" ref="R25:R36" si="16">IF(P$12=0,0,P25/P$12)</f>
        <v>0.73578572107258744</v>
      </c>
      <c r="S25" s="20"/>
      <c r="T25" s="20">
        <f>SUM(OSRRefT22x_0)</f>
        <v>826599.83572615369</v>
      </c>
      <c r="U25" s="20"/>
      <c r="V25" s="33">
        <f t="shared" ref="V25:V36" si="17">IF(T$12=0,0,T25/T$12)</f>
        <v>1.5556305249287747</v>
      </c>
      <c r="W25" s="4"/>
      <c r="X25" s="20">
        <f t="shared" ref="X25:X36" si="18">+P25-T25</f>
        <v>-80098.425726153539</v>
      </c>
      <c r="Y25" s="4"/>
      <c r="Z25" s="33">
        <f t="shared" ref="Z25:Z36" si="19">IF(T25=0,0,X25/T25)</f>
        <v>-9.6901090786920441E-2</v>
      </c>
    </row>
    <row r="26" spans="1:26" s="28" customFormat="1" outlineLevel="1" collapsed="1" x14ac:dyDescent="0.3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24304.190000000002</v>
      </c>
      <c r="E26" s="1"/>
      <c r="F26" s="5">
        <f t="shared" si="12"/>
        <v>0.20835033924817697</v>
      </c>
      <c r="G26" s="1"/>
      <c r="H26" s="1">
        <f>SUM(OSRRefH22_0x_0)</f>
        <v>35139.093515384637</v>
      </c>
      <c r="I26" s="1"/>
      <c r="J26" s="5">
        <f t="shared" si="13"/>
        <v>0.73945903862341411</v>
      </c>
      <c r="K26" s="1"/>
      <c r="L26" s="1">
        <f t="shared" si="14"/>
        <v>-10834.903515384634</v>
      </c>
      <c r="M26" s="1"/>
      <c r="N26" s="5">
        <f t="shared" si="15"/>
        <v>-0.30834328468493033</v>
      </c>
      <c r="O26" s="14"/>
      <c r="P26" s="1">
        <f>SUM(OSRRefP22_0x_0)</f>
        <v>159736.09999999998</v>
      </c>
      <c r="Q26" s="1"/>
      <c r="R26" s="5">
        <f t="shared" si="16"/>
        <v>0.15744316078361179</v>
      </c>
      <c r="S26" s="1"/>
      <c r="T26" s="1">
        <f>SUM(OSRRefT22_0x_0)</f>
        <v>225799.46249538451</v>
      </c>
      <c r="U26" s="1"/>
      <c r="V26" s="5">
        <f t="shared" si="17"/>
        <v>0.42494629346466523</v>
      </c>
      <c r="W26" s="1"/>
      <c r="X26" s="1">
        <f t="shared" si="18"/>
        <v>-66063.362495384528</v>
      </c>
      <c r="Y26" s="1"/>
      <c r="Z26" s="5">
        <f t="shared" si="19"/>
        <v>-0.29257537535872086</v>
      </c>
    </row>
    <row r="27" spans="1:26" s="24" customFormat="1" hidden="1" outlineLevel="2" x14ac:dyDescent="0.3">
      <c r="A27" s="27"/>
      <c r="B27" s="11" t="str">
        <f>CONCATENATE("          ", "6111", " - ", "F.I.C.A.")</f>
        <v xml:space="preserve">          6111 - F.I.C.A.</v>
      </c>
      <c r="C27" s="11"/>
      <c r="D27" s="7">
        <v>2313.65</v>
      </c>
      <c r="E27" s="2"/>
      <c r="F27" s="6">
        <f t="shared" si="12"/>
        <v>1.9834018842082152E-2</v>
      </c>
      <c r="G27" s="2"/>
      <c r="H27" s="7">
        <v>3292.49720769231</v>
      </c>
      <c r="I27" s="2"/>
      <c r="J27" s="6">
        <f t="shared" si="13"/>
        <v>6.9286557400932453E-2</v>
      </c>
      <c r="K27" s="2"/>
      <c r="L27" s="7">
        <f t="shared" si="14"/>
        <v>-978.84720769230989</v>
      </c>
      <c r="M27" s="2"/>
      <c r="N27" s="6">
        <f t="shared" si="15"/>
        <v>-0.29729629091420784</v>
      </c>
      <c r="O27" s="11"/>
      <c r="P27" s="7">
        <v>20877.169999999998</v>
      </c>
      <c r="Q27" s="2"/>
      <c r="R27" s="6">
        <f t="shared" si="16"/>
        <v>2.0577487700130379E-2</v>
      </c>
      <c r="S27" s="2"/>
      <c r="T27" s="7">
        <v>21404.5461876923</v>
      </c>
      <c r="U27" s="2"/>
      <c r="V27" s="6">
        <f t="shared" si="17"/>
        <v>4.0282569609478132E-2</v>
      </c>
      <c r="W27" s="2"/>
      <c r="X27" s="7">
        <f t="shared" si="18"/>
        <v>-527.37618769230176</v>
      </c>
      <c r="Y27" s="2"/>
      <c r="Z27" s="6">
        <f t="shared" si="19"/>
        <v>-2.4638512915333154E-2</v>
      </c>
    </row>
    <row r="28" spans="1:26" s="24" customFormat="1" hidden="1" outlineLevel="2" x14ac:dyDescent="0.3">
      <c r="A28" s="27"/>
      <c r="B28" s="11" t="str">
        <f>CONCATENATE("          ", "6112", " - ", "COMPENSATION INSURANCE")</f>
        <v xml:space="preserve">          6112 - COMPENSATION INSURANCE</v>
      </c>
      <c r="C28" s="11"/>
      <c r="D28" s="7">
        <v>1197.9000000000001</v>
      </c>
      <c r="E28" s="2"/>
      <c r="F28" s="6">
        <f t="shared" si="12"/>
        <v>1.0269129371741712E-2</v>
      </c>
      <c r="G28" s="2"/>
      <c r="H28" s="7">
        <v>2517.2993415384599</v>
      </c>
      <c r="I28" s="2"/>
      <c r="J28" s="6">
        <f t="shared" si="13"/>
        <v>5.2973470991970958E-2</v>
      </c>
      <c r="K28" s="2"/>
      <c r="L28" s="7">
        <f t="shared" si="14"/>
        <v>-1319.3993415384598</v>
      </c>
      <c r="M28" s="2"/>
      <c r="N28" s="6">
        <f t="shared" si="15"/>
        <v>-0.52413287516775908</v>
      </c>
      <c r="O28" s="11"/>
      <c r="P28" s="7">
        <v>13152.9</v>
      </c>
      <c r="Q28" s="2"/>
      <c r="R28" s="6">
        <f t="shared" si="16"/>
        <v>1.2964096090181039E-2</v>
      </c>
      <c r="S28" s="2"/>
      <c r="T28" s="7">
        <v>17677.9057415385</v>
      </c>
      <c r="U28" s="2"/>
      <c r="V28" s="6">
        <f t="shared" si="17"/>
        <v>3.326916919139284E-2</v>
      </c>
      <c r="W28" s="2"/>
      <c r="X28" s="7">
        <f t="shared" si="18"/>
        <v>-4525.0057415384999</v>
      </c>
      <c r="Y28" s="2"/>
      <c r="Z28" s="6">
        <f t="shared" si="19"/>
        <v>-0.25596955927341036</v>
      </c>
    </row>
    <row r="29" spans="1:26" s="24" customFormat="1" hidden="1" outlineLevel="2" x14ac:dyDescent="0.3">
      <c r="A29" s="27"/>
      <c r="B29" s="11" t="str">
        <f>CONCATENATE("          ", "6113", " - ", "GROUP INSURANCE")</f>
        <v xml:space="preserve">          6113 - GROUP INSURANCE</v>
      </c>
      <c r="C29" s="11"/>
      <c r="D29" s="7">
        <v>12752.57</v>
      </c>
      <c r="E29" s="2"/>
      <c r="F29" s="6">
        <f t="shared" si="12"/>
        <v>0.10932280754002185</v>
      </c>
      <c r="G29" s="2"/>
      <c r="H29" s="7">
        <v>22728.9230769231</v>
      </c>
      <c r="I29" s="2"/>
      <c r="J29" s="6">
        <f t="shared" si="13"/>
        <v>0.47830225330225379</v>
      </c>
      <c r="K29" s="2"/>
      <c r="L29" s="7">
        <f t="shared" si="14"/>
        <v>-9976.3530769231002</v>
      </c>
      <c r="M29" s="2"/>
      <c r="N29" s="6">
        <f t="shared" si="15"/>
        <v>-0.43892766248358639</v>
      </c>
      <c r="O29" s="11"/>
      <c r="P29" s="7">
        <v>84251.61</v>
      </c>
      <c r="Q29" s="2"/>
      <c r="R29" s="6">
        <f t="shared" si="16"/>
        <v>8.3042216377563718E-2</v>
      </c>
      <c r="S29" s="2"/>
      <c r="T29" s="7">
        <v>142500.92307692301</v>
      </c>
      <c r="U29" s="2"/>
      <c r="V29" s="6">
        <f t="shared" si="17"/>
        <v>0.26818150232784366</v>
      </c>
      <c r="W29" s="2"/>
      <c r="X29" s="7">
        <f t="shared" si="18"/>
        <v>-58249.313076923005</v>
      </c>
      <c r="Y29" s="2"/>
      <c r="Z29" s="6">
        <f t="shared" si="19"/>
        <v>-0.40876446144478384</v>
      </c>
    </row>
    <row r="30" spans="1:26" s="24" customFormat="1" hidden="1" outlineLevel="2" x14ac:dyDescent="0.3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7">
        <v>86.5</v>
      </c>
      <c r="E30" s="2"/>
      <c r="F30" s="6">
        <f t="shared" si="12"/>
        <v>7.4153075436652303E-4</v>
      </c>
      <c r="G30" s="2"/>
      <c r="H30" s="7">
        <v>139.480966153846</v>
      </c>
      <c r="I30" s="2"/>
      <c r="J30" s="6">
        <f t="shared" si="13"/>
        <v>2.9352055167055132E-3</v>
      </c>
      <c r="K30" s="2"/>
      <c r="L30" s="7">
        <f t="shared" si="14"/>
        <v>-52.980966153845998</v>
      </c>
      <c r="M30" s="2"/>
      <c r="N30" s="6">
        <f t="shared" si="15"/>
        <v>-0.37984369921418931</v>
      </c>
      <c r="O30" s="11"/>
      <c r="P30" s="7">
        <v>949.93</v>
      </c>
      <c r="Q30" s="2"/>
      <c r="R30" s="6">
        <f t="shared" si="16"/>
        <v>9.3629418599287416E-4</v>
      </c>
      <c r="S30" s="2"/>
      <c r="T30" s="7">
        <v>979.51456615384598</v>
      </c>
      <c r="U30" s="2"/>
      <c r="V30" s="6">
        <f t="shared" si="17"/>
        <v>1.8434104301299421E-3</v>
      </c>
      <c r="W30" s="2"/>
      <c r="X30" s="7">
        <f t="shared" si="18"/>
        <v>-29.584566153846026</v>
      </c>
      <c r="Y30" s="2"/>
      <c r="Z30" s="6">
        <f t="shared" si="19"/>
        <v>-3.020329372947719E-2</v>
      </c>
    </row>
    <row r="31" spans="1:26" s="24" customFormat="1" hidden="1" outlineLevel="2" x14ac:dyDescent="0.3">
      <c r="A31" s="27"/>
      <c r="B31" s="11" t="str">
        <f>CONCATENATE("          ", "6115", " - ", "P.E.R.S.")</f>
        <v xml:space="preserve">          6115 - P.E.R.S.</v>
      </c>
      <c r="C31" s="11"/>
      <c r="D31" s="7">
        <v>1247.6300000000001</v>
      </c>
      <c r="E31" s="2"/>
      <c r="F31" s="6">
        <f t="shared" si="12"/>
        <v>1.0695445260928384E-2</v>
      </c>
      <c r="G31" s="2"/>
      <c r="H31" s="7">
        <v>511.038461538462</v>
      </c>
      <c r="I31" s="2"/>
      <c r="J31" s="6">
        <f t="shared" si="13"/>
        <v>1.0754176379176389E-2</v>
      </c>
      <c r="K31" s="2"/>
      <c r="L31" s="7">
        <f t="shared" si="14"/>
        <v>736.59153846153811</v>
      </c>
      <c r="M31" s="2"/>
      <c r="N31" s="6">
        <f t="shared" si="15"/>
        <v>1.441362233762322</v>
      </c>
      <c r="O31" s="11"/>
      <c r="P31" s="7">
        <v>4647.1400000000003</v>
      </c>
      <c r="Q31" s="2"/>
      <c r="R31" s="6">
        <f t="shared" si="16"/>
        <v>4.5804324144883574E-3</v>
      </c>
      <c r="S31" s="2"/>
      <c r="T31" s="7">
        <v>3168.4384615384602</v>
      </c>
      <c r="U31" s="2"/>
      <c r="V31" s="6">
        <f t="shared" si="17"/>
        <v>5.9628847891042983E-3</v>
      </c>
      <c r="W31" s="2"/>
      <c r="X31" s="7">
        <f t="shared" si="18"/>
        <v>1478.7015384615402</v>
      </c>
      <c r="Y31" s="2"/>
      <c r="Z31" s="6">
        <f t="shared" si="19"/>
        <v>0.46669725683848223</v>
      </c>
    </row>
    <row r="32" spans="1:26" s="24" customFormat="1" hidden="1" outlineLevel="2" x14ac:dyDescent="0.3">
      <c r="A32" s="27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3">
      <c r="A33" s="27"/>
      <c r="B33" s="11" t="str">
        <f>CONCATENATE("          ", "6117", " - ", "RETIREMENT STAFF HOURLY")</f>
        <v xml:space="preserve">          6117 - RETIREMENT STAFF HOURLY</v>
      </c>
      <c r="C33" s="11"/>
      <c r="D33" s="7">
        <v>552.92999999999995</v>
      </c>
      <c r="E33" s="2"/>
      <c r="F33" s="6">
        <f t="shared" si="12"/>
        <v>4.7400531793281107E-3</v>
      </c>
      <c r="G33" s="2"/>
      <c r="H33" s="7"/>
      <c r="I33" s="2"/>
      <c r="J33" s="6">
        <f t="shared" si="13"/>
        <v>0</v>
      </c>
      <c r="K33" s="2"/>
      <c r="L33" s="7">
        <f t="shared" si="14"/>
        <v>552.92999999999995</v>
      </c>
      <c r="M33" s="2"/>
      <c r="N33" s="6">
        <f t="shared" si="15"/>
        <v>0</v>
      </c>
      <c r="O33" s="11"/>
      <c r="P33" s="7">
        <v>5036.93</v>
      </c>
      <c r="Q33" s="2"/>
      <c r="R33" s="6">
        <f t="shared" si="16"/>
        <v>4.9646271559515842E-3</v>
      </c>
      <c r="S33" s="2"/>
      <c r="T33" s="7"/>
      <c r="U33" s="2"/>
      <c r="V33" s="6">
        <f t="shared" si="17"/>
        <v>0</v>
      </c>
      <c r="W33" s="2"/>
      <c r="X33" s="7">
        <f t="shared" si="18"/>
        <v>5036.93</v>
      </c>
      <c r="Y33" s="2"/>
      <c r="Z33" s="6">
        <f t="shared" si="19"/>
        <v>0</v>
      </c>
    </row>
    <row r="34" spans="1:26" s="24" customFormat="1" hidden="1" outlineLevel="2" x14ac:dyDescent="0.3">
      <c r="A34" s="27"/>
      <c r="B34" s="11" t="str">
        <f>CONCATENATE("          ", "6118", " - ", "VACATION")</f>
        <v xml:space="preserve">          6118 - VACATION</v>
      </c>
      <c r="C34" s="11"/>
      <c r="D34" s="7">
        <v>2680.01</v>
      </c>
      <c r="E34" s="2"/>
      <c r="F34" s="6">
        <f t="shared" si="12"/>
        <v>2.2974680196645385E-2</v>
      </c>
      <c r="G34" s="2"/>
      <c r="H34" s="7">
        <v>2032.26923076923</v>
      </c>
      <c r="I34" s="2"/>
      <c r="J34" s="6">
        <f t="shared" si="13"/>
        <v>4.2766608391608375E-2</v>
      </c>
      <c r="K34" s="2"/>
      <c r="L34" s="7">
        <f t="shared" si="14"/>
        <v>647.74076923077018</v>
      </c>
      <c r="M34" s="2"/>
      <c r="N34" s="6">
        <f t="shared" si="15"/>
        <v>0.31872783360775242</v>
      </c>
      <c r="O34" s="11"/>
      <c r="P34" s="7">
        <v>12497.76</v>
      </c>
      <c r="Q34" s="2"/>
      <c r="R34" s="6">
        <f t="shared" si="16"/>
        <v>1.2318360327533927E-2</v>
      </c>
      <c r="S34" s="2"/>
      <c r="T34" s="7">
        <v>12600.069230769201</v>
      </c>
      <c r="U34" s="2"/>
      <c r="V34" s="6">
        <f t="shared" si="17"/>
        <v>2.3712867417135654E-2</v>
      </c>
      <c r="W34" s="2"/>
      <c r="X34" s="7">
        <f t="shared" si="18"/>
        <v>-102.30923076920044</v>
      </c>
      <c r="Y34" s="2"/>
      <c r="Z34" s="6">
        <f t="shared" si="19"/>
        <v>-8.1197356058459319E-3</v>
      </c>
    </row>
    <row r="35" spans="1:26" s="24" customFormat="1" hidden="1" outlineLevel="2" x14ac:dyDescent="0.3">
      <c r="A35" s="27"/>
      <c r="B35" s="11" t="str">
        <f>CONCATENATE("          ", "6119", " - ", "SICK LEAVE")</f>
        <v xml:space="preserve">          6119 - SICK LEAVE</v>
      </c>
      <c r="C35" s="11"/>
      <c r="D35" s="7">
        <v>2595.77</v>
      </c>
      <c r="E35" s="2"/>
      <c r="F35" s="6">
        <f t="shared" si="12"/>
        <v>2.2252523540601036E-2</v>
      </c>
      <c r="G35" s="2"/>
      <c r="H35" s="7">
        <v>1992.5852307692301</v>
      </c>
      <c r="I35" s="2"/>
      <c r="J35" s="6">
        <f t="shared" si="13"/>
        <v>4.1931507381507367E-2</v>
      </c>
      <c r="K35" s="2"/>
      <c r="L35" s="7">
        <f t="shared" si="14"/>
        <v>603.18476923076992</v>
      </c>
      <c r="M35" s="2"/>
      <c r="N35" s="6">
        <f t="shared" si="15"/>
        <v>0.30271466430467953</v>
      </c>
      <c r="O35" s="11"/>
      <c r="P35" s="7">
        <v>10999.05</v>
      </c>
      <c r="Q35" s="2"/>
      <c r="R35" s="6">
        <f t="shared" si="16"/>
        <v>1.0841163629367346E-2</v>
      </c>
      <c r="S35" s="2"/>
      <c r="T35" s="7">
        <v>13993.0652307692</v>
      </c>
      <c r="U35" s="2"/>
      <c r="V35" s="6">
        <f t="shared" si="17"/>
        <v>2.6334434716141976E-2</v>
      </c>
      <c r="W35" s="2"/>
      <c r="X35" s="7">
        <f t="shared" si="18"/>
        <v>-2994.0152307692006</v>
      </c>
      <c r="Y35" s="2"/>
      <c r="Z35" s="6">
        <f t="shared" si="19"/>
        <v>-0.21396421594503059</v>
      </c>
    </row>
    <row r="36" spans="1:26" s="24" customFormat="1" hidden="1" outlineLevel="2" x14ac:dyDescent="0.3">
      <c r="A36" s="27"/>
      <c r="B36" s="11" t="str">
        <f>CONCATENATE("          ", "6156", " - ", "EMPLOYEE MEALS")</f>
        <v xml:space="preserve">          6156 - EMPLOYEE MEALS</v>
      </c>
      <c r="C36" s="11"/>
      <c r="D36" s="7">
        <v>877.23</v>
      </c>
      <c r="E36" s="2"/>
      <c r="F36" s="6">
        <f t="shared" si="12"/>
        <v>7.5201505624617922E-3</v>
      </c>
      <c r="G36" s="2"/>
      <c r="H36" s="7">
        <v>1925</v>
      </c>
      <c r="I36" s="2"/>
      <c r="J36" s="6">
        <f t="shared" si="13"/>
        <v>4.0509259259259259E-2</v>
      </c>
      <c r="K36" s="2"/>
      <c r="L36" s="7">
        <f t="shared" si="14"/>
        <v>-1047.77</v>
      </c>
      <c r="M36" s="2"/>
      <c r="N36" s="6">
        <f t="shared" si="15"/>
        <v>-0.54429610389610383</v>
      </c>
      <c r="O36" s="11"/>
      <c r="P36" s="7">
        <v>7323.61</v>
      </c>
      <c r="Q36" s="2"/>
      <c r="R36" s="6">
        <f t="shared" si="16"/>
        <v>7.2184829024025694E-3</v>
      </c>
      <c r="S36" s="2"/>
      <c r="T36" s="7">
        <v>13475</v>
      </c>
      <c r="U36" s="2"/>
      <c r="V36" s="6">
        <f t="shared" si="17"/>
        <v>2.5359454983438723E-2</v>
      </c>
      <c r="W36" s="2"/>
      <c r="X36" s="7">
        <f t="shared" si="18"/>
        <v>-6151.39</v>
      </c>
      <c r="Y36" s="2"/>
      <c r="Z36" s="6">
        <f t="shared" si="19"/>
        <v>-0.45650389610389613</v>
      </c>
    </row>
    <row r="37" spans="1:26" s="28" customFormat="1" outlineLevel="1" collapsed="1" x14ac:dyDescent="0.3">
      <c r="A37" s="29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40771.869999999995</v>
      </c>
      <c r="E37" s="1"/>
      <c r="F37" s="5">
        <f t="shared" ref="F37:F47" si="20">IF(D$12=0,0,D37/D$12)</f>
        <v>0.34952133546859893</v>
      </c>
      <c r="G37" s="1"/>
      <c r="H37" s="1">
        <f>SUM(OSRRefH22_1x_0)</f>
        <v>62394.653230769225</v>
      </c>
      <c r="I37" s="1"/>
      <c r="J37" s="5">
        <f t="shared" ref="J37:J47" si="21">IF(H$12=0,0,H37/H$12)</f>
        <v>1.3130187969437968</v>
      </c>
      <c r="K37" s="1"/>
      <c r="L37" s="1">
        <f t="shared" ref="L37:L47" si="22">+D37-H37</f>
        <v>-21622.78323076923</v>
      </c>
      <c r="M37" s="1"/>
      <c r="N37" s="5">
        <f t="shared" ref="N37:N47" si="23">IF(H37=0,0,L37/H37)</f>
        <v>-0.34654865619328734</v>
      </c>
      <c r="O37" s="14"/>
      <c r="P37" s="1">
        <f>SUM(OSRRefP22_1x_0)</f>
        <v>404606.55</v>
      </c>
      <c r="Q37" s="1"/>
      <c r="R37" s="5">
        <f t="shared" ref="R37:R47" si="24">IF(P$12=0,0,P37/P$12)</f>
        <v>0.39879860661273475</v>
      </c>
      <c r="S37" s="1"/>
      <c r="T37" s="1">
        <f>SUM(OSRRefT22_1x_0)</f>
        <v>439842.37323076918</v>
      </c>
      <c r="U37" s="1"/>
      <c r="V37" s="5">
        <f t="shared" ref="V37:V47" si="25">IF(T$12=0,0,T37/T$12)</f>
        <v>0.82776718840478991</v>
      </c>
      <c r="W37" s="1"/>
      <c r="X37" s="1">
        <f t="shared" ref="X37:X47" si="26">+P37-T37</f>
        <v>-35235.823230769194</v>
      </c>
      <c r="Y37" s="1"/>
      <c r="Z37" s="5">
        <f t="shared" ref="Z37:Z47" si="27">IF(T37=0,0,X37/T37)</f>
        <v>-8.0110115294149367E-2</v>
      </c>
    </row>
    <row r="38" spans="1:26" s="24" customFormat="1" hidden="1" outlineLevel="2" x14ac:dyDescent="0.3">
      <c r="A38" s="27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3">
      <c r="A39" s="27"/>
      <c r="B39" s="11" t="str">
        <f>CONCATENATE("          ", "6002", " - ", "STAFF SALARIES")</f>
        <v xml:space="preserve">          6002 - STAFF SALARIES</v>
      </c>
      <c r="C39" s="11"/>
      <c r="D39" s="7">
        <v>13893.14</v>
      </c>
      <c r="E39" s="2"/>
      <c r="F39" s="6">
        <f t="shared" si="20"/>
        <v>0.11910046918751116</v>
      </c>
      <c r="G39" s="2"/>
      <c r="H39" s="7">
        <v>5585.7692307692296</v>
      </c>
      <c r="I39" s="2"/>
      <c r="J39" s="6">
        <f t="shared" si="21"/>
        <v>0.11754564879564877</v>
      </c>
      <c r="K39" s="2"/>
      <c r="L39" s="7">
        <f t="shared" si="22"/>
        <v>8307.3707692307689</v>
      </c>
      <c r="M39" s="2"/>
      <c r="N39" s="6">
        <f t="shared" si="23"/>
        <v>1.4872384493561939</v>
      </c>
      <c r="O39" s="11"/>
      <c r="P39" s="7">
        <v>48762.080000000002</v>
      </c>
      <c r="Q39" s="2"/>
      <c r="R39" s="6">
        <f t="shared" si="24"/>
        <v>4.8062122473150032E-2</v>
      </c>
      <c r="S39" s="2"/>
      <c r="T39" s="7">
        <v>34631.769230769198</v>
      </c>
      <c r="U39" s="2"/>
      <c r="V39" s="6">
        <f t="shared" si="25"/>
        <v>6.517571746230276E-2</v>
      </c>
      <c r="W39" s="2"/>
      <c r="X39" s="7">
        <f t="shared" si="26"/>
        <v>14130.310769230804</v>
      </c>
      <c r="Y39" s="2"/>
      <c r="Z39" s="6">
        <f t="shared" si="27"/>
        <v>0.40801585027531551</v>
      </c>
    </row>
    <row r="40" spans="1:26" s="24" customFormat="1" hidden="1" outlineLevel="2" x14ac:dyDescent="0.3">
      <c r="A40" s="27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3">
      <c r="A41" s="27"/>
      <c r="B41" s="11" t="str">
        <f>CONCATENATE("          ", "6004", " - ", "STAFF HOURLY")</f>
        <v xml:space="preserve">          6004 - STAFF HOURLY</v>
      </c>
      <c r="C41" s="11"/>
      <c r="D41" s="7">
        <v>10683.29</v>
      </c>
      <c r="E41" s="2"/>
      <c r="F41" s="6">
        <f t="shared" si="20"/>
        <v>9.1583677373599223E-2</v>
      </c>
      <c r="G41" s="2"/>
      <c r="H41" s="7">
        <v>34113.599999999999</v>
      </c>
      <c r="I41" s="2"/>
      <c r="J41" s="6">
        <f t="shared" si="21"/>
        <v>0.71787878787878789</v>
      </c>
      <c r="K41" s="2"/>
      <c r="L41" s="7">
        <f t="shared" si="22"/>
        <v>-23430.309999999998</v>
      </c>
      <c r="M41" s="2"/>
      <c r="N41" s="6">
        <f t="shared" si="23"/>
        <v>-0.68683193799540354</v>
      </c>
      <c r="O41" s="11"/>
      <c r="P41" s="7">
        <v>168401.81</v>
      </c>
      <c r="Q41" s="2"/>
      <c r="R41" s="6">
        <f t="shared" si="24"/>
        <v>0.16598447844965067</v>
      </c>
      <c r="S41" s="2"/>
      <c r="T41" s="7">
        <v>211504.32</v>
      </c>
      <c r="U41" s="2"/>
      <c r="V41" s="6">
        <f t="shared" si="25"/>
        <v>0.39804336043360433</v>
      </c>
      <c r="W41" s="2"/>
      <c r="X41" s="7">
        <f t="shared" si="26"/>
        <v>-43102.510000000009</v>
      </c>
      <c r="Y41" s="2"/>
      <c r="Z41" s="6">
        <f t="shared" si="27"/>
        <v>-0.20379021099899997</v>
      </c>
    </row>
    <row r="42" spans="1:26" s="24" customFormat="1" hidden="1" outlineLevel="2" x14ac:dyDescent="0.3">
      <c r="A42" s="27"/>
      <c r="B42" s="11" t="str">
        <f>CONCATENATE("          ", "6005", " - ", "TEMPORARY WAGES-HOURLY")</f>
        <v xml:space="preserve">          6005 - TEMPORARY WAGES-HOURLY</v>
      </c>
      <c r="C42" s="11"/>
      <c r="D42" s="7">
        <v>1347.78</v>
      </c>
      <c r="E42" s="2"/>
      <c r="F42" s="6">
        <f t="shared" si="20"/>
        <v>1.1553992140116907E-2</v>
      </c>
      <c r="G42" s="2"/>
      <c r="H42" s="7">
        <v>6130.4</v>
      </c>
      <c r="I42" s="2"/>
      <c r="J42" s="6">
        <f t="shared" si="21"/>
        <v>0.12900673400673399</v>
      </c>
      <c r="K42" s="2"/>
      <c r="L42" s="7">
        <f t="shared" si="22"/>
        <v>-4782.62</v>
      </c>
      <c r="M42" s="2"/>
      <c r="N42" s="6">
        <f t="shared" si="23"/>
        <v>-0.78014811431554221</v>
      </c>
      <c r="O42" s="11"/>
      <c r="P42" s="7">
        <v>72170.55</v>
      </c>
      <c r="Q42" s="2"/>
      <c r="R42" s="6">
        <f t="shared" si="24"/>
        <v>7.1134574510656606E-2</v>
      </c>
      <c r="S42" s="2"/>
      <c r="T42" s="7">
        <v>43378.400000000001</v>
      </c>
      <c r="U42" s="2"/>
      <c r="V42" s="6">
        <f t="shared" si="25"/>
        <v>8.163655525444144E-2</v>
      </c>
      <c r="W42" s="2"/>
      <c r="X42" s="7">
        <f t="shared" si="26"/>
        <v>28792.15</v>
      </c>
      <c r="Y42" s="2"/>
      <c r="Z42" s="6">
        <f t="shared" si="27"/>
        <v>0.66374393707467316</v>
      </c>
    </row>
    <row r="43" spans="1:26" s="24" customFormat="1" hidden="1" outlineLevel="2" x14ac:dyDescent="0.3">
      <c r="A43" s="27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3">
      <c r="A44" s="27"/>
      <c r="B44" s="11" t="str">
        <f>CONCATENATE("          ", "6007", " - ", "STUDENT HOURLY")</f>
        <v xml:space="preserve">          6007 - STUDENT HOURLY</v>
      </c>
      <c r="C44" s="11"/>
      <c r="D44" s="7">
        <v>13547.91</v>
      </c>
      <c r="E44" s="2"/>
      <c r="F44" s="6">
        <f t="shared" si="20"/>
        <v>0.11614094707965042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13547.91</v>
      </c>
      <c r="M44" s="2"/>
      <c r="N44" s="6">
        <f t="shared" si="23"/>
        <v>0</v>
      </c>
      <c r="O44" s="11"/>
      <c r="P44" s="7">
        <v>91922.36</v>
      </c>
      <c r="Q44" s="2"/>
      <c r="R44" s="6">
        <f t="shared" si="24"/>
        <v>9.0602856242822036E-2</v>
      </c>
      <c r="S44" s="2"/>
      <c r="T44" s="7">
        <v>12561.5</v>
      </c>
      <c r="U44" s="2"/>
      <c r="V44" s="6">
        <f t="shared" si="25"/>
        <v>2.3640281541704306E-2</v>
      </c>
      <c r="W44" s="2"/>
      <c r="X44" s="7">
        <f t="shared" si="26"/>
        <v>79360.86</v>
      </c>
      <c r="Y44" s="2"/>
      <c r="Z44" s="6">
        <f t="shared" si="27"/>
        <v>6.3177852963419978</v>
      </c>
    </row>
    <row r="45" spans="1:26" s="24" customFormat="1" hidden="1" outlineLevel="2" x14ac:dyDescent="0.3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7">
        <v>1299.75</v>
      </c>
      <c r="E45" s="2"/>
      <c r="F45" s="6">
        <f t="shared" si="20"/>
        <v>1.1142249687721253E-2</v>
      </c>
      <c r="G45" s="2"/>
      <c r="H45" s="7">
        <v>16564.883999999998</v>
      </c>
      <c r="I45" s="2"/>
      <c r="J45" s="6">
        <f t="shared" si="21"/>
        <v>0.34858762626262624</v>
      </c>
      <c r="K45" s="2"/>
      <c r="L45" s="7">
        <f t="shared" si="22"/>
        <v>-15265.133999999998</v>
      </c>
      <c r="M45" s="2"/>
      <c r="N45" s="6">
        <f t="shared" si="23"/>
        <v>-0.92153582240600052</v>
      </c>
      <c r="O45" s="11"/>
      <c r="P45" s="7">
        <v>23349.75</v>
      </c>
      <c r="Q45" s="2"/>
      <c r="R45" s="6">
        <f t="shared" si="24"/>
        <v>2.3014574936455437E-2</v>
      </c>
      <c r="S45" s="2"/>
      <c r="T45" s="7">
        <v>137766.38399999999</v>
      </c>
      <c r="U45" s="2"/>
      <c r="V45" s="6">
        <f t="shared" si="25"/>
        <v>0.25927127371273712</v>
      </c>
      <c r="W45" s="2"/>
      <c r="X45" s="7">
        <f t="shared" si="26"/>
        <v>-114416.63399999999</v>
      </c>
      <c r="Y45" s="2"/>
      <c r="Z45" s="6">
        <f t="shared" si="27"/>
        <v>-0.83051199195298619</v>
      </c>
    </row>
    <row r="46" spans="1:26" s="24" customFormat="1" hidden="1" outlineLevel="2" x14ac:dyDescent="0.3">
      <c r="A46" s="27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3">
      <c r="A47" s="27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8" customFormat="1" outlineLevel="1" collapsed="1" x14ac:dyDescent="0.3">
      <c r="A48" s="29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130.44</v>
      </c>
      <c r="E48" s="1"/>
      <c r="F48" s="5">
        <f t="shared" ref="F48:F69" si="28">IF(D$12=0,0,D48/D$12)</f>
        <v>1.1182112323649626E-3</v>
      </c>
      <c r="G48" s="1"/>
      <c r="H48" s="1">
        <f>SUM(OSRRefH22_2x_0)</f>
        <v>350</v>
      </c>
      <c r="I48" s="1"/>
      <c r="J48" s="5">
        <f t="shared" ref="J48:J69" si="29">IF(H$12=0,0,H48/H$12)</f>
        <v>7.3653198653198656E-3</v>
      </c>
      <c r="K48" s="1"/>
      <c r="L48" s="1">
        <f t="shared" ref="L48:L69" si="30">+D48-H48</f>
        <v>-219.56</v>
      </c>
      <c r="M48" s="1"/>
      <c r="N48" s="5">
        <f t="shared" ref="N48:N69" si="31">IF(H48=0,0,L48/H48)</f>
        <v>-0.62731428571428571</v>
      </c>
      <c r="O48" s="14"/>
      <c r="P48" s="1">
        <f>SUM(OSRRefP22_2x_0)</f>
        <v>1053.75</v>
      </c>
      <c r="Q48" s="1"/>
      <c r="R48" s="5">
        <f t="shared" ref="R48:R69" si="32">IF(P$12=0,0,P48/P$12)</f>
        <v>1.0386238970134549E-3</v>
      </c>
      <c r="S48" s="1"/>
      <c r="T48" s="1">
        <f>SUM(OSRRefT22_2x_0)</f>
        <v>2450</v>
      </c>
      <c r="U48" s="1"/>
      <c r="V48" s="5">
        <f t="shared" ref="V48:V69" si="33">IF(T$12=0,0,T48/T$12)</f>
        <v>4.6108099969888591E-3</v>
      </c>
      <c r="W48" s="1"/>
      <c r="X48" s="1">
        <f t="shared" ref="X48:X69" si="34">+P48-T48</f>
        <v>-1396.25</v>
      </c>
      <c r="Y48" s="1"/>
      <c r="Z48" s="5">
        <f t="shared" ref="Z48:Z69" si="35">IF(T48=0,0,X48/T48)</f>
        <v>-0.56989795918367347</v>
      </c>
    </row>
    <row r="49" spans="1:26" s="24" customFormat="1" hidden="1" outlineLevel="2" x14ac:dyDescent="0.3">
      <c r="A49" s="27"/>
      <c r="B49" s="11" t="str">
        <f>CONCATENATE("          ", "6362", " - ", "ADVERTISING EXPENSE")</f>
        <v xml:space="preserve">          6362 - ADVERTISING EXPENSE</v>
      </c>
      <c r="C49" s="11"/>
      <c r="D49" s="7">
        <v>130.44</v>
      </c>
      <c r="E49" s="2"/>
      <c r="F49" s="6">
        <f t="shared" si="28"/>
        <v>1.1182112323649626E-3</v>
      </c>
      <c r="G49" s="2"/>
      <c r="H49" s="7">
        <v>350</v>
      </c>
      <c r="I49" s="2"/>
      <c r="J49" s="6">
        <f t="shared" si="29"/>
        <v>7.3653198653198656E-3</v>
      </c>
      <c r="K49" s="2"/>
      <c r="L49" s="7">
        <f t="shared" si="30"/>
        <v>-219.56</v>
      </c>
      <c r="M49" s="2"/>
      <c r="N49" s="6">
        <f t="shared" si="31"/>
        <v>-0.62731428571428571</v>
      </c>
      <c r="O49" s="11"/>
      <c r="P49" s="7">
        <v>1053.75</v>
      </c>
      <c r="Q49" s="2"/>
      <c r="R49" s="6">
        <f t="shared" si="32"/>
        <v>1.0386238970134549E-3</v>
      </c>
      <c r="S49" s="2"/>
      <c r="T49" s="7">
        <v>2450</v>
      </c>
      <c r="U49" s="2"/>
      <c r="V49" s="6">
        <f t="shared" si="33"/>
        <v>4.6108099969888591E-3</v>
      </c>
      <c r="W49" s="2"/>
      <c r="X49" s="7">
        <f t="shared" si="34"/>
        <v>-1396.25</v>
      </c>
      <c r="Y49" s="2"/>
      <c r="Z49" s="6">
        <f t="shared" si="35"/>
        <v>-0.56989795918367347</v>
      </c>
    </row>
    <row r="50" spans="1:26" s="28" customFormat="1" outlineLevel="1" collapsed="1" x14ac:dyDescent="0.3">
      <c r="A50" s="29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8</v>
      </c>
      <c r="E50" s="1"/>
      <c r="F50" s="5">
        <f t="shared" si="28"/>
        <v>6.858087901655705E-5</v>
      </c>
      <c r="G50" s="1"/>
      <c r="H50" s="1">
        <f>SUM(OSRRefH22_3x_0)</f>
        <v>10</v>
      </c>
      <c r="I50" s="1"/>
      <c r="J50" s="5">
        <f t="shared" si="29"/>
        <v>2.1043771043771043E-4</v>
      </c>
      <c r="K50" s="1"/>
      <c r="L50" s="1">
        <f t="shared" si="30"/>
        <v>-2</v>
      </c>
      <c r="M50" s="1"/>
      <c r="N50" s="5">
        <f t="shared" si="31"/>
        <v>-0.2</v>
      </c>
      <c r="O50" s="14"/>
      <c r="P50" s="1">
        <f>SUM(OSRRefP22_3x_0)</f>
        <v>8</v>
      </c>
      <c r="Q50" s="1"/>
      <c r="R50" s="5">
        <f t="shared" si="32"/>
        <v>7.885163630944379E-6</v>
      </c>
      <c r="S50" s="1"/>
      <c r="T50" s="1">
        <f>SUM(OSRRefT22_3x_0)</f>
        <v>60</v>
      </c>
      <c r="U50" s="1"/>
      <c r="V50" s="5">
        <f t="shared" si="33"/>
        <v>1.1291779584462511E-4</v>
      </c>
      <c r="W50" s="1"/>
      <c r="X50" s="1">
        <f t="shared" si="34"/>
        <v>-52</v>
      </c>
      <c r="Y50" s="1"/>
      <c r="Z50" s="5">
        <f t="shared" si="35"/>
        <v>-0.8666666666666667</v>
      </c>
    </row>
    <row r="51" spans="1:26" s="24" customFormat="1" hidden="1" outlineLevel="2" x14ac:dyDescent="0.3">
      <c r="A51" s="27"/>
      <c r="B51" s="11" t="str">
        <f>CONCATENATE("          ", "6272", " - ", "CASH (OVER/SHORT)")</f>
        <v xml:space="preserve">          6272 - CASH (OVER/SHORT)</v>
      </c>
      <c r="C51" s="11"/>
      <c r="D51" s="7">
        <v>8</v>
      </c>
      <c r="E51" s="2"/>
      <c r="F51" s="6">
        <f t="shared" si="28"/>
        <v>6.858087901655705E-5</v>
      </c>
      <c r="G51" s="2"/>
      <c r="H51" s="7">
        <v>10</v>
      </c>
      <c r="I51" s="2"/>
      <c r="J51" s="6">
        <f t="shared" si="29"/>
        <v>2.1043771043771043E-4</v>
      </c>
      <c r="K51" s="2"/>
      <c r="L51" s="7">
        <f t="shared" si="30"/>
        <v>-2</v>
      </c>
      <c r="M51" s="2"/>
      <c r="N51" s="6">
        <f t="shared" si="31"/>
        <v>-0.2</v>
      </c>
      <c r="O51" s="11"/>
      <c r="P51" s="7">
        <v>8</v>
      </c>
      <c r="Q51" s="2"/>
      <c r="R51" s="6">
        <f t="shared" si="32"/>
        <v>7.885163630944379E-6</v>
      </c>
      <c r="S51" s="2"/>
      <c r="T51" s="7">
        <v>60</v>
      </c>
      <c r="U51" s="2"/>
      <c r="V51" s="6">
        <f t="shared" si="33"/>
        <v>1.1291779584462511E-4</v>
      </c>
      <c r="W51" s="2"/>
      <c r="X51" s="7">
        <f t="shared" si="34"/>
        <v>-52</v>
      </c>
      <c r="Y51" s="2"/>
      <c r="Z51" s="6">
        <f t="shared" si="35"/>
        <v>-0.8666666666666667</v>
      </c>
    </row>
    <row r="52" spans="1:26" s="28" customFormat="1" outlineLevel="1" collapsed="1" x14ac:dyDescent="0.3">
      <c r="A52" s="29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19.46</v>
      </c>
      <c r="E52" s="1"/>
      <c r="F52" s="5">
        <f t="shared" si="28"/>
        <v>1.6682298820777503E-4</v>
      </c>
      <c r="G52" s="1"/>
      <c r="H52" s="1">
        <f>SUM(OSRRefH22_4x_0)</f>
        <v>25</v>
      </c>
      <c r="I52" s="1"/>
      <c r="J52" s="5">
        <f t="shared" si="29"/>
        <v>5.2609427609427608E-4</v>
      </c>
      <c r="K52" s="1"/>
      <c r="L52" s="1">
        <f t="shared" si="30"/>
        <v>-5.5399999999999991</v>
      </c>
      <c r="M52" s="1"/>
      <c r="N52" s="5">
        <f t="shared" si="31"/>
        <v>-0.22159999999999996</v>
      </c>
      <c r="O52" s="14"/>
      <c r="P52" s="1">
        <f>SUM(OSRRefP22_4x_0)</f>
        <v>275.02999999999997</v>
      </c>
      <c r="Q52" s="1"/>
      <c r="R52" s="5">
        <f t="shared" si="32"/>
        <v>2.7108206917732903E-4</v>
      </c>
      <c r="S52" s="1"/>
      <c r="T52" s="1">
        <f>SUM(OSRRefT22_4x_0)</f>
        <v>150</v>
      </c>
      <c r="U52" s="1"/>
      <c r="V52" s="5">
        <f t="shared" si="33"/>
        <v>2.8229448961156276E-4</v>
      </c>
      <c r="W52" s="1"/>
      <c r="X52" s="1">
        <f t="shared" si="34"/>
        <v>125.02999999999997</v>
      </c>
      <c r="Y52" s="1"/>
      <c r="Z52" s="5">
        <f t="shared" si="35"/>
        <v>0.83353333333333313</v>
      </c>
    </row>
    <row r="53" spans="1:26" s="24" customFormat="1" hidden="1" outlineLevel="2" x14ac:dyDescent="0.3">
      <c r="A53" s="27"/>
      <c r="B53" s="11" t="str">
        <f>CONCATENATE("          ", "6381", " - ", "BANK/CREDIT CARD FEES")</f>
        <v xml:space="preserve">          6381 - BANK/CREDIT CARD FEES</v>
      </c>
      <c r="C53" s="11"/>
      <c r="D53" s="7">
        <v>19.46</v>
      </c>
      <c r="E53" s="2"/>
      <c r="F53" s="6">
        <f t="shared" si="28"/>
        <v>1.6682298820777503E-4</v>
      </c>
      <c r="G53" s="2"/>
      <c r="H53" s="7">
        <v>25</v>
      </c>
      <c r="I53" s="2"/>
      <c r="J53" s="6">
        <f t="shared" si="29"/>
        <v>5.2609427609427608E-4</v>
      </c>
      <c r="K53" s="2"/>
      <c r="L53" s="7">
        <f t="shared" si="30"/>
        <v>-5.5399999999999991</v>
      </c>
      <c r="M53" s="2"/>
      <c r="N53" s="6">
        <f t="shared" si="31"/>
        <v>-0.22159999999999996</v>
      </c>
      <c r="O53" s="11"/>
      <c r="P53" s="7">
        <v>275.02999999999997</v>
      </c>
      <c r="Q53" s="2"/>
      <c r="R53" s="6">
        <f t="shared" si="32"/>
        <v>2.7108206917732903E-4</v>
      </c>
      <c r="S53" s="2"/>
      <c r="T53" s="7">
        <v>150</v>
      </c>
      <c r="U53" s="2"/>
      <c r="V53" s="6">
        <f t="shared" si="33"/>
        <v>2.8229448961156276E-4</v>
      </c>
      <c r="W53" s="2"/>
      <c r="X53" s="7">
        <f t="shared" si="34"/>
        <v>125.02999999999997</v>
      </c>
      <c r="Y53" s="2"/>
      <c r="Z53" s="6">
        <f t="shared" si="35"/>
        <v>0.83353333333333313</v>
      </c>
    </row>
    <row r="54" spans="1:26" s="28" customFormat="1" outlineLevel="1" collapsed="1" x14ac:dyDescent="0.3">
      <c r="A54" s="29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213.02</v>
      </c>
      <c r="E54" s="1"/>
      <c r="F54" s="5">
        <f t="shared" si="28"/>
        <v>1.8261373560133729E-3</v>
      </c>
      <c r="G54" s="1"/>
      <c r="H54" s="1">
        <f>SUM(OSRRefH22_5x_0)</f>
        <v>213</v>
      </c>
      <c r="I54" s="1"/>
      <c r="J54" s="5">
        <f t="shared" si="29"/>
        <v>4.4823232323232326E-3</v>
      </c>
      <c r="K54" s="1"/>
      <c r="L54" s="1">
        <f t="shared" si="30"/>
        <v>2.0000000000010232E-2</v>
      </c>
      <c r="M54" s="1"/>
      <c r="N54" s="5">
        <f t="shared" si="31"/>
        <v>9.3896713615071505E-5</v>
      </c>
      <c r="O54" s="14"/>
      <c r="P54" s="1">
        <f>SUM(OSRRefP22_5x_0)</f>
        <v>1491.14</v>
      </c>
      <c r="Q54" s="1"/>
      <c r="R54" s="5">
        <f t="shared" si="32"/>
        <v>1.4697353620808002E-3</v>
      </c>
      <c r="S54" s="1"/>
      <c r="T54" s="1">
        <f>SUM(OSRRefT22_5x_0)</f>
        <v>1491</v>
      </c>
      <c r="U54" s="1"/>
      <c r="V54" s="5">
        <f t="shared" si="33"/>
        <v>2.8060072267389342E-3</v>
      </c>
      <c r="W54" s="1"/>
      <c r="X54" s="1">
        <f t="shared" si="34"/>
        <v>0.14000000000010004</v>
      </c>
      <c r="Y54" s="1"/>
      <c r="Z54" s="5">
        <f t="shared" si="35"/>
        <v>9.3896713615090573E-5</v>
      </c>
    </row>
    <row r="55" spans="1:26" s="24" customFormat="1" hidden="1" outlineLevel="2" x14ac:dyDescent="0.3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213.02</v>
      </c>
      <c r="E55" s="2"/>
      <c r="F55" s="6">
        <f t="shared" si="28"/>
        <v>1.8261373560133729E-3</v>
      </c>
      <c r="G55" s="2"/>
      <c r="H55" s="7">
        <v>213</v>
      </c>
      <c r="I55" s="2"/>
      <c r="J55" s="6">
        <f t="shared" si="29"/>
        <v>4.4823232323232326E-3</v>
      </c>
      <c r="K55" s="2"/>
      <c r="L55" s="7">
        <f t="shared" si="30"/>
        <v>2.0000000000010232E-2</v>
      </c>
      <c r="M55" s="2"/>
      <c r="N55" s="6">
        <f t="shared" si="31"/>
        <v>9.3896713615071505E-5</v>
      </c>
      <c r="O55" s="11"/>
      <c r="P55" s="7">
        <v>1491.14</v>
      </c>
      <c r="Q55" s="2"/>
      <c r="R55" s="6">
        <f t="shared" si="32"/>
        <v>1.4697353620808002E-3</v>
      </c>
      <c r="S55" s="2"/>
      <c r="T55" s="7">
        <v>1491</v>
      </c>
      <c r="U55" s="2"/>
      <c r="V55" s="6">
        <f t="shared" si="33"/>
        <v>2.8060072267389342E-3</v>
      </c>
      <c r="W55" s="2"/>
      <c r="X55" s="7">
        <f t="shared" si="34"/>
        <v>0.14000000000010004</v>
      </c>
      <c r="Y55" s="2"/>
      <c r="Z55" s="6">
        <f t="shared" si="35"/>
        <v>9.3896713615090573E-5</v>
      </c>
    </row>
    <row r="56" spans="1:26" s="28" customFormat="1" outlineLevel="1" collapsed="1" x14ac:dyDescent="0.3">
      <c r="A56" s="29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667.63</v>
      </c>
      <c r="E56" s="1"/>
      <c r="F56" s="5">
        <f t="shared" si="28"/>
        <v>5.7233315322279977E-3</v>
      </c>
      <c r="G56" s="1"/>
      <c r="H56" s="1">
        <f>SUM(OSRRefH22_6x_0)</f>
        <v>3000</v>
      </c>
      <c r="I56" s="1"/>
      <c r="J56" s="5">
        <f t="shared" si="29"/>
        <v>6.3131313131313135E-2</v>
      </c>
      <c r="K56" s="1"/>
      <c r="L56" s="1">
        <f t="shared" si="30"/>
        <v>-2332.37</v>
      </c>
      <c r="M56" s="1"/>
      <c r="N56" s="5">
        <f t="shared" si="31"/>
        <v>-0.77745666666666668</v>
      </c>
      <c r="O56" s="14"/>
      <c r="P56" s="1">
        <f>SUM(OSRRefP22_6x_0)</f>
        <v>6727.63</v>
      </c>
      <c r="Q56" s="1"/>
      <c r="R56" s="5">
        <f t="shared" si="32"/>
        <v>6.6310579248062915E-3</v>
      </c>
      <c r="S56" s="1"/>
      <c r="T56" s="1">
        <f>SUM(OSRRefT22_6x_0)</f>
        <v>18000</v>
      </c>
      <c r="U56" s="1"/>
      <c r="V56" s="5">
        <f t="shared" si="33"/>
        <v>3.3875338753387531E-2</v>
      </c>
      <c r="W56" s="1"/>
      <c r="X56" s="1">
        <f t="shared" si="34"/>
        <v>-11272.369999999999</v>
      </c>
      <c r="Y56" s="1"/>
      <c r="Z56" s="5">
        <f t="shared" si="35"/>
        <v>-0.6262427777777777</v>
      </c>
    </row>
    <row r="57" spans="1:26" s="24" customFormat="1" hidden="1" outlineLevel="2" x14ac:dyDescent="0.3">
      <c r="A57" s="27"/>
      <c r="B57" s="11" t="str">
        <f>CONCATENATE("          ", "6399", " - ", "DONATION-ON CAMPUS")</f>
        <v xml:space="preserve">          6399 - DONATION-ON CAMPUS</v>
      </c>
      <c r="C57" s="11"/>
      <c r="D57" s="7">
        <v>667.63</v>
      </c>
      <c r="E57" s="2"/>
      <c r="F57" s="6">
        <f t="shared" si="28"/>
        <v>5.7233315322279977E-3</v>
      </c>
      <c r="G57" s="2"/>
      <c r="H57" s="7">
        <v>3000</v>
      </c>
      <c r="I57" s="2"/>
      <c r="J57" s="6">
        <f t="shared" si="29"/>
        <v>6.3131313131313135E-2</v>
      </c>
      <c r="K57" s="2"/>
      <c r="L57" s="7">
        <f t="shared" si="30"/>
        <v>-2332.37</v>
      </c>
      <c r="M57" s="2"/>
      <c r="N57" s="6">
        <f t="shared" si="31"/>
        <v>-0.77745666666666668</v>
      </c>
      <c r="O57" s="11"/>
      <c r="P57" s="7">
        <v>6727.63</v>
      </c>
      <c r="Q57" s="2"/>
      <c r="R57" s="6">
        <f t="shared" si="32"/>
        <v>6.6310579248062915E-3</v>
      </c>
      <c r="S57" s="2"/>
      <c r="T57" s="7">
        <v>18000</v>
      </c>
      <c r="U57" s="2"/>
      <c r="V57" s="6">
        <f t="shared" si="33"/>
        <v>3.3875338753387531E-2</v>
      </c>
      <c r="W57" s="2"/>
      <c r="X57" s="7">
        <f t="shared" si="34"/>
        <v>-11272.369999999999</v>
      </c>
      <c r="Y57" s="2"/>
      <c r="Z57" s="6">
        <f t="shared" si="35"/>
        <v>-0.6262427777777777</v>
      </c>
    </row>
    <row r="58" spans="1:26" s="28" customFormat="1" outlineLevel="1" collapsed="1" x14ac:dyDescent="0.3">
      <c r="A58" s="29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75.98</v>
      </c>
      <c r="E58" s="1"/>
      <c r="F58" s="5">
        <f t="shared" si="28"/>
        <v>6.5134689845975063E-4</v>
      </c>
      <c r="G58" s="1"/>
      <c r="H58" s="1">
        <f>SUM(OSRRefH22_7x_0)</f>
        <v>50</v>
      </c>
      <c r="I58" s="1"/>
      <c r="J58" s="5">
        <f t="shared" si="29"/>
        <v>1.0521885521885522E-3</v>
      </c>
      <c r="K58" s="1"/>
      <c r="L58" s="1">
        <f t="shared" si="30"/>
        <v>25.980000000000004</v>
      </c>
      <c r="M58" s="1"/>
      <c r="N58" s="5">
        <f t="shared" si="31"/>
        <v>0.51960000000000006</v>
      </c>
      <c r="O58" s="14"/>
      <c r="P58" s="1">
        <f>SUM(OSRRefP22_7x_0)</f>
        <v>90.47</v>
      </c>
      <c r="Q58" s="1"/>
      <c r="R58" s="5">
        <f t="shared" si="32"/>
        <v>8.9171344211442244E-5</v>
      </c>
      <c r="S58" s="1"/>
      <c r="T58" s="1">
        <f>SUM(OSRRefT22_7x_0)</f>
        <v>350</v>
      </c>
      <c r="U58" s="1"/>
      <c r="V58" s="5">
        <f t="shared" si="33"/>
        <v>6.5868714242697985E-4</v>
      </c>
      <c r="W58" s="1"/>
      <c r="X58" s="1">
        <f t="shared" si="34"/>
        <v>-259.52999999999997</v>
      </c>
      <c r="Y58" s="1"/>
      <c r="Z58" s="5">
        <f t="shared" si="35"/>
        <v>-0.74151428571428568</v>
      </c>
    </row>
    <row r="59" spans="1:26" s="24" customFormat="1" hidden="1" outlineLevel="2" x14ac:dyDescent="0.3">
      <c r="A59" s="27"/>
      <c r="B59" s="11" t="str">
        <f>CONCATENATE("          ", "6277", " - ", "EMPLOYEE APPRECIATION")</f>
        <v xml:space="preserve">          6277 - EMPLOYEE APPRECIATION</v>
      </c>
      <c r="C59" s="11"/>
      <c r="D59" s="7">
        <v>75.98</v>
      </c>
      <c r="E59" s="2"/>
      <c r="F59" s="6">
        <f t="shared" si="28"/>
        <v>6.5134689845975063E-4</v>
      </c>
      <c r="G59" s="2"/>
      <c r="H59" s="7">
        <v>50</v>
      </c>
      <c r="I59" s="2"/>
      <c r="J59" s="6">
        <f t="shared" si="29"/>
        <v>1.0521885521885522E-3</v>
      </c>
      <c r="K59" s="2"/>
      <c r="L59" s="7">
        <f t="shared" si="30"/>
        <v>25.980000000000004</v>
      </c>
      <c r="M59" s="2"/>
      <c r="N59" s="6">
        <f t="shared" si="31"/>
        <v>0.51960000000000006</v>
      </c>
      <c r="O59" s="11"/>
      <c r="P59" s="7">
        <v>90.47</v>
      </c>
      <c r="Q59" s="2"/>
      <c r="R59" s="6">
        <f t="shared" si="32"/>
        <v>8.9171344211442244E-5</v>
      </c>
      <c r="S59" s="2"/>
      <c r="T59" s="7">
        <v>350</v>
      </c>
      <c r="U59" s="2"/>
      <c r="V59" s="6">
        <f t="shared" si="33"/>
        <v>6.5868714242697985E-4</v>
      </c>
      <c r="W59" s="2"/>
      <c r="X59" s="7">
        <f t="shared" si="34"/>
        <v>-259.52999999999997</v>
      </c>
      <c r="Y59" s="2"/>
      <c r="Z59" s="6">
        <f t="shared" si="35"/>
        <v>-0.74151428571428568</v>
      </c>
    </row>
    <row r="60" spans="1:26" s="28" customFormat="1" outlineLevel="1" collapsed="1" x14ac:dyDescent="0.3">
      <c r="A60" s="29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SUM(OSRRefD22_8x_0)</f>
        <v>0</v>
      </c>
      <c r="E60" s="1"/>
      <c r="F60" s="5">
        <f t="shared" si="28"/>
        <v>0</v>
      </c>
      <c r="G60" s="1"/>
      <c r="H60" s="1">
        <f>SUM(OSRRefH22_8x_0)</f>
        <v>0</v>
      </c>
      <c r="I60" s="1"/>
      <c r="J60" s="5">
        <f t="shared" si="29"/>
        <v>0</v>
      </c>
      <c r="K60" s="1"/>
      <c r="L60" s="1">
        <f t="shared" si="30"/>
        <v>0</v>
      </c>
      <c r="M60" s="1"/>
      <c r="N60" s="5">
        <f t="shared" si="31"/>
        <v>0</v>
      </c>
      <c r="O60" s="14"/>
      <c r="P60" s="1">
        <f>SUM(OSRRefP22_8x_0)</f>
        <v>1767.16</v>
      </c>
      <c r="Q60" s="1"/>
      <c r="R60" s="5">
        <f t="shared" si="32"/>
        <v>1.7417932202574587E-3</v>
      </c>
      <c r="S60" s="1"/>
      <c r="T60" s="1">
        <f>SUM(OSRRefT22_8x_0)</f>
        <v>1700</v>
      </c>
      <c r="U60" s="1"/>
      <c r="V60" s="5">
        <f t="shared" si="33"/>
        <v>3.1993375489310447E-3</v>
      </c>
      <c r="W60" s="1"/>
      <c r="X60" s="1">
        <f t="shared" si="34"/>
        <v>67.160000000000082</v>
      </c>
      <c r="Y60" s="1"/>
      <c r="Z60" s="5">
        <f t="shared" si="35"/>
        <v>3.9505882352941224E-2</v>
      </c>
    </row>
    <row r="61" spans="1:26" s="24" customFormat="1" hidden="1" outlineLevel="2" x14ac:dyDescent="0.3">
      <c r="A61" s="27"/>
      <c r="B61" s="11" t="str">
        <f>CONCATENATE("          ", "6279", " - ", "GENERAL EXPENSE")</f>
        <v xml:space="preserve">          6279 - GENERAL EXPENSE</v>
      </c>
      <c r="C61" s="11"/>
      <c r="D61" s="7"/>
      <c r="E61" s="2"/>
      <c r="F61" s="6">
        <f t="shared" si="28"/>
        <v>0</v>
      </c>
      <c r="G61" s="2"/>
      <c r="H61" s="7"/>
      <c r="I61" s="2"/>
      <c r="J61" s="6">
        <f t="shared" si="29"/>
        <v>0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>
        <v>1767.16</v>
      </c>
      <c r="Q61" s="2"/>
      <c r="R61" s="6">
        <f t="shared" si="32"/>
        <v>1.7417932202574587E-3</v>
      </c>
      <c r="S61" s="2"/>
      <c r="T61" s="7">
        <v>1700</v>
      </c>
      <c r="U61" s="2"/>
      <c r="V61" s="6">
        <f t="shared" si="33"/>
        <v>3.1993375489310447E-3</v>
      </c>
      <c r="W61" s="2"/>
      <c r="X61" s="7">
        <f t="shared" si="34"/>
        <v>67.160000000000082</v>
      </c>
      <c r="Y61" s="2"/>
      <c r="Z61" s="6">
        <f t="shared" si="35"/>
        <v>3.9505882352941224E-2</v>
      </c>
    </row>
    <row r="62" spans="1:26" s="28" customFormat="1" outlineLevel="1" collapsed="1" x14ac:dyDescent="0.3">
      <c r="A62" s="29"/>
      <c r="B62" s="14" t="str">
        <f>CONCATENATE("     ","Insurance                                         ")</f>
        <v xml:space="preserve">     Insurance                                         </v>
      </c>
      <c r="C62" s="14"/>
      <c r="D62" s="1">
        <f>SUM(OSRRefD22_9x_0)</f>
        <v>5.21</v>
      </c>
      <c r="E62" s="1"/>
      <c r="F62" s="5">
        <f t="shared" si="28"/>
        <v>4.4663297459532777E-5</v>
      </c>
      <c r="G62" s="1"/>
      <c r="H62" s="1">
        <f>SUM(OSRRefH22_9x_0)</f>
        <v>10</v>
      </c>
      <c r="I62" s="1"/>
      <c r="J62" s="5">
        <f t="shared" si="29"/>
        <v>2.1043771043771043E-4</v>
      </c>
      <c r="K62" s="1"/>
      <c r="L62" s="1">
        <f t="shared" si="30"/>
        <v>-4.79</v>
      </c>
      <c r="M62" s="1"/>
      <c r="N62" s="5">
        <f t="shared" si="31"/>
        <v>-0.47899999999999998</v>
      </c>
      <c r="O62" s="14"/>
      <c r="P62" s="1">
        <f>SUM(OSRRefP22_9x_0)</f>
        <v>36.479999999999997</v>
      </c>
      <c r="Q62" s="1"/>
      <c r="R62" s="5">
        <f t="shared" si="32"/>
        <v>3.5956346157106362E-5</v>
      </c>
      <c r="S62" s="1"/>
      <c r="T62" s="1">
        <f>SUM(OSRRefT22_9x_0)</f>
        <v>70</v>
      </c>
      <c r="U62" s="1"/>
      <c r="V62" s="5">
        <f t="shared" si="33"/>
        <v>1.3173742848539597E-4</v>
      </c>
      <c r="W62" s="1"/>
      <c r="X62" s="1">
        <f t="shared" si="34"/>
        <v>-33.520000000000003</v>
      </c>
      <c r="Y62" s="1"/>
      <c r="Z62" s="5">
        <f t="shared" si="35"/>
        <v>-0.47885714285714293</v>
      </c>
    </row>
    <row r="63" spans="1:26" s="24" customFormat="1" hidden="1" outlineLevel="2" x14ac:dyDescent="0.3">
      <c r="A63" s="27"/>
      <c r="B63" s="11" t="str">
        <f>CONCATENATE("          ", "6314", " - ", "LIABILITY INSURANCE")</f>
        <v xml:space="preserve">          6314 - LIABILITY INSURANCE</v>
      </c>
      <c r="C63" s="11"/>
      <c r="D63" s="7">
        <v>5.21</v>
      </c>
      <c r="E63" s="2"/>
      <c r="F63" s="6">
        <f t="shared" si="28"/>
        <v>4.4663297459532777E-5</v>
      </c>
      <c r="G63" s="2"/>
      <c r="H63" s="7">
        <v>10</v>
      </c>
      <c r="I63" s="2"/>
      <c r="J63" s="6">
        <f t="shared" si="29"/>
        <v>2.1043771043771043E-4</v>
      </c>
      <c r="K63" s="2"/>
      <c r="L63" s="7">
        <f t="shared" si="30"/>
        <v>-4.79</v>
      </c>
      <c r="M63" s="2"/>
      <c r="N63" s="6">
        <f t="shared" si="31"/>
        <v>-0.47899999999999998</v>
      </c>
      <c r="O63" s="11"/>
      <c r="P63" s="7">
        <v>36.479999999999997</v>
      </c>
      <c r="Q63" s="2"/>
      <c r="R63" s="6">
        <f t="shared" si="32"/>
        <v>3.5956346157106362E-5</v>
      </c>
      <c r="S63" s="2"/>
      <c r="T63" s="7">
        <v>70</v>
      </c>
      <c r="U63" s="2"/>
      <c r="V63" s="6">
        <f t="shared" si="33"/>
        <v>1.3173742848539597E-4</v>
      </c>
      <c r="W63" s="2"/>
      <c r="X63" s="7">
        <f t="shared" si="34"/>
        <v>-33.520000000000003</v>
      </c>
      <c r="Y63" s="2"/>
      <c r="Z63" s="6">
        <f t="shared" si="35"/>
        <v>-0.47885714285714293</v>
      </c>
    </row>
    <row r="64" spans="1:26" s="28" customFormat="1" outlineLevel="1" collapsed="1" x14ac:dyDescent="0.3">
      <c r="A64" s="29"/>
      <c r="B64" s="14" t="str">
        <f>CONCATENATE("     ","R/H Commissions                                   ")</f>
        <v xml:space="preserve">     R/H Commissions                                   </v>
      </c>
      <c r="C64" s="14"/>
      <c r="D64" s="1">
        <f>SUM(OSRRefD22_10x_0)</f>
        <v>9236.7999999999993</v>
      </c>
      <c r="E64" s="1"/>
      <c r="F64" s="5">
        <f t="shared" si="28"/>
        <v>7.9183482912516756E-2</v>
      </c>
      <c r="G64" s="1"/>
      <c r="H64" s="1">
        <f>SUM(OSRRefH22_10x_0)</f>
        <v>3802</v>
      </c>
      <c r="I64" s="1"/>
      <c r="J64" s="5">
        <f t="shared" si="29"/>
        <v>8.0008417508417515E-2</v>
      </c>
      <c r="K64" s="1"/>
      <c r="L64" s="1">
        <f t="shared" si="30"/>
        <v>5434.7999999999993</v>
      </c>
      <c r="M64" s="1"/>
      <c r="N64" s="5">
        <f t="shared" si="31"/>
        <v>1.4294581799053128</v>
      </c>
      <c r="O64" s="14"/>
      <c r="P64" s="1">
        <f>SUM(OSRRefP22_10x_0)</f>
        <v>76965.279999999999</v>
      </c>
      <c r="Q64" s="1"/>
      <c r="R64" s="5">
        <f t="shared" si="32"/>
        <v>7.586047833768135E-2</v>
      </c>
      <c r="S64" s="1"/>
      <c r="T64" s="1">
        <f>SUM(OSRRefT22_10x_0)</f>
        <v>42509</v>
      </c>
      <c r="U64" s="1"/>
      <c r="V64" s="5">
        <f t="shared" si="33"/>
        <v>8.0000376392652811E-2</v>
      </c>
      <c r="W64" s="1"/>
      <c r="X64" s="1">
        <f t="shared" si="34"/>
        <v>34456.28</v>
      </c>
      <c r="Y64" s="1"/>
      <c r="Z64" s="5">
        <f t="shared" si="35"/>
        <v>0.81056435107859515</v>
      </c>
    </row>
    <row r="65" spans="1:26" s="24" customFormat="1" hidden="1" outlineLevel="2" x14ac:dyDescent="0.3">
      <c r="A65" s="27"/>
      <c r="B65" s="11" t="str">
        <f>CONCATENATE("          ", "6387", " - ", "COMMISSION DUE HOUSING")</f>
        <v xml:space="preserve">          6387 - COMMISSION DUE HOUSING</v>
      </c>
      <c r="C65" s="11"/>
      <c r="D65" s="7">
        <v>9236.7999999999993</v>
      </c>
      <c r="E65" s="2"/>
      <c r="F65" s="6">
        <f t="shared" si="28"/>
        <v>7.9183482912516756E-2</v>
      </c>
      <c r="G65" s="2"/>
      <c r="H65" s="7">
        <v>3802</v>
      </c>
      <c r="I65" s="2"/>
      <c r="J65" s="6">
        <f t="shared" si="29"/>
        <v>8.0008417508417515E-2</v>
      </c>
      <c r="K65" s="2"/>
      <c r="L65" s="7">
        <f t="shared" si="30"/>
        <v>5434.7999999999993</v>
      </c>
      <c r="M65" s="2"/>
      <c r="N65" s="6">
        <f t="shared" si="31"/>
        <v>1.4294581799053128</v>
      </c>
      <c r="O65" s="11"/>
      <c r="P65" s="7">
        <v>76965.279999999999</v>
      </c>
      <c r="Q65" s="2"/>
      <c r="R65" s="6">
        <f t="shared" si="32"/>
        <v>7.586047833768135E-2</v>
      </c>
      <c r="S65" s="2"/>
      <c r="T65" s="7">
        <v>42509</v>
      </c>
      <c r="U65" s="2"/>
      <c r="V65" s="6">
        <f t="shared" si="33"/>
        <v>8.0000376392652811E-2</v>
      </c>
      <c r="W65" s="2"/>
      <c r="X65" s="7">
        <f t="shared" si="34"/>
        <v>34456.28</v>
      </c>
      <c r="Y65" s="2"/>
      <c r="Z65" s="6">
        <f t="shared" si="35"/>
        <v>0.81056435107859515</v>
      </c>
    </row>
    <row r="66" spans="1:26" s="28" customFormat="1" outlineLevel="1" collapsed="1" x14ac:dyDescent="0.3">
      <c r="A66" s="29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0</v>
      </c>
      <c r="E66" s="1"/>
      <c r="F66" s="5">
        <f t="shared" si="28"/>
        <v>0</v>
      </c>
      <c r="G66" s="1"/>
      <c r="H66" s="1">
        <f>SUM(OSRRefH22_11x_0)</f>
        <v>1600</v>
      </c>
      <c r="I66" s="1"/>
      <c r="J66" s="5">
        <f t="shared" si="29"/>
        <v>3.3670033670033669E-2</v>
      </c>
      <c r="K66" s="1"/>
      <c r="L66" s="1">
        <f t="shared" si="30"/>
        <v>-1600</v>
      </c>
      <c r="M66" s="1"/>
      <c r="N66" s="5">
        <f t="shared" si="31"/>
        <v>-1</v>
      </c>
      <c r="O66" s="14"/>
      <c r="P66" s="1">
        <f>SUM(OSRRefP22_11x_0)</f>
        <v>836.76</v>
      </c>
      <c r="Q66" s="1"/>
      <c r="R66" s="5">
        <f t="shared" si="32"/>
        <v>8.2474868997862722E-4</v>
      </c>
      <c r="S66" s="1"/>
      <c r="T66" s="1">
        <f>SUM(OSRRefT22_11x_0)</f>
        <v>3700</v>
      </c>
      <c r="U66" s="1"/>
      <c r="V66" s="5">
        <f t="shared" si="33"/>
        <v>6.9632640770852152E-3</v>
      </c>
      <c r="W66" s="1"/>
      <c r="X66" s="1">
        <f t="shared" si="34"/>
        <v>-2863.24</v>
      </c>
      <c r="Y66" s="1"/>
      <c r="Z66" s="5">
        <f t="shared" si="35"/>
        <v>-0.77384864864864855</v>
      </c>
    </row>
    <row r="67" spans="1:26" s="24" customFormat="1" hidden="1" outlineLevel="2" x14ac:dyDescent="0.3">
      <c r="A67" s="27"/>
      <c r="B67" s="11" t="str">
        <f>CONCATENATE("          ", "6371", " - ", "COMPUTER SOFTWARE MAINTENANCE")</f>
        <v xml:space="preserve">          6371 - COMPUTER SOFTWARE MAINTENANCE</v>
      </c>
      <c r="C67" s="11"/>
      <c r="D67" s="7"/>
      <c r="E67" s="2"/>
      <c r="F67" s="6">
        <f t="shared" si="28"/>
        <v>0</v>
      </c>
      <c r="G67" s="2"/>
      <c r="H67" s="7"/>
      <c r="I67" s="2"/>
      <c r="J67" s="6">
        <f t="shared" si="29"/>
        <v>0</v>
      </c>
      <c r="K67" s="2"/>
      <c r="L67" s="7">
        <f t="shared" si="30"/>
        <v>0</v>
      </c>
      <c r="M67" s="2"/>
      <c r="N67" s="6">
        <f t="shared" si="31"/>
        <v>0</v>
      </c>
      <c r="O67" s="11"/>
      <c r="P67" s="7"/>
      <c r="Q67" s="2"/>
      <c r="R67" s="6">
        <f t="shared" si="32"/>
        <v>0</v>
      </c>
      <c r="S67" s="2"/>
      <c r="T67" s="7">
        <v>0</v>
      </c>
      <c r="U67" s="2"/>
      <c r="V67" s="6">
        <f t="shared" si="33"/>
        <v>0</v>
      </c>
      <c r="W67" s="2"/>
      <c r="X67" s="7">
        <f t="shared" si="34"/>
        <v>0</v>
      </c>
      <c r="Y67" s="2"/>
      <c r="Z67" s="6">
        <f t="shared" si="35"/>
        <v>0</v>
      </c>
    </row>
    <row r="68" spans="1:26" s="24" customFormat="1" hidden="1" outlineLevel="2" x14ac:dyDescent="0.3">
      <c r="A68" s="27"/>
      <c r="B68" s="11" t="str">
        <f>CONCATENATE("          ", "6373", " - ", "MAINTENANCE CONTRACTS")</f>
        <v xml:space="preserve">          6373 - MAINTENANCE CONTRACTS</v>
      </c>
      <c r="C68" s="11"/>
      <c r="D68" s="7"/>
      <c r="E68" s="2"/>
      <c r="F68" s="6">
        <f t="shared" si="28"/>
        <v>0</v>
      </c>
      <c r="G68" s="2"/>
      <c r="H68" s="7">
        <v>1500</v>
      </c>
      <c r="I68" s="2"/>
      <c r="J68" s="6">
        <f t="shared" si="29"/>
        <v>3.1565656565656568E-2</v>
      </c>
      <c r="K68" s="2"/>
      <c r="L68" s="7">
        <f t="shared" si="30"/>
        <v>-1500</v>
      </c>
      <c r="M68" s="2"/>
      <c r="N68" s="6">
        <f t="shared" si="31"/>
        <v>-1</v>
      </c>
      <c r="O68" s="11"/>
      <c r="P68" s="7">
        <v>146.76</v>
      </c>
      <c r="Q68" s="2"/>
      <c r="R68" s="6">
        <f t="shared" si="32"/>
        <v>1.446533268096746E-4</v>
      </c>
      <c r="S68" s="2"/>
      <c r="T68" s="7">
        <v>3000</v>
      </c>
      <c r="U68" s="2"/>
      <c r="V68" s="6">
        <f t="shared" si="33"/>
        <v>5.6458897922312557E-3</v>
      </c>
      <c r="W68" s="2"/>
      <c r="X68" s="7">
        <f t="shared" si="34"/>
        <v>-2853.24</v>
      </c>
      <c r="Y68" s="2"/>
      <c r="Z68" s="6">
        <f t="shared" si="35"/>
        <v>-0.95107999999999993</v>
      </c>
    </row>
    <row r="69" spans="1:26" s="24" customFormat="1" hidden="1" outlineLevel="2" x14ac:dyDescent="0.3">
      <c r="A69" s="27"/>
      <c r="B69" s="11" t="str">
        <f>CONCATENATE("          ", "6375", " - ", "OUTSIDE REPAIRS &amp; MAINTENANCE")</f>
        <v xml:space="preserve">          6375 - OUTSIDE REPAIRS &amp; MAINTENANCE</v>
      </c>
      <c r="C69" s="11"/>
      <c r="D69" s="7"/>
      <c r="E69" s="2"/>
      <c r="F69" s="6">
        <f t="shared" si="28"/>
        <v>0</v>
      </c>
      <c r="G69" s="2"/>
      <c r="H69" s="7">
        <v>100</v>
      </c>
      <c r="I69" s="2"/>
      <c r="J69" s="6">
        <f t="shared" si="29"/>
        <v>2.1043771043771043E-3</v>
      </c>
      <c r="K69" s="2"/>
      <c r="L69" s="7">
        <f t="shared" si="30"/>
        <v>-100</v>
      </c>
      <c r="M69" s="2"/>
      <c r="N69" s="6">
        <f t="shared" si="31"/>
        <v>-1</v>
      </c>
      <c r="O69" s="11"/>
      <c r="P69" s="7">
        <v>690</v>
      </c>
      <c r="Q69" s="2"/>
      <c r="R69" s="6">
        <f t="shared" si="32"/>
        <v>6.8009536316895262E-4</v>
      </c>
      <c r="S69" s="2"/>
      <c r="T69" s="7">
        <v>700</v>
      </c>
      <c r="U69" s="2"/>
      <c r="V69" s="6">
        <f t="shared" si="33"/>
        <v>1.3173742848539597E-3</v>
      </c>
      <c r="W69" s="2"/>
      <c r="X69" s="7">
        <f t="shared" si="34"/>
        <v>-10</v>
      </c>
      <c r="Y69" s="2"/>
      <c r="Z69" s="6">
        <f t="shared" si="35"/>
        <v>-1.4285714285714285E-2</v>
      </c>
    </row>
    <row r="70" spans="1:26" s="28" customFormat="1" outlineLevel="1" collapsed="1" x14ac:dyDescent="0.3">
      <c r="A70" s="29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SUM(OSRRefD22_12x_0)</f>
        <v>4364.3100000000004</v>
      </c>
      <c r="E70" s="1"/>
      <c r="F70" s="5">
        <f t="shared" ref="F70:F74" si="36">IF(D$12=0,0,D70/D$12)</f>
        <v>3.7413527012593761E-2</v>
      </c>
      <c r="G70" s="1"/>
      <c r="H70" s="1">
        <f>SUM(OSRRefH22_12x_0)</f>
        <v>7224</v>
      </c>
      <c r="I70" s="1"/>
      <c r="J70" s="5">
        <f t="shared" ref="J70:J74" si="37">IF(H$12=0,0,H70/H$12)</f>
        <v>0.15202020202020203</v>
      </c>
      <c r="K70" s="1"/>
      <c r="L70" s="1">
        <f t="shared" ref="L70:L74" si="38">+D70-H70</f>
        <v>-2859.6899999999996</v>
      </c>
      <c r="M70" s="1"/>
      <c r="N70" s="5">
        <f t="shared" ref="N70:N74" si="39">IF(H70=0,0,L70/H70)</f>
        <v>-0.39585963455149498</v>
      </c>
      <c r="O70" s="14"/>
      <c r="P70" s="1">
        <f>SUM(OSRRefP22_12x_0)</f>
        <v>31405.280000000002</v>
      </c>
      <c r="Q70" s="1"/>
      <c r="R70" s="5">
        <f t="shared" ref="R70:R74" si="40">IF(P$12=0,0,P70/P$12)</f>
        <v>3.0954471459453112E-2</v>
      </c>
      <c r="S70" s="1"/>
      <c r="T70" s="1">
        <f>SUM(OSRRefT22_12x_0)</f>
        <v>47456</v>
      </c>
      <c r="U70" s="1"/>
      <c r="V70" s="5">
        <f t="shared" ref="V70:V74" si="41">IF(T$12=0,0,T70/T$12)</f>
        <v>8.931044866004216E-2</v>
      </c>
      <c r="W70" s="1"/>
      <c r="X70" s="1">
        <f t="shared" ref="X70:X74" si="42">+P70-T70</f>
        <v>-16050.719999999998</v>
      </c>
      <c r="Y70" s="1"/>
      <c r="Z70" s="5">
        <f t="shared" ref="Z70:Z74" si="43">IF(T70=0,0,X70/T70)</f>
        <v>-0.33822319622387048</v>
      </c>
    </row>
    <row r="71" spans="1:26" s="24" customFormat="1" hidden="1" outlineLevel="2" x14ac:dyDescent="0.3">
      <c r="A71" s="27"/>
      <c r="B71" s="11" t="str">
        <f>CONCATENATE("          ", "6282", " - ", "JANITORIAL/EXTERMINATOR EXPENS")</f>
        <v xml:space="preserve">          6282 - JANITORIAL/EXTERMINATOR EXPENS</v>
      </c>
      <c r="C71" s="11"/>
      <c r="D71" s="7"/>
      <c r="E71" s="2"/>
      <c r="F71" s="6">
        <f t="shared" si="36"/>
        <v>0</v>
      </c>
      <c r="G71" s="2"/>
      <c r="H71" s="7">
        <v>670</v>
      </c>
      <c r="I71" s="2"/>
      <c r="J71" s="6">
        <f t="shared" si="37"/>
        <v>1.4099326599326599E-2</v>
      </c>
      <c r="K71" s="2"/>
      <c r="L71" s="7">
        <f t="shared" si="38"/>
        <v>-670</v>
      </c>
      <c r="M71" s="2"/>
      <c r="N71" s="6">
        <f t="shared" si="39"/>
        <v>-1</v>
      </c>
      <c r="O71" s="11"/>
      <c r="P71" s="7">
        <v>3688.65</v>
      </c>
      <c r="Q71" s="2"/>
      <c r="R71" s="6">
        <f t="shared" si="40"/>
        <v>3.635701103410373E-3</v>
      </c>
      <c r="S71" s="2"/>
      <c r="T71" s="7">
        <v>4690</v>
      </c>
      <c r="U71" s="2"/>
      <c r="V71" s="6">
        <f t="shared" si="41"/>
        <v>8.8264077085215293E-3</v>
      </c>
      <c r="W71" s="2"/>
      <c r="X71" s="7">
        <f t="shared" si="42"/>
        <v>-1001.3499999999999</v>
      </c>
      <c r="Y71" s="2"/>
      <c r="Z71" s="6">
        <f t="shared" si="43"/>
        <v>-0.21350746268656715</v>
      </c>
    </row>
    <row r="72" spans="1:26" s="24" customFormat="1" hidden="1" outlineLevel="2" x14ac:dyDescent="0.3">
      <c r="A72" s="27"/>
      <c r="B72" s="11" t="str">
        <f>CONCATENATE("          ", "6284", " - ", "TRASH REMOVAL EXPENSE")</f>
        <v xml:space="preserve">          6284 - TRASH REMOVAL EXPENSE</v>
      </c>
      <c r="C72" s="11"/>
      <c r="D72" s="7"/>
      <c r="E72" s="2"/>
      <c r="F72" s="6">
        <f t="shared" si="36"/>
        <v>0</v>
      </c>
      <c r="G72" s="2"/>
      <c r="H72" s="7">
        <v>50</v>
      </c>
      <c r="I72" s="2"/>
      <c r="J72" s="6">
        <f t="shared" si="37"/>
        <v>1.0521885521885522E-3</v>
      </c>
      <c r="K72" s="2"/>
      <c r="L72" s="7">
        <f t="shared" si="38"/>
        <v>-50</v>
      </c>
      <c r="M72" s="2"/>
      <c r="N72" s="6">
        <f t="shared" si="39"/>
        <v>-1</v>
      </c>
      <c r="O72" s="11"/>
      <c r="P72" s="7"/>
      <c r="Q72" s="2"/>
      <c r="R72" s="6">
        <f t="shared" si="40"/>
        <v>0</v>
      </c>
      <c r="S72" s="2"/>
      <c r="T72" s="7">
        <v>350</v>
      </c>
      <c r="U72" s="2"/>
      <c r="V72" s="6">
        <f t="shared" si="41"/>
        <v>6.5868714242697985E-4</v>
      </c>
      <c r="W72" s="2"/>
      <c r="X72" s="7">
        <f t="shared" si="42"/>
        <v>-350</v>
      </c>
      <c r="Y72" s="2"/>
      <c r="Z72" s="6">
        <f t="shared" si="43"/>
        <v>-1</v>
      </c>
    </row>
    <row r="73" spans="1:26" s="24" customFormat="1" hidden="1" outlineLevel="2" x14ac:dyDescent="0.3">
      <c r="A73" s="27"/>
      <c r="B73" s="11" t="str">
        <f>CONCATENATE("          ", "6285", " - ", "JANITORIAL SERVICES")</f>
        <v xml:space="preserve">          6285 - JANITORIAL SERVICES</v>
      </c>
      <c r="C73" s="11"/>
      <c r="D73" s="7">
        <v>4364.3100000000004</v>
      </c>
      <c r="E73" s="2"/>
      <c r="F73" s="6">
        <f t="shared" si="36"/>
        <v>3.7413527012593761E-2</v>
      </c>
      <c r="G73" s="2"/>
      <c r="H73" s="7">
        <v>4904</v>
      </c>
      <c r="I73" s="2"/>
      <c r="J73" s="6">
        <f t="shared" si="37"/>
        <v>0.10319865319865319</v>
      </c>
      <c r="K73" s="2"/>
      <c r="L73" s="7">
        <f t="shared" si="38"/>
        <v>-539.6899999999996</v>
      </c>
      <c r="M73" s="2"/>
      <c r="N73" s="6">
        <f t="shared" si="39"/>
        <v>-0.11005097879282211</v>
      </c>
      <c r="O73" s="11"/>
      <c r="P73" s="7">
        <v>20912.79</v>
      </c>
      <c r="Q73" s="2"/>
      <c r="R73" s="6">
        <f t="shared" si="40"/>
        <v>2.0612596391197162E-2</v>
      </c>
      <c r="S73" s="2"/>
      <c r="T73" s="7">
        <v>32816</v>
      </c>
      <c r="U73" s="2"/>
      <c r="V73" s="6">
        <f t="shared" si="41"/>
        <v>6.1758506473953631E-2</v>
      </c>
      <c r="W73" s="2"/>
      <c r="X73" s="7">
        <f t="shared" si="42"/>
        <v>-11903.21</v>
      </c>
      <c r="Y73" s="2"/>
      <c r="Z73" s="6">
        <f t="shared" si="43"/>
        <v>-0.36272580448561675</v>
      </c>
    </row>
    <row r="74" spans="1:26" s="24" customFormat="1" hidden="1" outlineLevel="2" x14ac:dyDescent="0.3">
      <c r="A74" s="27"/>
      <c r="B74" s="11" t="str">
        <f>CONCATENATE("          ", "6286", " - ", "LAUNDRY EXPENSE")</f>
        <v xml:space="preserve">          6286 - LAUNDRY EXPENSE</v>
      </c>
      <c r="C74" s="11"/>
      <c r="D74" s="7"/>
      <c r="E74" s="2"/>
      <c r="F74" s="6">
        <f t="shared" si="36"/>
        <v>0</v>
      </c>
      <c r="G74" s="2"/>
      <c r="H74" s="7">
        <v>1600</v>
      </c>
      <c r="I74" s="2"/>
      <c r="J74" s="6">
        <f t="shared" si="37"/>
        <v>3.3670033670033669E-2</v>
      </c>
      <c r="K74" s="2"/>
      <c r="L74" s="7">
        <f t="shared" si="38"/>
        <v>-1600</v>
      </c>
      <c r="M74" s="2"/>
      <c r="N74" s="6">
        <f t="shared" si="39"/>
        <v>-1</v>
      </c>
      <c r="O74" s="11"/>
      <c r="P74" s="7">
        <v>6803.84</v>
      </c>
      <c r="Q74" s="2"/>
      <c r="R74" s="6">
        <f t="shared" si="40"/>
        <v>6.7061739648455751E-3</v>
      </c>
      <c r="S74" s="2"/>
      <c r="T74" s="7">
        <v>9600</v>
      </c>
      <c r="U74" s="2"/>
      <c r="V74" s="6">
        <f t="shared" si="41"/>
        <v>1.8066847335140017E-2</v>
      </c>
      <c r="W74" s="2"/>
      <c r="X74" s="7">
        <f t="shared" si="42"/>
        <v>-2796.16</v>
      </c>
      <c r="Y74" s="2"/>
      <c r="Z74" s="6">
        <f t="shared" si="43"/>
        <v>-0.29126666666666667</v>
      </c>
    </row>
    <row r="75" spans="1:26" s="28" customFormat="1" outlineLevel="1" collapsed="1" x14ac:dyDescent="0.3">
      <c r="A75" s="29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SUM(OSRRefD22_13x_0)</f>
        <v>159.6</v>
      </c>
      <c r="E75" s="1"/>
      <c r="F75" s="5">
        <f t="shared" ref="F75:F82" si="44">IF(D$12=0,0,D75/D$12)</f>
        <v>1.368188536380313E-3</v>
      </c>
      <c r="G75" s="1"/>
      <c r="H75" s="1">
        <f>SUM(OSRRefH22_13x_0)</f>
        <v>4896</v>
      </c>
      <c r="I75" s="1"/>
      <c r="J75" s="5">
        <f t="shared" ref="J75:J82" si="45">IF(H$12=0,0,H75/H$12)</f>
        <v>0.10303030303030303</v>
      </c>
      <c r="K75" s="1"/>
      <c r="L75" s="1">
        <f t="shared" ref="L75:L82" si="46">+D75-H75</f>
        <v>-4736.3999999999996</v>
      </c>
      <c r="M75" s="1"/>
      <c r="N75" s="5">
        <f t="shared" ref="N75:N82" si="47">IF(H75=0,0,L75/H75)</f>
        <v>-0.96740196078431362</v>
      </c>
      <c r="O75" s="14"/>
      <c r="P75" s="1">
        <f>SUM(OSRRefP22_13x_0)</f>
        <v>60404.909999999996</v>
      </c>
      <c r="Q75" s="1"/>
      <c r="R75" s="5">
        <f t="shared" ref="R75:R82" si="48">IF(P$12=0,0,P75/P$12)</f>
        <v>5.9537824932808549E-2</v>
      </c>
      <c r="S75" s="1"/>
      <c r="T75" s="1">
        <f>SUM(OSRRefT22_13x_0)</f>
        <v>40972</v>
      </c>
      <c r="U75" s="1"/>
      <c r="V75" s="5">
        <f t="shared" ref="V75:V82" si="49">IF(T$12=0,0,T75/T$12)</f>
        <v>7.7107798855766338E-2</v>
      </c>
      <c r="W75" s="1"/>
      <c r="X75" s="1">
        <f t="shared" ref="X75:X82" si="50">+P75-T75</f>
        <v>19432.909999999996</v>
      </c>
      <c r="Y75" s="1"/>
      <c r="Z75" s="5">
        <f t="shared" ref="Z75:Z82" si="51">IF(T75=0,0,X75/T75)</f>
        <v>0.4742973250024406</v>
      </c>
    </row>
    <row r="76" spans="1:26" s="24" customFormat="1" hidden="1" outlineLevel="2" x14ac:dyDescent="0.3">
      <c r="A76" s="27"/>
      <c r="B76" s="11" t="str">
        <f>CONCATENATE("          ", "6237", " - ", "JANITORIAL SUPPLIES")</f>
        <v xml:space="preserve">          6237 - JANITORIAL SUPPLIES</v>
      </c>
      <c r="C76" s="11"/>
      <c r="D76" s="7"/>
      <c r="E76" s="2"/>
      <c r="F76" s="6">
        <f t="shared" si="44"/>
        <v>0</v>
      </c>
      <c r="G76" s="2"/>
      <c r="H76" s="7">
        <v>2000</v>
      </c>
      <c r="I76" s="2"/>
      <c r="J76" s="6">
        <f t="shared" si="45"/>
        <v>4.208754208754209E-2</v>
      </c>
      <c r="K76" s="2"/>
      <c r="L76" s="7">
        <f t="shared" si="46"/>
        <v>-2000</v>
      </c>
      <c r="M76" s="2"/>
      <c r="N76" s="6">
        <f t="shared" si="47"/>
        <v>-1</v>
      </c>
      <c r="O76" s="11"/>
      <c r="P76" s="7">
        <v>8822.8799999999992</v>
      </c>
      <c r="Q76" s="2"/>
      <c r="R76" s="6">
        <f t="shared" si="48"/>
        <v>8.6962315620233172E-3</v>
      </c>
      <c r="S76" s="2"/>
      <c r="T76" s="7">
        <v>17000</v>
      </c>
      <c r="U76" s="2"/>
      <c r="V76" s="6">
        <f t="shared" si="49"/>
        <v>3.1993375489310451E-2</v>
      </c>
      <c r="W76" s="2"/>
      <c r="X76" s="7">
        <f t="shared" si="50"/>
        <v>-8177.1200000000008</v>
      </c>
      <c r="Y76" s="2"/>
      <c r="Z76" s="6">
        <f t="shared" si="51"/>
        <v>-0.48100705882352945</v>
      </c>
    </row>
    <row r="77" spans="1:26" s="24" customFormat="1" hidden="1" outlineLevel="2" x14ac:dyDescent="0.3">
      <c r="A77" s="27"/>
      <c r="B77" s="11" t="str">
        <f>CONCATENATE("          ", "6239", " - ", "KITCHEN SUPPLIES")</f>
        <v xml:space="preserve">          6239 - KITCHEN SUPPLIES</v>
      </c>
      <c r="C77" s="11"/>
      <c r="D77" s="7"/>
      <c r="E77" s="2"/>
      <c r="F77" s="6">
        <f t="shared" si="44"/>
        <v>0</v>
      </c>
      <c r="G77" s="2"/>
      <c r="H77" s="7">
        <v>450</v>
      </c>
      <c r="I77" s="2"/>
      <c r="J77" s="6">
        <f t="shared" si="45"/>
        <v>9.46969696969697E-3</v>
      </c>
      <c r="K77" s="2"/>
      <c r="L77" s="7">
        <f t="shared" si="46"/>
        <v>-450</v>
      </c>
      <c r="M77" s="2"/>
      <c r="N77" s="6">
        <f t="shared" si="47"/>
        <v>-1</v>
      </c>
      <c r="O77" s="11"/>
      <c r="P77" s="7">
        <v>9096.75</v>
      </c>
      <c r="Q77" s="2"/>
      <c r="R77" s="6">
        <f t="shared" si="48"/>
        <v>8.9661702824741594E-3</v>
      </c>
      <c r="S77" s="2"/>
      <c r="T77" s="7">
        <v>8850</v>
      </c>
      <c r="U77" s="2"/>
      <c r="V77" s="6">
        <f t="shared" si="49"/>
        <v>1.6655374887082203E-2</v>
      </c>
      <c r="W77" s="2"/>
      <c r="X77" s="7">
        <f t="shared" si="50"/>
        <v>246.75</v>
      </c>
      <c r="Y77" s="2"/>
      <c r="Z77" s="6">
        <f t="shared" si="51"/>
        <v>2.7881355932203391E-2</v>
      </c>
    </row>
    <row r="78" spans="1:26" s="24" customFormat="1" hidden="1" outlineLevel="2" x14ac:dyDescent="0.3">
      <c r="A78" s="27"/>
      <c r="B78" s="11" t="str">
        <f>CONCATENATE("          ", "6241", " - ", "OFFICE EXPENSE")</f>
        <v xml:space="preserve">          6241 - OFFICE EXPENSE</v>
      </c>
      <c r="C78" s="11"/>
      <c r="D78" s="7">
        <v>159.6</v>
      </c>
      <c r="E78" s="2"/>
      <c r="F78" s="6">
        <f t="shared" si="44"/>
        <v>1.368188536380313E-3</v>
      </c>
      <c r="G78" s="2"/>
      <c r="H78" s="7">
        <v>125</v>
      </c>
      <c r="I78" s="2"/>
      <c r="J78" s="6">
        <f t="shared" si="45"/>
        <v>2.6304713804713806E-3</v>
      </c>
      <c r="K78" s="2"/>
      <c r="L78" s="7">
        <f t="shared" si="46"/>
        <v>34.599999999999994</v>
      </c>
      <c r="M78" s="2"/>
      <c r="N78" s="6">
        <f t="shared" si="47"/>
        <v>0.27679999999999993</v>
      </c>
      <c r="O78" s="11"/>
      <c r="P78" s="7">
        <v>4933.72</v>
      </c>
      <c r="Q78" s="2"/>
      <c r="R78" s="6">
        <f t="shared" si="48"/>
        <v>4.8628986886578626E-3</v>
      </c>
      <c r="S78" s="2"/>
      <c r="T78" s="7">
        <v>875</v>
      </c>
      <c r="U78" s="2"/>
      <c r="V78" s="6">
        <f t="shared" si="49"/>
        <v>1.6467178560674496E-3</v>
      </c>
      <c r="W78" s="2"/>
      <c r="X78" s="7">
        <f t="shared" si="50"/>
        <v>4058.7200000000003</v>
      </c>
      <c r="Y78" s="2"/>
      <c r="Z78" s="6">
        <f t="shared" si="51"/>
        <v>4.6385371428571434</v>
      </c>
    </row>
    <row r="79" spans="1:26" s="24" customFormat="1" hidden="1" outlineLevel="2" x14ac:dyDescent="0.3">
      <c r="A79" s="27"/>
      <c r="B79" s="11" t="str">
        <f>CONCATENATE("          ", "6243", " - ", "PAPER SUPPLIES")</f>
        <v xml:space="preserve">          6243 - PAPER SUPPLIES</v>
      </c>
      <c r="C79" s="11"/>
      <c r="D79" s="7"/>
      <c r="E79" s="2"/>
      <c r="F79" s="6">
        <f t="shared" si="44"/>
        <v>0</v>
      </c>
      <c r="G79" s="2"/>
      <c r="H79" s="7">
        <v>2000</v>
      </c>
      <c r="I79" s="2"/>
      <c r="J79" s="6">
        <f t="shared" si="45"/>
        <v>4.208754208754209E-2</v>
      </c>
      <c r="K79" s="2"/>
      <c r="L79" s="7">
        <f t="shared" si="46"/>
        <v>-2000</v>
      </c>
      <c r="M79" s="2"/>
      <c r="N79" s="6">
        <f t="shared" si="47"/>
        <v>-1</v>
      </c>
      <c r="O79" s="11"/>
      <c r="P79" s="7">
        <v>35028.519999999997</v>
      </c>
      <c r="Q79" s="2"/>
      <c r="R79" s="6">
        <f t="shared" si="48"/>
        <v>3.4525701493725969E-2</v>
      </c>
      <c r="S79" s="2"/>
      <c r="T79" s="7">
        <v>12000</v>
      </c>
      <c r="U79" s="2"/>
      <c r="V79" s="6">
        <f t="shared" si="49"/>
        <v>2.2583559168925023E-2</v>
      </c>
      <c r="W79" s="2"/>
      <c r="X79" s="7">
        <f t="shared" si="50"/>
        <v>23028.519999999997</v>
      </c>
      <c r="Y79" s="2"/>
      <c r="Z79" s="6">
        <f t="shared" si="51"/>
        <v>1.919043333333333</v>
      </c>
    </row>
    <row r="80" spans="1:26" s="24" customFormat="1" hidden="1" outlineLevel="2" x14ac:dyDescent="0.3">
      <c r="A80" s="27"/>
      <c r="B80" s="11" t="str">
        <f>CONCATENATE("          ", "6244", " - ", "SAFETY SUPPLY EXPENSE")</f>
        <v xml:space="preserve">          6244 - SAFETY SUPPLY EXPENSE</v>
      </c>
      <c r="C80" s="11"/>
      <c r="D80" s="7"/>
      <c r="E80" s="2"/>
      <c r="F80" s="6">
        <f t="shared" si="44"/>
        <v>0</v>
      </c>
      <c r="G80" s="2"/>
      <c r="H80" s="7">
        <v>125</v>
      </c>
      <c r="I80" s="2"/>
      <c r="J80" s="6">
        <f t="shared" si="45"/>
        <v>2.6304713804713806E-3</v>
      </c>
      <c r="K80" s="2"/>
      <c r="L80" s="7">
        <f t="shared" si="46"/>
        <v>-125</v>
      </c>
      <c r="M80" s="2"/>
      <c r="N80" s="6">
        <f t="shared" si="47"/>
        <v>-1</v>
      </c>
      <c r="O80" s="11"/>
      <c r="P80" s="7"/>
      <c r="Q80" s="2"/>
      <c r="R80" s="6">
        <f t="shared" si="48"/>
        <v>0</v>
      </c>
      <c r="S80" s="2"/>
      <c r="T80" s="7">
        <v>875</v>
      </c>
      <c r="U80" s="2"/>
      <c r="V80" s="6">
        <f t="shared" si="49"/>
        <v>1.6467178560674496E-3</v>
      </c>
      <c r="W80" s="2"/>
      <c r="X80" s="7">
        <f t="shared" si="50"/>
        <v>-875</v>
      </c>
      <c r="Y80" s="2"/>
      <c r="Z80" s="6">
        <f t="shared" si="51"/>
        <v>-1</v>
      </c>
    </row>
    <row r="81" spans="1:26" s="24" customFormat="1" hidden="1" outlineLevel="2" x14ac:dyDescent="0.3">
      <c r="A81" s="27"/>
      <c r="B81" s="11" t="str">
        <f>CONCATENATE("          ", "6247", " - ", "STORE SUPPLIES")</f>
        <v xml:space="preserve">          6247 - STORE SUPPLIES</v>
      </c>
      <c r="C81" s="11"/>
      <c r="D81" s="7"/>
      <c r="E81" s="2"/>
      <c r="F81" s="6">
        <f t="shared" si="44"/>
        <v>0</v>
      </c>
      <c r="G81" s="2"/>
      <c r="H81" s="7"/>
      <c r="I81" s="2"/>
      <c r="J81" s="6">
        <f t="shared" si="45"/>
        <v>0</v>
      </c>
      <c r="K81" s="2"/>
      <c r="L81" s="7">
        <f t="shared" si="46"/>
        <v>0</v>
      </c>
      <c r="M81" s="2"/>
      <c r="N81" s="6">
        <f t="shared" si="47"/>
        <v>0</v>
      </c>
      <c r="O81" s="11"/>
      <c r="P81" s="7">
        <v>652.62</v>
      </c>
      <c r="Q81" s="2"/>
      <c r="R81" s="6">
        <f t="shared" si="48"/>
        <v>6.4325193610336503E-4</v>
      </c>
      <c r="S81" s="2"/>
      <c r="T81" s="7"/>
      <c r="U81" s="2"/>
      <c r="V81" s="6">
        <f t="shared" si="49"/>
        <v>0</v>
      </c>
      <c r="W81" s="2"/>
      <c r="X81" s="7">
        <f t="shared" si="50"/>
        <v>652.62</v>
      </c>
      <c r="Y81" s="2"/>
      <c r="Z81" s="6">
        <f t="shared" si="51"/>
        <v>0</v>
      </c>
    </row>
    <row r="82" spans="1:26" s="24" customFormat="1" hidden="1" outlineLevel="2" x14ac:dyDescent="0.3">
      <c r="A82" s="27"/>
      <c r="B82" s="11" t="str">
        <f>CONCATENATE("          ", "6248", " - ", "UNIFORMS")</f>
        <v xml:space="preserve">          6248 - UNIFORMS</v>
      </c>
      <c r="C82" s="11"/>
      <c r="D82" s="7"/>
      <c r="E82" s="2"/>
      <c r="F82" s="6">
        <f t="shared" si="44"/>
        <v>0</v>
      </c>
      <c r="G82" s="2"/>
      <c r="H82" s="7">
        <v>196</v>
      </c>
      <c r="I82" s="2"/>
      <c r="J82" s="6">
        <f t="shared" si="45"/>
        <v>4.1245791245791245E-3</v>
      </c>
      <c r="K82" s="2"/>
      <c r="L82" s="7">
        <f t="shared" si="46"/>
        <v>-196</v>
      </c>
      <c r="M82" s="2"/>
      <c r="N82" s="6">
        <f t="shared" si="47"/>
        <v>-1</v>
      </c>
      <c r="O82" s="11"/>
      <c r="P82" s="7">
        <v>1870.42</v>
      </c>
      <c r="Q82" s="2"/>
      <c r="R82" s="6">
        <f t="shared" si="48"/>
        <v>1.8435709698238732E-3</v>
      </c>
      <c r="S82" s="2"/>
      <c r="T82" s="7">
        <v>1372</v>
      </c>
      <c r="U82" s="2"/>
      <c r="V82" s="6">
        <f t="shared" si="49"/>
        <v>2.5820535983137609E-3</v>
      </c>
      <c r="W82" s="2"/>
      <c r="X82" s="7">
        <f t="shared" si="50"/>
        <v>498.42000000000007</v>
      </c>
      <c r="Y82" s="2"/>
      <c r="Z82" s="6">
        <f t="shared" si="51"/>
        <v>0.36327988338192424</v>
      </c>
    </row>
    <row r="83" spans="1:26" s="28" customFormat="1" outlineLevel="1" collapsed="1" x14ac:dyDescent="0.3">
      <c r="A83" s="29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SUM(OSRRefD22_14x_0)</f>
        <v>186</v>
      </c>
      <c r="E83" s="1"/>
      <c r="F83" s="5">
        <f t="shared" ref="F83:F88" si="52">IF(D$12=0,0,D83/D$12)</f>
        <v>1.5945054371349513E-3</v>
      </c>
      <c r="G83" s="1"/>
      <c r="H83" s="1">
        <f>SUM(OSRRefH22_14x_0)</f>
        <v>125</v>
      </c>
      <c r="I83" s="1"/>
      <c r="J83" s="5">
        <f t="shared" ref="J83:J88" si="53">IF(H$12=0,0,H83/H$12)</f>
        <v>2.6304713804713806E-3</v>
      </c>
      <c r="K83" s="1"/>
      <c r="L83" s="1">
        <f t="shared" ref="L83:L88" si="54">+D83-H83</f>
        <v>61</v>
      </c>
      <c r="M83" s="1"/>
      <c r="N83" s="5">
        <f t="shared" ref="N83:N88" si="55">IF(H83=0,0,L83/H83)</f>
        <v>0.48799999999999999</v>
      </c>
      <c r="O83" s="14"/>
      <c r="P83" s="1">
        <f>SUM(OSRRefP22_14x_0)</f>
        <v>992.85</v>
      </c>
      <c r="Q83" s="1"/>
      <c r="R83" s="5">
        <f t="shared" ref="R83:R88" si="56">IF(P$12=0,0,P83/P$12)</f>
        <v>9.7859808887289083E-4</v>
      </c>
      <c r="S83" s="1"/>
      <c r="T83" s="1">
        <f>SUM(OSRRefT22_14x_0)</f>
        <v>875</v>
      </c>
      <c r="U83" s="1"/>
      <c r="V83" s="5">
        <f t="shared" ref="V83:V88" si="57">IF(T$12=0,0,T83/T$12)</f>
        <v>1.6467178560674496E-3</v>
      </c>
      <c r="W83" s="1"/>
      <c r="X83" s="1">
        <f t="shared" ref="X83:X88" si="58">+P83-T83</f>
        <v>117.85000000000002</v>
      </c>
      <c r="Y83" s="1"/>
      <c r="Z83" s="5">
        <f t="shared" ref="Z83:Z88" si="59">IF(T83=0,0,X83/T83)</f>
        <v>0.13468571428571433</v>
      </c>
    </row>
    <row r="84" spans="1:26" s="24" customFormat="1" hidden="1" outlineLevel="2" x14ac:dyDescent="0.3">
      <c r="A84" s="27"/>
      <c r="B84" s="11" t="str">
        <f>CONCATENATE("          ", "6309", " - ", "TELEPHONE")</f>
        <v xml:space="preserve">          6309 - TELEPHONE</v>
      </c>
      <c r="C84" s="11"/>
      <c r="D84" s="7">
        <v>186</v>
      </c>
      <c r="E84" s="2"/>
      <c r="F84" s="6">
        <f t="shared" si="52"/>
        <v>1.5945054371349513E-3</v>
      </c>
      <c r="G84" s="2"/>
      <c r="H84" s="7">
        <v>125</v>
      </c>
      <c r="I84" s="2"/>
      <c r="J84" s="6">
        <f t="shared" si="53"/>
        <v>2.6304713804713806E-3</v>
      </c>
      <c r="K84" s="2"/>
      <c r="L84" s="7">
        <f t="shared" si="54"/>
        <v>61</v>
      </c>
      <c r="M84" s="2"/>
      <c r="N84" s="6">
        <f t="shared" si="55"/>
        <v>0.48799999999999999</v>
      </c>
      <c r="O84" s="11"/>
      <c r="P84" s="7">
        <v>992.85</v>
      </c>
      <c r="Q84" s="2"/>
      <c r="R84" s="6">
        <f t="shared" si="56"/>
        <v>9.7859808887289083E-4</v>
      </c>
      <c r="S84" s="2"/>
      <c r="T84" s="7">
        <v>875</v>
      </c>
      <c r="U84" s="2"/>
      <c r="V84" s="6">
        <f t="shared" si="57"/>
        <v>1.6467178560674496E-3</v>
      </c>
      <c r="W84" s="2"/>
      <c r="X84" s="7">
        <f t="shared" si="58"/>
        <v>117.85000000000002</v>
      </c>
      <c r="Y84" s="2"/>
      <c r="Z84" s="6">
        <f t="shared" si="59"/>
        <v>0.13468571428571433</v>
      </c>
    </row>
    <row r="85" spans="1:26" s="28" customFormat="1" outlineLevel="1" collapsed="1" x14ac:dyDescent="0.3">
      <c r="A85" s="29"/>
      <c r="B85" s="14" t="str">
        <f>CONCATENATE("     ","Training                                          ")</f>
        <v xml:space="preserve">     Training                                          </v>
      </c>
      <c r="C85" s="14"/>
      <c r="D85" s="1">
        <f>SUM(OSRRefD22_15x_0)</f>
        <v>0</v>
      </c>
      <c r="E85" s="1"/>
      <c r="F85" s="5">
        <f t="shared" si="52"/>
        <v>0</v>
      </c>
      <c r="G85" s="1"/>
      <c r="H85" s="1">
        <f>SUM(OSRRefH22_15x_0)</f>
        <v>185</v>
      </c>
      <c r="I85" s="1"/>
      <c r="J85" s="5">
        <f t="shared" si="53"/>
        <v>3.8930976430976432E-3</v>
      </c>
      <c r="K85" s="1"/>
      <c r="L85" s="1">
        <f t="shared" si="54"/>
        <v>-185</v>
      </c>
      <c r="M85" s="1"/>
      <c r="N85" s="5">
        <f t="shared" si="55"/>
        <v>-1</v>
      </c>
      <c r="O85" s="14"/>
      <c r="P85" s="1">
        <f>SUM(OSRRefP22_15x_0)</f>
        <v>0</v>
      </c>
      <c r="Q85" s="1"/>
      <c r="R85" s="5">
        <f t="shared" si="56"/>
        <v>0</v>
      </c>
      <c r="S85" s="1"/>
      <c r="T85" s="1">
        <f>SUM(OSRRefT22_15x_0)</f>
        <v>1175</v>
      </c>
      <c r="U85" s="1"/>
      <c r="V85" s="5">
        <f t="shared" si="57"/>
        <v>2.2113068352905751E-3</v>
      </c>
      <c r="W85" s="1"/>
      <c r="X85" s="1">
        <f t="shared" si="58"/>
        <v>-1175</v>
      </c>
      <c r="Y85" s="1"/>
      <c r="Z85" s="5">
        <f t="shared" si="59"/>
        <v>-1</v>
      </c>
    </row>
    <row r="86" spans="1:26" s="24" customFormat="1" hidden="1" outlineLevel="2" x14ac:dyDescent="0.3">
      <c r="A86" s="27"/>
      <c r="B86" s="11" t="str">
        <f>CONCATENATE("          ", "6376", " - ", "TRAINING")</f>
        <v xml:space="preserve">          6376 - TRAINING</v>
      </c>
      <c r="C86" s="11"/>
      <c r="D86" s="7"/>
      <c r="E86" s="2"/>
      <c r="F86" s="6">
        <f t="shared" si="52"/>
        <v>0</v>
      </c>
      <c r="G86" s="2"/>
      <c r="H86" s="7">
        <v>185</v>
      </c>
      <c r="I86" s="2"/>
      <c r="J86" s="6">
        <f t="shared" si="53"/>
        <v>3.8930976430976432E-3</v>
      </c>
      <c r="K86" s="2"/>
      <c r="L86" s="7">
        <f t="shared" si="54"/>
        <v>-185</v>
      </c>
      <c r="M86" s="2"/>
      <c r="N86" s="6">
        <f t="shared" si="55"/>
        <v>-1</v>
      </c>
      <c r="O86" s="11"/>
      <c r="P86" s="7"/>
      <c r="Q86" s="2"/>
      <c r="R86" s="6">
        <f t="shared" si="56"/>
        <v>0</v>
      </c>
      <c r="S86" s="2"/>
      <c r="T86" s="7">
        <v>1175</v>
      </c>
      <c r="U86" s="2"/>
      <c r="V86" s="6">
        <f t="shared" si="57"/>
        <v>2.2113068352905751E-3</v>
      </c>
      <c r="W86" s="2"/>
      <c r="X86" s="7">
        <f t="shared" si="58"/>
        <v>-1175</v>
      </c>
      <c r="Y86" s="2"/>
      <c r="Z86" s="6">
        <f t="shared" si="59"/>
        <v>-1</v>
      </c>
    </row>
    <row r="87" spans="1:26" s="28" customFormat="1" outlineLevel="1" collapsed="1" x14ac:dyDescent="0.3">
      <c r="A87" s="29"/>
      <c r="B87" s="14" t="str">
        <f>CONCATENATE("     ","Travel                                            ")</f>
        <v xml:space="preserve">     Travel                                            </v>
      </c>
      <c r="C87" s="14"/>
      <c r="D87" s="1">
        <f>SUM(OSRRefD22_16x_0)</f>
        <v>0</v>
      </c>
      <c r="E87" s="1"/>
      <c r="F87" s="5">
        <f t="shared" si="52"/>
        <v>0</v>
      </c>
      <c r="G87" s="1"/>
      <c r="H87" s="1">
        <f>SUM(OSRRefH22_16x_0)</f>
        <v>0</v>
      </c>
      <c r="I87" s="1"/>
      <c r="J87" s="5">
        <f t="shared" si="53"/>
        <v>0</v>
      </c>
      <c r="K87" s="1"/>
      <c r="L87" s="1">
        <f t="shared" si="54"/>
        <v>0</v>
      </c>
      <c r="M87" s="1"/>
      <c r="N87" s="5">
        <f t="shared" si="55"/>
        <v>0</v>
      </c>
      <c r="O87" s="14"/>
      <c r="P87" s="1">
        <f>SUM(OSRRefP22_16x_0)</f>
        <v>104.02</v>
      </c>
      <c r="Q87" s="1"/>
      <c r="R87" s="5">
        <f t="shared" si="56"/>
        <v>1.0252684011135428E-4</v>
      </c>
      <c r="S87" s="1"/>
      <c r="T87" s="1">
        <f>SUM(OSRRefT22_16x_0)</f>
        <v>0</v>
      </c>
      <c r="U87" s="1"/>
      <c r="V87" s="5">
        <f t="shared" si="57"/>
        <v>0</v>
      </c>
      <c r="W87" s="1"/>
      <c r="X87" s="1">
        <f t="shared" si="58"/>
        <v>104.02</v>
      </c>
      <c r="Y87" s="1"/>
      <c r="Z87" s="5">
        <f t="shared" si="59"/>
        <v>0</v>
      </c>
    </row>
    <row r="88" spans="1:26" s="24" customFormat="1" hidden="1" outlineLevel="2" x14ac:dyDescent="0.3">
      <c r="A88" s="27"/>
      <c r="B88" s="11" t="str">
        <f>CONCATENATE("          ", "6298", " - ", "VEHICLE MILEAGE")</f>
        <v xml:space="preserve">          6298 - VEHICLE MILEAGE</v>
      </c>
      <c r="C88" s="11"/>
      <c r="D88" s="7"/>
      <c r="E88" s="2"/>
      <c r="F88" s="6">
        <f t="shared" si="52"/>
        <v>0</v>
      </c>
      <c r="G88" s="2"/>
      <c r="H88" s="7"/>
      <c r="I88" s="2"/>
      <c r="J88" s="6">
        <f t="shared" si="53"/>
        <v>0</v>
      </c>
      <c r="K88" s="2"/>
      <c r="L88" s="7">
        <f t="shared" si="54"/>
        <v>0</v>
      </c>
      <c r="M88" s="2"/>
      <c r="N88" s="6">
        <f t="shared" si="55"/>
        <v>0</v>
      </c>
      <c r="O88" s="11"/>
      <c r="P88" s="7">
        <v>104.02</v>
      </c>
      <c r="Q88" s="2"/>
      <c r="R88" s="6">
        <f t="shared" si="56"/>
        <v>1.0252684011135428E-4</v>
      </c>
      <c r="S88" s="2"/>
      <c r="T88" s="7"/>
      <c r="U88" s="2"/>
      <c r="V88" s="6">
        <f t="shared" si="57"/>
        <v>0</v>
      </c>
      <c r="W88" s="2"/>
      <c r="X88" s="7">
        <f t="shared" si="58"/>
        <v>104.02</v>
      </c>
      <c r="Y88" s="2"/>
      <c r="Z88" s="6">
        <f t="shared" si="59"/>
        <v>0</v>
      </c>
    </row>
    <row r="89" spans="1:26" s="55" customFormat="1" x14ac:dyDescent="0.3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3">
      <c r="A90" s="10"/>
      <c r="B90" s="25" t="s">
        <v>293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3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3">
      <c r="A92" s="10"/>
      <c r="B92" s="26" t="s">
        <v>277</v>
      </c>
      <c r="C92" s="26"/>
      <c r="D92" s="21">
        <f>+D23-D25+D90</f>
        <v>12069.779999999999</v>
      </c>
      <c r="E92" s="13"/>
      <c r="F92" s="22">
        <f>IF(D$12=0,0,D92/D$12)</f>
        <v>0.10346951524205748</v>
      </c>
      <c r="G92" s="13"/>
      <c r="H92" s="21">
        <f>+H23-H25+H90</f>
        <v>-83858.746746153862</v>
      </c>
      <c r="I92" s="13"/>
      <c r="J92" s="22">
        <f>IF(H$12=0,0,H92/H$12)</f>
        <v>-1.7647042665436419</v>
      </c>
      <c r="K92" s="15"/>
      <c r="L92" s="21">
        <f>+D92-H92</f>
        <v>95928.526746153861</v>
      </c>
      <c r="M92" s="15"/>
      <c r="N92" s="22">
        <f>IF(H92=0,0,L92/H92)</f>
        <v>-1.1439298876780981</v>
      </c>
      <c r="O92" s="25"/>
      <c r="P92" s="21">
        <f>+P23-P25+P90</f>
        <v>6247.5999999998603</v>
      </c>
      <c r="Q92" s="13"/>
      <c r="R92" s="22">
        <f>IF(P$12=0,0,P92/P$12)</f>
        <v>6.1579185375858752E-3</v>
      </c>
      <c r="S92" s="13"/>
      <c r="T92" s="21">
        <f>+T23-T25+T90</f>
        <v>-440022.83572615369</v>
      </c>
      <c r="U92" s="13"/>
      <c r="V92" s="22">
        <f>IF(T$12=0,0,T92/T$12)</f>
        <v>-0.82810681219164728</v>
      </c>
      <c r="W92" s="15"/>
      <c r="X92" s="21">
        <f>+P92-T92</f>
        <v>446270.43572615355</v>
      </c>
      <c r="Y92" s="15"/>
      <c r="Z92" s="22">
        <f>IF(T92=0,0,X92/T92)</f>
        <v>-1.0141983540233535</v>
      </c>
    </row>
    <row r="93" spans="1:26" x14ac:dyDescent="0.3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3">
      <c r="A94" s="52"/>
      <c r="B94" s="10" t="s">
        <v>128</v>
      </c>
      <c r="C94" s="10"/>
      <c r="D94" s="4">
        <v>26212.63</v>
      </c>
      <c r="E94" s="4"/>
      <c r="F94" s="12">
        <f>IF(D$12=0,0,D94/D$12)</f>
        <v>0.22471065084197173</v>
      </c>
      <c r="G94" s="4"/>
      <c r="H94" s="4">
        <v>3934</v>
      </c>
      <c r="I94" s="4"/>
      <c r="J94" s="12">
        <f>IF(H$12=0,0,H94/H$12)</f>
        <v>8.2786195286195283E-2</v>
      </c>
      <c r="K94" s="4"/>
      <c r="L94" s="4">
        <f>+D94-H94</f>
        <v>22278.63</v>
      </c>
      <c r="M94" s="4"/>
      <c r="N94" s="12">
        <f>IF(H94=0,0,L94/H94)</f>
        <v>5.6630986273512969</v>
      </c>
      <c r="O94" s="10"/>
      <c r="P94" s="4">
        <v>134295.14000000001</v>
      </c>
      <c r="Q94" s="4"/>
      <c r="R94" s="12">
        <f>IF(P$12=0,0,P94/P$12)</f>
        <v>0.13236739421757296</v>
      </c>
      <c r="S94" s="4"/>
      <c r="T94" s="4">
        <v>66577</v>
      </c>
      <c r="U94" s="4"/>
      <c r="V94" s="12">
        <f>IF(T$12=0,0,T94/T$12)</f>
        <v>0.1252954682324601</v>
      </c>
      <c r="W94" s="4"/>
      <c r="X94" s="4">
        <f>+P94-T94</f>
        <v>67718.140000000014</v>
      </c>
      <c r="Y94" s="4"/>
      <c r="Z94" s="12">
        <f>IF(T94=0,0,X94/T94)</f>
        <v>1.0171401535064664</v>
      </c>
    </row>
    <row r="95" spans="1:26" x14ac:dyDescent="0.3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" thickBot="1" x14ac:dyDescent="0.35">
      <c r="A96" s="10"/>
      <c r="B96" s="26" t="s">
        <v>126</v>
      </c>
      <c r="C96" s="26"/>
      <c r="D96" s="32">
        <f>+D92-D94</f>
        <v>-14142.850000000002</v>
      </c>
      <c r="E96" s="13"/>
      <c r="F96" s="31">
        <f>IF(D$12=0,0,D96/D$12)</f>
        <v>-0.12124113559991424</v>
      </c>
      <c r="G96" s="13"/>
      <c r="H96" s="32">
        <f>+H92-H94</f>
        <v>-87792.746746153862</v>
      </c>
      <c r="I96" s="13"/>
      <c r="J96" s="31">
        <f>IF(H$12=0,0,H96/H$12)</f>
        <v>-1.8474904618298371</v>
      </c>
      <c r="K96" s="15"/>
      <c r="L96" s="32">
        <f>D96-H96</f>
        <v>73649.896746153856</v>
      </c>
      <c r="M96" s="15"/>
      <c r="N96" s="31">
        <f>IF(H96=0,0,L96/H96)</f>
        <v>-0.838906395753934</v>
      </c>
      <c r="O96" s="25"/>
      <c r="P96" s="32">
        <f>+P92-P94</f>
        <v>-128047.54000000015</v>
      </c>
      <c r="Q96" s="13"/>
      <c r="R96" s="31">
        <f>IF(P$12=0,0,P96/P$12)</f>
        <v>-0.12620947567998711</v>
      </c>
      <c r="S96" s="13"/>
      <c r="T96" s="32">
        <f>+T92-T94</f>
        <v>-506599.83572615369</v>
      </c>
      <c r="U96" s="13"/>
      <c r="V96" s="31">
        <f>IF(T$12=0,0,T96/T$12)</f>
        <v>-0.95340228042410735</v>
      </c>
      <c r="W96" s="15"/>
      <c r="X96" s="32">
        <f>P96-T96</f>
        <v>378552.29572615353</v>
      </c>
      <c r="Y96" s="15"/>
      <c r="Z96" s="31">
        <f>IF(T96=0,0,X96/T96)</f>
        <v>-0.74724125242469042</v>
      </c>
    </row>
    <row r="97" spans="1:26" ht="15" thickTop="1" x14ac:dyDescent="0.3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3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" thickBot="1" x14ac:dyDescent="0.35">
      <c r="A99" s="10"/>
      <c r="B99" s="26" t="s">
        <v>294</v>
      </c>
      <c r="C99" s="26"/>
      <c r="D99" s="34">
        <f>SUM(D96:D98)</f>
        <v>-14142.850000000002</v>
      </c>
      <c r="E99" s="13"/>
      <c r="F99" s="35">
        <f>IF(D$12=0,0,D99/D$12)</f>
        <v>-0.12124113559991424</v>
      </c>
      <c r="G99" s="13"/>
      <c r="H99" s="34">
        <f>SUM(H96:H98)</f>
        <v>-87792.746746153862</v>
      </c>
      <c r="I99" s="13"/>
      <c r="J99" s="35">
        <f>IF(H$12=0,0,H99/H$12)</f>
        <v>-1.8474904618298371</v>
      </c>
      <c r="K99" s="15"/>
      <c r="L99" s="34">
        <f>+D99-H99</f>
        <v>73649.896746153856</v>
      </c>
      <c r="M99" s="15"/>
      <c r="N99" s="35">
        <f>IF(H99=0,0,L99/H99)</f>
        <v>-0.838906395753934</v>
      </c>
      <c r="O99" s="25"/>
      <c r="P99" s="34">
        <f>SUM(P96:P98)</f>
        <v>-128047.54000000015</v>
      </c>
      <c r="Q99" s="13"/>
      <c r="R99" s="35">
        <f>IF(P$12=0,0,P99/P$12)</f>
        <v>-0.12620947567998711</v>
      </c>
      <c r="S99" s="13"/>
      <c r="T99" s="34">
        <f>SUM(T96:T98)</f>
        <v>-506599.83572615369</v>
      </c>
      <c r="U99" s="13"/>
      <c r="V99" s="35">
        <f>IF(T$12=0,0,T99/T$12)</f>
        <v>-0.95340228042410735</v>
      </c>
      <c r="W99" s="15"/>
      <c r="X99" s="34">
        <f>+P99-T99</f>
        <v>378552.29572615353</v>
      </c>
      <c r="Y99" s="15"/>
      <c r="Z99" s="35">
        <f>IF(T99=0,0,X99/T99)</f>
        <v>-0.74724125242469042</v>
      </c>
    </row>
    <row r="100" spans="1:26" ht="15" thickTop="1" x14ac:dyDescent="0.3">
      <c r="A100" s="9"/>
      <c r="C100" s="9"/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6" x14ac:dyDescent="0.3">
      <c r="A101" s="9"/>
      <c r="B101" s="53">
        <v>44604.019995405091</v>
      </c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3">
      <c r="A102" s="9"/>
      <c r="B102" s="63" t="s">
        <v>56</v>
      </c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3">
      <c r="A103" s="9"/>
      <c r="B103" s="58"/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3"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C000"/>
    <outlinePr summaryBelow="0" summaryRight="0"/>
  </sheetPr>
  <dimension ref="A2:Z8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105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22105</v>
      </c>
      <c r="E12" s="4"/>
      <c r="F12" s="12"/>
      <c r="G12" s="4"/>
      <c r="H12" s="4">
        <f>SUM(OSRRefH13x_0)</f>
        <v>41475</v>
      </c>
      <c r="I12" s="4"/>
      <c r="J12" s="12"/>
      <c r="K12" s="4"/>
      <c r="L12" s="4">
        <f t="shared" ref="L12:L13" si="0">+D12-H12</f>
        <v>-19370</v>
      </c>
      <c r="M12" s="4"/>
      <c r="N12" s="12">
        <f t="shared" ref="N12:N13" si="1">IF(H12=0,0,L12/H12)</f>
        <v>-0.46702833031946955</v>
      </c>
      <c r="O12" s="10"/>
      <c r="P12" s="4">
        <f>SUM(OSRRefP13x_0)</f>
        <v>311653</v>
      </c>
      <c r="Q12" s="4"/>
      <c r="R12" s="12"/>
      <c r="S12" s="4"/>
      <c r="T12" s="4">
        <f>SUM(OSRRefT13x_0)</f>
        <v>407486</v>
      </c>
      <c r="U12" s="4"/>
      <c r="V12" s="12"/>
      <c r="W12" s="4"/>
      <c r="X12" s="4">
        <f t="shared" ref="X12:X13" si="2">+P12-T12</f>
        <v>-95833</v>
      </c>
      <c r="Y12" s="4"/>
      <c r="Z12" s="12">
        <f t="shared" ref="Z12:Z13" si="3">IF(T12=0,0,X12/T12)</f>
        <v>-0.23518108597595991</v>
      </c>
    </row>
    <row r="13" spans="1:26" s="24" customFormat="1" hidden="1" outlineLevel="1" x14ac:dyDescent="0.3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--22105</f>
        <v>22105</v>
      </c>
      <c r="E13" s="2"/>
      <c r="F13" s="19"/>
      <c r="G13" s="2"/>
      <c r="H13" s="2">
        <v>41475</v>
      </c>
      <c r="I13" s="2"/>
      <c r="J13" s="19"/>
      <c r="K13" s="2"/>
      <c r="L13" s="2">
        <f t="shared" si="0"/>
        <v>-19370</v>
      </c>
      <c r="M13" s="2"/>
      <c r="N13" s="19">
        <f t="shared" si="1"/>
        <v>-0.46702833031946955</v>
      </c>
      <c r="O13" s="11"/>
      <c r="P13" s="2">
        <f>--311653</f>
        <v>311653</v>
      </c>
      <c r="Q13" s="2"/>
      <c r="R13" s="19"/>
      <c r="S13" s="2"/>
      <c r="T13" s="2">
        <v>407486</v>
      </c>
      <c r="U13" s="2"/>
      <c r="V13" s="19"/>
      <c r="W13" s="2"/>
      <c r="X13" s="2">
        <f t="shared" si="2"/>
        <v>-95833</v>
      </c>
      <c r="Y13" s="2"/>
      <c r="Z13" s="19">
        <f t="shared" si="3"/>
        <v>-0.23518108597595991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3">
      <c r="A15" s="10"/>
      <c r="B15" s="25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6" t="s">
        <v>108</v>
      </c>
      <c r="C17" s="26"/>
      <c r="D17" s="21">
        <f>D12-D15</f>
        <v>22105</v>
      </c>
      <c r="E17" s="13"/>
      <c r="F17" s="22">
        <f>IF(D$12=0,0,D17/D$12)</f>
        <v>1</v>
      </c>
      <c r="G17" s="13"/>
      <c r="H17" s="21">
        <f>H12-H15</f>
        <v>41475</v>
      </c>
      <c r="I17" s="13"/>
      <c r="J17" s="22">
        <f>IF(H$12=0,0,H17/H$12)</f>
        <v>1</v>
      </c>
      <c r="K17" s="15"/>
      <c r="L17" s="21">
        <f>+D17-H17</f>
        <v>-19370</v>
      </c>
      <c r="M17" s="15"/>
      <c r="N17" s="22">
        <f>IF(H17=0,0,L17/H17)</f>
        <v>-0.46702833031946955</v>
      </c>
      <c r="O17" s="25"/>
      <c r="P17" s="21">
        <f>P12-P15</f>
        <v>311653</v>
      </c>
      <c r="Q17" s="13"/>
      <c r="R17" s="22">
        <f>IF(P$12=0,0,P17/P$12)</f>
        <v>1</v>
      </c>
      <c r="S17" s="13"/>
      <c r="T17" s="21">
        <f>T12-T15</f>
        <v>407486</v>
      </c>
      <c r="U17" s="13"/>
      <c r="V17" s="22">
        <f>IF(T$12=0,0,T17/T$12)</f>
        <v>1</v>
      </c>
      <c r="W17" s="15"/>
      <c r="X17" s="21">
        <f>+P17-T17</f>
        <v>-95833</v>
      </c>
      <c r="Y17" s="15"/>
      <c r="Z17" s="22">
        <f>IF(T17=0,0,X17/T17)</f>
        <v>-0.23518108597595991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5" t="s">
        <v>295</v>
      </c>
      <c r="C19" s="10"/>
      <c r="D19" s="20">
        <f>SUM(OSRRefD22x_0)</f>
        <v>23961.410000000003</v>
      </c>
      <c r="E19" s="20"/>
      <c r="F19" s="33">
        <f t="shared" ref="F19:F30" si="4">IF(D$12=0,0,D19/D$12)</f>
        <v>1.083981452160145</v>
      </c>
      <c r="G19" s="20"/>
      <c r="H19" s="20">
        <f>SUM(OSRRefH22x_0)</f>
        <v>39635.934401472121</v>
      </c>
      <c r="I19" s="20"/>
      <c r="J19" s="33">
        <f t="shared" ref="J19:J30" si="5">IF(H$12=0,0,H19/H$12)</f>
        <v>0.95565845452615117</v>
      </c>
      <c r="K19" s="4"/>
      <c r="L19" s="20">
        <f t="shared" ref="L19:L30" si="6">+D19-H19</f>
        <v>-15674.524401472117</v>
      </c>
      <c r="M19" s="4"/>
      <c r="N19" s="33">
        <f t="shared" ref="N19:N30" si="7">IF(H19=0,0,L19/H19)</f>
        <v>-0.39546246703067378</v>
      </c>
      <c r="O19" s="10"/>
      <c r="P19" s="20">
        <f>SUM(OSRRefP22x_0)</f>
        <v>283038.30999999994</v>
      </c>
      <c r="Q19" s="20"/>
      <c r="R19" s="33">
        <f t="shared" ref="R19:R30" si="8">IF(P$12=0,0,P19/P$12)</f>
        <v>0.90818413427754563</v>
      </c>
      <c r="S19" s="20"/>
      <c r="T19" s="20">
        <f>SUM(OSRRefT22x_0)</f>
        <v>382639.51246612711</v>
      </c>
      <c r="U19" s="20"/>
      <c r="V19" s="33">
        <f t="shared" ref="V19:V30" si="9">IF(T$12=0,0,T19/T$12)</f>
        <v>0.93902492960770945</v>
      </c>
      <c r="W19" s="4"/>
      <c r="X19" s="20">
        <f t="shared" ref="X19:X30" si="10">+P19-T19</f>
        <v>-99601.202466127172</v>
      </c>
      <c r="Y19" s="4"/>
      <c r="Z19" s="33">
        <f t="shared" ref="Z19:Z30" si="11">IF(T19=0,0,X19/T19)</f>
        <v>-0.26030035900943266</v>
      </c>
    </row>
    <row r="20" spans="1:26" s="28" customFormat="1" outlineLevel="1" collapsed="1" x14ac:dyDescent="0.3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4516.5</v>
      </c>
      <c r="E20" s="1"/>
      <c r="F20" s="5">
        <f t="shared" si="4"/>
        <v>0.20432028952725628</v>
      </c>
      <c r="G20" s="1"/>
      <c r="H20" s="1">
        <f>SUM(OSRRefH22_0x_0)</f>
        <v>3880.1365985875027</v>
      </c>
      <c r="I20" s="1"/>
      <c r="J20" s="5">
        <f t="shared" si="5"/>
        <v>9.3553625041290001E-2</v>
      </c>
      <c r="K20" s="1"/>
      <c r="L20" s="1">
        <f t="shared" si="6"/>
        <v>636.3634014124973</v>
      </c>
      <c r="M20" s="1"/>
      <c r="N20" s="5">
        <f t="shared" si="7"/>
        <v>0.1640054119857931</v>
      </c>
      <c r="O20" s="14"/>
      <c r="P20" s="1">
        <f>SUM(OSRRefP22_0x_0)</f>
        <v>28009.32</v>
      </c>
      <c r="Q20" s="1"/>
      <c r="R20" s="5">
        <f t="shared" si="8"/>
        <v>8.9873416909190665E-2</v>
      </c>
      <c r="S20" s="1"/>
      <c r="T20" s="1">
        <f>SUM(OSRRefT22_0x_0)</f>
        <v>27049.466088242512</v>
      </c>
      <c r="U20" s="1"/>
      <c r="V20" s="5">
        <f t="shared" si="9"/>
        <v>6.6381338471119281E-2</v>
      </c>
      <c r="W20" s="1"/>
      <c r="X20" s="1">
        <f t="shared" si="10"/>
        <v>959.85391175748737</v>
      </c>
      <c r="Y20" s="1"/>
      <c r="Z20" s="5">
        <f t="shared" si="11"/>
        <v>3.5485133371068768E-2</v>
      </c>
    </row>
    <row r="21" spans="1:26" s="24" customFormat="1" hidden="1" outlineLevel="2" x14ac:dyDescent="0.3">
      <c r="A21" s="27"/>
      <c r="B21" s="11" t="str">
        <f>CONCATENATE("          ", "6111", " - ", "F.I.C.A.")</f>
        <v xml:space="preserve">          6111 - F.I.C.A.</v>
      </c>
      <c r="C21" s="11"/>
      <c r="D21" s="7">
        <v>766.9</v>
      </c>
      <c r="E21" s="2"/>
      <c r="F21" s="6">
        <f t="shared" si="4"/>
        <v>3.4693508256050665E-2</v>
      </c>
      <c r="G21" s="2"/>
      <c r="H21" s="7">
        <v>801.54281984711599</v>
      </c>
      <c r="I21" s="2"/>
      <c r="J21" s="6">
        <f t="shared" si="5"/>
        <v>1.932592694025596E-2</v>
      </c>
      <c r="K21" s="2"/>
      <c r="L21" s="7">
        <f t="shared" si="6"/>
        <v>-34.642819847116016</v>
      </c>
      <c r="M21" s="2"/>
      <c r="N21" s="6">
        <f t="shared" si="7"/>
        <v>-4.3220173631801341E-2</v>
      </c>
      <c r="O21" s="11"/>
      <c r="P21" s="7">
        <v>7466.2</v>
      </c>
      <c r="Q21" s="2"/>
      <c r="R21" s="6">
        <f t="shared" si="8"/>
        <v>2.3956772436010562E-2</v>
      </c>
      <c r="S21" s="2"/>
      <c r="T21" s="7">
        <v>7166.1218900521199</v>
      </c>
      <c r="U21" s="2"/>
      <c r="V21" s="6">
        <f t="shared" si="9"/>
        <v>1.7586179378069725E-2</v>
      </c>
      <c r="W21" s="2"/>
      <c r="X21" s="7">
        <f t="shared" si="10"/>
        <v>300.07810994787997</v>
      </c>
      <c r="Y21" s="2"/>
      <c r="Z21" s="6">
        <f t="shared" si="11"/>
        <v>4.187454728678882E-2</v>
      </c>
    </row>
    <row r="22" spans="1:26" s="24" customFormat="1" hidden="1" outlineLevel="2" x14ac:dyDescent="0.3">
      <c r="A22" s="27"/>
      <c r="B22" s="11" t="str">
        <f>CONCATENATE("          ", "6112", " - ", "COMPENSATION INSURANCE")</f>
        <v xml:space="preserve">          6112 - COMPENSATION INSURANCE</v>
      </c>
      <c r="C22" s="11"/>
      <c r="D22" s="7">
        <v>130.47999999999999</v>
      </c>
      <c r="E22" s="2"/>
      <c r="F22" s="6">
        <f t="shared" si="4"/>
        <v>5.9027369373444915E-3</v>
      </c>
      <c r="G22" s="2"/>
      <c r="H22" s="7">
        <v>381.73319550000002</v>
      </c>
      <c r="I22" s="2"/>
      <c r="J22" s="6">
        <f t="shared" si="5"/>
        <v>9.2039347920434E-3</v>
      </c>
      <c r="K22" s="2"/>
      <c r="L22" s="7">
        <f t="shared" si="6"/>
        <v>-251.25319550000003</v>
      </c>
      <c r="M22" s="2"/>
      <c r="N22" s="6">
        <f t="shared" si="7"/>
        <v>-0.65819058562854282</v>
      </c>
      <c r="O22" s="11"/>
      <c r="P22" s="7">
        <v>1163.08</v>
      </c>
      <c r="Q22" s="2"/>
      <c r="R22" s="6">
        <f t="shared" si="8"/>
        <v>3.7319711345631195E-3</v>
      </c>
      <c r="S22" s="2"/>
      <c r="T22" s="7">
        <v>2359.5713721000002</v>
      </c>
      <c r="U22" s="2"/>
      <c r="V22" s="6">
        <f t="shared" si="9"/>
        <v>5.7905581347580046E-3</v>
      </c>
      <c r="W22" s="2"/>
      <c r="X22" s="7">
        <f t="shared" si="10"/>
        <v>-1196.4913721000003</v>
      </c>
      <c r="Y22" s="2"/>
      <c r="Z22" s="6">
        <f t="shared" si="11"/>
        <v>-0.50707996640725994</v>
      </c>
    </row>
    <row r="23" spans="1:26" s="24" customFormat="1" hidden="1" outlineLevel="2" x14ac:dyDescent="0.3">
      <c r="A23" s="27"/>
      <c r="B23" s="11" t="str">
        <f>CONCATENATE("          ", "6113", " - ", "GROUP INSURANCE")</f>
        <v xml:space="preserve">          6113 - GROUP INSURANCE</v>
      </c>
      <c r="C23" s="11"/>
      <c r="D23" s="7">
        <v>964.7</v>
      </c>
      <c r="E23" s="2"/>
      <c r="F23" s="6">
        <f t="shared" si="4"/>
        <v>4.364171002035739E-2</v>
      </c>
      <c r="G23" s="2"/>
      <c r="H23" s="7">
        <v>1022.5</v>
      </c>
      <c r="I23" s="2"/>
      <c r="J23" s="6">
        <f t="shared" si="5"/>
        <v>2.4653405666063895E-2</v>
      </c>
      <c r="K23" s="2"/>
      <c r="L23" s="7">
        <f t="shared" si="6"/>
        <v>-57.799999999999955</v>
      </c>
      <c r="M23" s="2"/>
      <c r="N23" s="6">
        <f t="shared" si="7"/>
        <v>-5.6528117359413162E-2</v>
      </c>
      <c r="O23" s="11"/>
      <c r="P23" s="7">
        <v>7290.8</v>
      </c>
      <c r="Q23" s="2"/>
      <c r="R23" s="6">
        <f t="shared" si="8"/>
        <v>2.339396700817897E-2</v>
      </c>
      <c r="S23" s="2"/>
      <c r="T23" s="7">
        <v>7157.5</v>
      </c>
      <c r="U23" s="2"/>
      <c r="V23" s="6">
        <f t="shared" si="9"/>
        <v>1.7565020638745869E-2</v>
      </c>
      <c r="W23" s="2"/>
      <c r="X23" s="7">
        <f t="shared" si="10"/>
        <v>133.30000000000018</v>
      </c>
      <c r="Y23" s="2"/>
      <c r="Z23" s="6">
        <f t="shared" si="11"/>
        <v>1.8623821166608479E-2</v>
      </c>
    </row>
    <row r="24" spans="1:26" s="24" customFormat="1" hidden="1" outlineLevel="2" x14ac:dyDescent="0.3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7">
        <v>25.77</v>
      </c>
      <c r="E24" s="2"/>
      <c r="F24" s="6">
        <f t="shared" si="4"/>
        <v>1.1657995928522958E-3</v>
      </c>
      <c r="G24" s="2"/>
      <c r="H24" s="7">
        <v>51.387160932692296</v>
      </c>
      <c r="I24" s="2"/>
      <c r="J24" s="6">
        <f t="shared" si="5"/>
        <v>1.2389912220058419E-3</v>
      </c>
      <c r="K24" s="2"/>
      <c r="L24" s="7">
        <f t="shared" si="6"/>
        <v>-25.617160932692297</v>
      </c>
      <c r="M24" s="2"/>
      <c r="N24" s="6">
        <f t="shared" si="7"/>
        <v>-0.49851286717797183</v>
      </c>
      <c r="O24" s="11"/>
      <c r="P24" s="7">
        <v>230.06</v>
      </c>
      <c r="Q24" s="2"/>
      <c r="R24" s="6">
        <f t="shared" si="8"/>
        <v>7.3819279775904614E-4</v>
      </c>
      <c r="S24" s="2"/>
      <c r="T24" s="7">
        <v>317.634607782692</v>
      </c>
      <c r="U24" s="2"/>
      <c r="V24" s="6">
        <f t="shared" si="9"/>
        <v>7.7949821044819207E-4</v>
      </c>
      <c r="W24" s="2"/>
      <c r="X24" s="7">
        <f t="shared" si="10"/>
        <v>-87.574607782691999</v>
      </c>
      <c r="Y24" s="2"/>
      <c r="Z24" s="6">
        <f t="shared" si="11"/>
        <v>-0.27570864646652637</v>
      </c>
    </row>
    <row r="25" spans="1:26" s="24" customFormat="1" hidden="1" outlineLevel="2" x14ac:dyDescent="0.3">
      <c r="A25" s="27"/>
      <c r="B25" s="11" t="str">
        <f>CONCATENATE("          ", "6115", " - ", "P.E.R.S.")</f>
        <v xml:space="preserve">          6115 - P.E.R.S.</v>
      </c>
      <c r="C25" s="11"/>
      <c r="D25" s="7">
        <v>610.04</v>
      </c>
      <c r="E25" s="2"/>
      <c r="F25" s="6">
        <f t="shared" si="4"/>
        <v>2.7597376159239989E-2</v>
      </c>
      <c r="G25" s="2"/>
      <c r="H25" s="7">
        <v>721.15959057692396</v>
      </c>
      <c r="I25" s="2"/>
      <c r="J25" s="6">
        <f t="shared" si="5"/>
        <v>1.738781411879262E-2</v>
      </c>
      <c r="K25" s="2"/>
      <c r="L25" s="7">
        <f t="shared" si="6"/>
        <v>-111.119590576924</v>
      </c>
      <c r="M25" s="2"/>
      <c r="N25" s="6">
        <f t="shared" si="7"/>
        <v>-0.15408460489033904</v>
      </c>
      <c r="O25" s="11"/>
      <c r="P25" s="7">
        <v>4469.7299999999996</v>
      </c>
      <c r="Q25" s="2"/>
      <c r="R25" s="6">
        <f t="shared" si="8"/>
        <v>1.434200858005538E-2</v>
      </c>
      <c r="S25" s="2"/>
      <c r="T25" s="7">
        <v>4471.1894615769297</v>
      </c>
      <c r="U25" s="2"/>
      <c r="V25" s="6">
        <f t="shared" si="9"/>
        <v>1.0972621050973358E-2</v>
      </c>
      <c r="W25" s="2"/>
      <c r="X25" s="7">
        <f t="shared" si="10"/>
        <v>-1.4594615769301527</v>
      </c>
      <c r="Y25" s="2"/>
      <c r="Z25" s="6">
        <f t="shared" si="11"/>
        <v>-3.2641461281656802E-4</v>
      </c>
    </row>
    <row r="26" spans="1:26" s="24" customFormat="1" hidden="1" outlineLevel="2" x14ac:dyDescent="0.3">
      <c r="A26" s="27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3">
      <c r="A27" s="27"/>
      <c r="B27" s="11" t="str">
        <f>CONCATENATE("          ", "6117", " - ", "RETIREMENT STAFF HOURLY")</f>
        <v xml:space="preserve">          6117 - RETIREMENT STAFF HOURLY</v>
      </c>
      <c r="C27" s="11"/>
      <c r="D27" s="7"/>
      <c r="E27" s="2"/>
      <c r="F27" s="6">
        <f t="shared" si="4"/>
        <v>0</v>
      </c>
      <c r="G27" s="2"/>
      <c r="H27" s="7"/>
      <c r="I27" s="2"/>
      <c r="J27" s="6">
        <f t="shared" si="5"/>
        <v>0</v>
      </c>
      <c r="K27" s="2"/>
      <c r="L27" s="7">
        <f t="shared" si="6"/>
        <v>0</v>
      </c>
      <c r="M27" s="2"/>
      <c r="N27" s="6">
        <f t="shared" si="7"/>
        <v>0</v>
      </c>
      <c r="O27" s="11"/>
      <c r="P27" s="7">
        <v>215.15</v>
      </c>
      <c r="Q27" s="2"/>
      <c r="R27" s="6">
        <f t="shared" si="8"/>
        <v>6.903511276965086E-4</v>
      </c>
      <c r="S27" s="2"/>
      <c r="T27" s="7"/>
      <c r="U27" s="2"/>
      <c r="V27" s="6">
        <f t="shared" si="9"/>
        <v>0</v>
      </c>
      <c r="W27" s="2"/>
      <c r="X27" s="7">
        <f t="shared" si="10"/>
        <v>215.15</v>
      </c>
      <c r="Y27" s="2"/>
      <c r="Z27" s="6">
        <f t="shared" si="11"/>
        <v>0</v>
      </c>
    </row>
    <row r="28" spans="1:26" s="24" customFormat="1" hidden="1" outlineLevel="2" x14ac:dyDescent="0.3">
      <c r="A28" s="27"/>
      <c r="B28" s="11" t="str">
        <f>CONCATENATE("          ", "6118", " - ", "VACATION")</f>
        <v xml:space="preserve">          6118 - VACATION</v>
      </c>
      <c r="C28" s="11"/>
      <c r="D28" s="7">
        <v>1087.24</v>
      </c>
      <c r="E28" s="2"/>
      <c r="F28" s="6">
        <f t="shared" si="4"/>
        <v>4.9185252205383397E-2</v>
      </c>
      <c r="G28" s="2"/>
      <c r="H28" s="7">
        <v>251.56729903846201</v>
      </c>
      <c r="I28" s="2"/>
      <c r="J28" s="6">
        <f t="shared" si="5"/>
        <v>6.065516553067197E-3</v>
      </c>
      <c r="K28" s="2"/>
      <c r="L28" s="7">
        <f t="shared" si="6"/>
        <v>835.672700961538</v>
      </c>
      <c r="M28" s="2"/>
      <c r="N28" s="6">
        <f t="shared" si="7"/>
        <v>3.3218653781935799</v>
      </c>
      <c r="O28" s="11"/>
      <c r="P28" s="7">
        <v>4131.6499999999996</v>
      </c>
      <c r="Q28" s="2"/>
      <c r="R28" s="6">
        <f t="shared" si="8"/>
        <v>1.3257212348348963E-2</v>
      </c>
      <c r="S28" s="2"/>
      <c r="T28" s="7">
        <v>1559.7172540384599</v>
      </c>
      <c r="U28" s="2"/>
      <c r="V28" s="6">
        <f t="shared" si="9"/>
        <v>3.8276585061534875E-3</v>
      </c>
      <c r="W28" s="2"/>
      <c r="X28" s="7">
        <f t="shared" si="10"/>
        <v>2571.9327459615397</v>
      </c>
      <c r="Y28" s="2"/>
      <c r="Z28" s="6">
        <f t="shared" si="11"/>
        <v>1.6489737093708654</v>
      </c>
    </row>
    <row r="29" spans="1:26" s="24" customFormat="1" hidden="1" outlineLevel="2" x14ac:dyDescent="0.3">
      <c r="A29" s="27"/>
      <c r="B29" s="11" t="str">
        <f>CONCATENATE("          ", "6119", " - ", "SICK LEAVE")</f>
        <v xml:space="preserve">          6119 - SICK LEAVE</v>
      </c>
      <c r="C29" s="11"/>
      <c r="D29" s="7">
        <v>857.62</v>
      </c>
      <c r="E29" s="2"/>
      <c r="F29" s="6">
        <f t="shared" si="4"/>
        <v>3.8797557113775166E-2</v>
      </c>
      <c r="G29" s="2"/>
      <c r="H29" s="7">
        <v>650.24653269230805</v>
      </c>
      <c r="I29" s="2"/>
      <c r="J29" s="6">
        <f t="shared" si="5"/>
        <v>1.5678035749061073E-2</v>
      </c>
      <c r="K29" s="2"/>
      <c r="L29" s="7">
        <f t="shared" si="6"/>
        <v>207.37346730769195</v>
      </c>
      <c r="M29" s="2"/>
      <c r="N29" s="6">
        <f t="shared" si="7"/>
        <v>0.31891514507439839</v>
      </c>
      <c r="O29" s="11"/>
      <c r="P29" s="7">
        <v>2613.9</v>
      </c>
      <c r="Q29" s="2"/>
      <c r="R29" s="6">
        <f t="shared" si="8"/>
        <v>8.3872127013056193E-3</v>
      </c>
      <c r="S29" s="2"/>
      <c r="T29" s="7">
        <v>4017.7315026923102</v>
      </c>
      <c r="U29" s="2"/>
      <c r="V29" s="6">
        <f t="shared" si="9"/>
        <v>9.8598025519706454E-3</v>
      </c>
      <c r="W29" s="2"/>
      <c r="X29" s="7">
        <f t="shared" si="10"/>
        <v>-1403.8315026923101</v>
      </c>
      <c r="Y29" s="2"/>
      <c r="Z29" s="6">
        <f t="shared" si="11"/>
        <v>-0.3494089890654945</v>
      </c>
    </row>
    <row r="30" spans="1:26" s="24" customFormat="1" hidden="1" outlineLevel="2" x14ac:dyDescent="0.3">
      <c r="A30" s="27"/>
      <c r="B30" s="11" t="str">
        <f>CONCATENATE("          ", "6156", " - ", "EMPLOYEE MEALS")</f>
        <v xml:space="preserve">          6156 - EMPLOYEE MEALS</v>
      </c>
      <c r="C30" s="11"/>
      <c r="D30" s="7">
        <v>73.75</v>
      </c>
      <c r="E30" s="2"/>
      <c r="F30" s="6">
        <f t="shared" si="4"/>
        <v>3.3363492422528842E-3</v>
      </c>
      <c r="G30" s="2"/>
      <c r="H30" s="7"/>
      <c r="I30" s="2"/>
      <c r="J30" s="6">
        <f t="shared" si="5"/>
        <v>0</v>
      </c>
      <c r="K30" s="2"/>
      <c r="L30" s="7">
        <f t="shared" si="6"/>
        <v>73.75</v>
      </c>
      <c r="M30" s="2"/>
      <c r="N30" s="6">
        <f t="shared" si="7"/>
        <v>0</v>
      </c>
      <c r="O30" s="11"/>
      <c r="P30" s="7">
        <v>428.75</v>
      </c>
      <c r="Q30" s="2"/>
      <c r="R30" s="6">
        <f t="shared" si="8"/>
        <v>1.3757287752724986E-3</v>
      </c>
      <c r="S30" s="2"/>
      <c r="T30" s="7"/>
      <c r="U30" s="2"/>
      <c r="V30" s="6">
        <f t="shared" si="9"/>
        <v>0</v>
      </c>
      <c r="W30" s="2"/>
      <c r="X30" s="7">
        <f t="shared" si="10"/>
        <v>428.75</v>
      </c>
      <c r="Y30" s="2"/>
      <c r="Z30" s="6">
        <f t="shared" si="11"/>
        <v>0</v>
      </c>
    </row>
    <row r="31" spans="1:26" s="28" customFormat="1" outlineLevel="1" collapsed="1" x14ac:dyDescent="0.3">
      <c r="A31" s="29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14348.74</v>
      </c>
      <c r="E31" s="1"/>
      <c r="F31" s="5">
        <f t="shared" ref="F31:F41" si="12">IF(D$12=0,0,D31/D$12)</f>
        <v>0.6491173942546935</v>
      </c>
      <c r="G31" s="1"/>
      <c r="H31" s="1">
        <f>SUM(OSRRefH22_1x_0)</f>
        <v>24050.797802884619</v>
      </c>
      <c r="I31" s="1"/>
      <c r="J31" s="5">
        <f t="shared" ref="J31:J41" si="13">IF(H$12=0,0,H31/H$12)</f>
        <v>0.57988662574767014</v>
      </c>
      <c r="K31" s="1"/>
      <c r="L31" s="1">
        <f t="shared" ref="L31:L41" si="14">+D31-H31</f>
        <v>-9702.0578028846194</v>
      </c>
      <c r="M31" s="1"/>
      <c r="N31" s="5">
        <f t="shared" ref="N31:N41" si="15">IF(H31=0,0,L31/H31)</f>
        <v>-0.40339858504489895</v>
      </c>
      <c r="O31" s="14"/>
      <c r="P31" s="1">
        <f>SUM(OSRRefP22_1x_0)</f>
        <v>103311.95</v>
      </c>
      <c r="Q31" s="1"/>
      <c r="R31" s="5">
        <f t="shared" ref="R31:R41" si="16">IF(P$12=0,0,P31/P$12)</f>
        <v>0.33149672873355945</v>
      </c>
      <c r="S31" s="1"/>
      <c r="T31" s="1">
        <f>SUM(OSRRefT22_1x_0)</f>
        <v>148655.0463778846</v>
      </c>
      <c r="U31" s="1"/>
      <c r="V31" s="5">
        <f t="shared" ref="V31:V41" si="17">IF(T$12=0,0,T31/T$12)</f>
        <v>0.36481019317935981</v>
      </c>
      <c r="W31" s="1"/>
      <c r="X31" s="1">
        <f t="shared" ref="X31:X41" si="18">+P31-T31</f>
        <v>-45343.096377884605</v>
      </c>
      <c r="Y31" s="1"/>
      <c r="Z31" s="5">
        <f t="shared" ref="Z31:Z41" si="19">IF(T31=0,0,X31/T31)</f>
        <v>-0.30502224769834851</v>
      </c>
    </row>
    <row r="32" spans="1:26" s="24" customFormat="1" hidden="1" outlineLevel="2" x14ac:dyDescent="0.3">
      <c r="A32" s="27"/>
      <c r="B32" s="11" t="str">
        <f>CONCATENATE("          ", "6001", " - ", "ADMINISTRATIVE SALARIES")</f>
        <v xml:space="preserve">          6001 - ADMINISTRATIVE SALARIES</v>
      </c>
      <c r="C32" s="11"/>
      <c r="D32" s="7">
        <v>5356.44</v>
      </c>
      <c r="E32" s="2"/>
      <c r="F32" s="6">
        <f t="shared" si="12"/>
        <v>0.24231802759556659</v>
      </c>
      <c r="G32" s="2"/>
      <c r="H32" s="7">
        <v>5174.7596153846198</v>
      </c>
      <c r="I32" s="2"/>
      <c r="J32" s="6">
        <f t="shared" si="13"/>
        <v>0.12476816432512645</v>
      </c>
      <c r="K32" s="2"/>
      <c r="L32" s="7">
        <f t="shared" si="14"/>
        <v>181.68038461537981</v>
      </c>
      <c r="M32" s="2"/>
      <c r="N32" s="6">
        <f t="shared" si="15"/>
        <v>3.5108951549216304E-2</v>
      </c>
      <c r="O32" s="11"/>
      <c r="P32" s="7">
        <v>33691.230000000003</v>
      </c>
      <c r="Q32" s="2"/>
      <c r="R32" s="6">
        <f t="shared" si="16"/>
        <v>0.10810494363923981</v>
      </c>
      <c r="S32" s="2"/>
      <c r="T32" s="7">
        <v>32083.509615384599</v>
      </c>
      <c r="U32" s="2"/>
      <c r="V32" s="6">
        <f t="shared" si="17"/>
        <v>7.8735243947975139E-2</v>
      </c>
      <c r="W32" s="2"/>
      <c r="X32" s="7">
        <f t="shared" si="18"/>
        <v>1607.7203846154043</v>
      </c>
      <c r="Y32" s="2"/>
      <c r="Z32" s="6">
        <f t="shared" si="19"/>
        <v>5.0110489902403771E-2</v>
      </c>
    </row>
    <row r="33" spans="1:26" s="24" customFormat="1" hidden="1" outlineLevel="2" x14ac:dyDescent="0.3">
      <c r="A33" s="27"/>
      <c r="B33" s="11" t="str">
        <f>CONCATENATE("          ", "6002", " - ", "STAFF SALARIES")</f>
        <v xml:space="preserve">          6002 - STAFF SALARIES</v>
      </c>
      <c r="C33" s="11"/>
      <c r="D33" s="7">
        <v>1700</v>
      </c>
      <c r="E33" s="2"/>
      <c r="F33" s="6">
        <f t="shared" si="12"/>
        <v>7.6905677448541057E-2</v>
      </c>
      <c r="G33" s="2"/>
      <c r="H33" s="7">
        <v>2791.5381874999998</v>
      </c>
      <c r="I33" s="2"/>
      <c r="J33" s="6">
        <f t="shared" si="13"/>
        <v>6.7306526522001198E-2</v>
      </c>
      <c r="K33" s="2"/>
      <c r="L33" s="7">
        <f t="shared" si="14"/>
        <v>-1091.5381874999998</v>
      </c>
      <c r="M33" s="2"/>
      <c r="N33" s="6">
        <f t="shared" si="15"/>
        <v>-0.39101674925591534</v>
      </c>
      <c r="O33" s="11"/>
      <c r="P33" s="7">
        <v>13252.57</v>
      </c>
      <c r="Q33" s="2"/>
      <c r="R33" s="6">
        <f t="shared" si="16"/>
        <v>4.2523479639214122E-2</v>
      </c>
      <c r="S33" s="2"/>
      <c r="T33" s="7">
        <v>17307.5367625</v>
      </c>
      <c r="U33" s="2"/>
      <c r="V33" s="6">
        <f t="shared" si="17"/>
        <v>4.2473942080218707E-2</v>
      </c>
      <c r="W33" s="2"/>
      <c r="X33" s="7">
        <f t="shared" si="18"/>
        <v>-4054.9667625000002</v>
      </c>
      <c r="Y33" s="2"/>
      <c r="Z33" s="6">
        <f t="shared" si="19"/>
        <v>-0.23428907406892474</v>
      </c>
    </row>
    <row r="34" spans="1:26" s="24" customFormat="1" hidden="1" outlineLevel="2" x14ac:dyDescent="0.3">
      <c r="A34" s="27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3">
      <c r="A35" s="27"/>
      <c r="B35" s="11" t="str">
        <f>CONCATENATE("          ", "6004", " - ", "STAFF HOURLY")</f>
        <v xml:space="preserve">          6004 - STAFF HOURLY</v>
      </c>
      <c r="C35" s="11"/>
      <c r="D35" s="7">
        <v>858.52</v>
      </c>
      <c r="E35" s="2"/>
      <c r="F35" s="6">
        <f t="shared" si="12"/>
        <v>3.8838271884189098E-2</v>
      </c>
      <c r="G35" s="2"/>
      <c r="H35" s="7">
        <v>2088</v>
      </c>
      <c r="I35" s="2"/>
      <c r="J35" s="6">
        <f t="shared" si="13"/>
        <v>5.0343580470162748E-2</v>
      </c>
      <c r="K35" s="2"/>
      <c r="L35" s="7">
        <f t="shared" si="14"/>
        <v>-1229.48</v>
      </c>
      <c r="M35" s="2"/>
      <c r="N35" s="6">
        <f t="shared" si="15"/>
        <v>-0.58883141762452107</v>
      </c>
      <c r="O35" s="11"/>
      <c r="P35" s="7">
        <v>9010.9</v>
      </c>
      <c r="Q35" s="2"/>
      <c r="R35" s="6">
        <f t="shared" si="16"/>
        <v>2.8913246463213894E-2</v>
      </c>
      <c r="S35" s="2"/>
      <c r="T35" s="7">
        <v>15660</v>
      </c>
      <c r="U35" s="2"/>
      <c r="V35" s="6">
        <f t="shared" si="17"/>
        <v>3.8430768173630503E-2</v>
      </c>
      <c r="W35" s="2"/>
      <c r="X35" s="7">
        <f t="shared" si="18"/>
        <v>-6649.1</v>
      </c>
      <c r="Y35" s="2"/>
      <c r="Z35" s="6">
        <f t="shared" si="19"/>
        <v>-0.42459131545338447</v>
      </c>
    </row>
    <row r="36" spans="1:26" s="24" customFormat="1" hidden="1" outlineLevel="2" x14ac:dyDescent="0.3">
      <c r="A36" s="27"/>
      <c r="B36" s="11" t="str">
        <f>CONCATENATE("          ", "6005", " - ", "TEMPORARY WAGES-HOURLY")</f>
        <v xml:space="preserve">          6005 - TEMPORARY WAGES-HOURLY</v>
      </c>
      <c r="C36" s="11"/>
      <c r="D36" s="7">
        <v>3237.63</v>
      </c>
      <c r="E36" s="2"/>
      <c r="F36" s="6">
        <f t="shared" si="12"/>
        <v>0.14646595792807057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3237.63</v>
      </c>
      <c r="M36" s="2"/>
      <c r="N36" s="6">
        <f t="shared" si="15"/>
        <v>0</v>
      </c>
      <c r="O36" s="11"/>
      <c r="P36" s="7">
        <v>40265.300000000003</v>
      </c>
      <c r="Q36" s="2"/>
      <c r="R36" s="6">
        <f t="shared" si="16"/>
        <v>0.12919914135272242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40265.300000000003</v>
      </c>
      <c r="Y36" s="2"/>
      <c r="Z36" s="6">
        <f t="shared" si="19"/>
        <v>0</v>
      </c>
    </row>
    <row r="37" spans="1:26" s="24" customFormat="1" hidden="1" outlineLevel="2" x14ac:dyDescent="0.3">
      <c r="A37" s="27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12"/>
        <v>0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0</v>
      </c>
      <c r="M37" s="2"/>
      <c r="N37" s="6">
        <f t="shared" si="15"/>
        <v>0</v>
      </c>
      <c r="O37" s="11"/>
      <c r="P37" s="7"/>
      <c r="Q37" s="2"/>
      <c r="R37" s="6">
        <f t="shared" si="16"/>
        <v>0</v>
      </c>
      <c r="S37" s="2"/>
      <c r="T37" s="7">
        <v>0</v>
      </c>
      <c r="U37" s="2"/>
      <c r="V37" s="6">
        <f t="shared" si="17"/>
        <v>0</v>
      </c>
      <c r="W37" s="2"/>
      <c r="X37" s="7">
        <f t="shared" si="18"/>
        <v>0</v>
      </c>
      <c r="Y37" s="2"/>
      <c r="Z37" s="6">
        <f t="shared" si="19"/>
        <v>0</v>
      </c>
    </row>
    <row r="38" spans="1:26" s="24" customFormat="1" hidden="1" outlineLevel="2" x14ac:dyDescent="0.3">
      <c r="A38" s="27"/>
      <c r="B38" s="11" t="str">
        <f>CONCATENATE("          ", "6007", " - ", "STUDENT HOURLY")</f>
        <v xml:space="preserve">          6007 - STUDENT HOURLY</v>
      </c>
      <c r="C38" s="11"/>
      <c r="D38" s="7">
        <v>3196.15</v>
      </c>
      <c r="E38" s="2"/>
      <c r="F38" s="6">
        <f t="shared" si="12"/>
        <v>0.14458945939832618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3196.15</v>
      </c>
      <c r="M38" s="2"/>
      <c r="N38" s="6">
        <f t="shared" si="15"/>
        <v>0</v>
      </c>
      <c r="O38" s="11"/>
      <c r="P38" s="7">
        <v>6927.73</v>
      </c>
      <c r="Q38" s="2"/>
      <c r="R38" s="6">
        <f t="shared" si="16"/>
        <v>2.2228985442142381E-2</v>
      </c>
      <c r="S38" s="2"/>
      <c r="T38" s="7">
        <v>25987.5</v>
      </c>
      <c r="U38" s="2"/>
      <c r="V38" s="6">
        <f t="shared" si="17"/>
        <v>6.3775197184688548E-2</v>
      </c>
      <c r="W38" s="2"/>
      <c r="X38" s="7">
        <f t="shared" si="18"/>
        <v>-19059.77</v>
      </c>
      <c r="Y38" s="2"/>
      <c r="Z38" s="6">
        <f t="shared" si="19"/>
        <v>-0.73342068302068308</v>
      </c>
    </row>
    <row r="39" spans="1:26" s="24" customFormat="1" hidden="1" outlineLevel="2" x14ac:dyDescent="0.3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7"/>
      <c r="E39" s="2"/>
      <c r="F39" s="6">
        <f t="shared" si="12"/>
        <v>0</v>
      </c>
      <c r="G39" s="2"/>
      <c r="H39" s="7">
        <v>13996.5</v>
      </c>
      <c r="I39" s="2"/>
      <c r="J39" s="6">
        <f t="shared" si="13"/>
        <v>0.33746835443037976</v>
      </c>
      <c r="K39" s="2"/>
      <c r="L39" s="7">
        <f t="shared" si="14"/>
        <v>-13996.5</v>
      </c>
      <c r="M39" s="2"/>
      <c r="N39" s="6">
        <f t="shared" si="15"/>
        <v>-1</v>
      </c>
      <c r="O39" s="11"/>
      <c r="P39" s="7">
        <v>164.22</v>
      </c>
      <c r="Q39" s="2"/>
      <c r="R39" s="6">
        <f t="shared" si="16"/>
        <v>5.2693219702682154E-4</v>
      </c>
      <c r="S39" s="2"/>
      <c r="T39" s="7">
        <v>57616.5</v>
      </c>
      <c r="U39" s="2"/>
      <c r="V39" s="6">
        <f t="shared" si="17"/>
        <v>0.14139504179284687</v>
      </c>
      <c r="W39" s="2"/>
      <c r="X39" s="7">
        <f t="shared" si="18"/>
        <v>-57452.28</v>
      </c>
      <c r="Y39" s="2"/>
      <c r="Z39" s="6">
        <f t="shared" si="19"/>
        <v>-0.9971497748040925</v>
      </c>
    </row>
    <row r="40" spans="1:26" s="24" customFormat="1" hidden="1" outlineLevel="2" x14ac:dyDescent="0.3">
      <c r="A40" s="27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3">
      <c r="A41" s="27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12"/>
        <v>0</v>
      </c>
      <c r="G41" s="2"/>
      <c r="H41" s="7">
        <v>0</v>
      </c>
      <c r="I41" s="2"/>
      <c r="J41" s="6">
        <f t="shared" si="13"/>
        <v>0</v>
      </c>
      <c r="K41" s="2"/>
      <c r="L41" s="7">
        <f t="shared" si="14"/>
        <v>0</v>
      </c>
      <c r="M41" s="2"/>
      <c r="N41" s="6">
        <f t="shared" si="15"/>
        <v>0</v>
      </c>
      <c r="O41" s="11"/>
      <c r="P41" s="7"/>
      <c r="Q41" s="2"/>
      <c r="R41" s="6">
        <f t="shared" si="16"/>
        <v>0</v>
      </c>
      <c r="S41" s="2"/>
      <c r="T41" s="7">
        <v>0</v>
      </c>
      <c r="U41" s="2"/>
      <c r="V41" s="6">
        <f t="shared" si="17"/>
        <v>0</v>
      </c>
      <c r="W41" s="2"/>
      <c r="X41" s="7">
        <f t="shared" si="18"/>
        <v>0</v>
      </c>
      <c r="Y41" s="2"/>
      <c r="Z41" s="6">
        <f t="shared" si="19"/>
        <v>0</v>
      </c>
    </row>
    <row r="42" spans="1:26" s="28" customFormat="1" outlineLevel="1" collapsed="1" x14ac:dyDescent="0.3">
      <c r="A42" s="29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50" si="20">IF(D$12=0,0,D42/D$12)</f>
        <v>0</v>
      </c>
      <c r="G42" s="1"/>
      <c r="H42" s="1">
        <f>SUM(OSRRefH22_2x_0)</f>
        <v>100</v>
      </c>
      <c r="I42" s="1"/>
      <c r="J42" s="5">
        <f t="shared" ref="J42:J50" si="21">IF(H$12=0,0,H42/H$12)</f>
        <v>2.4110910186859553E-3</v>
      </c>
      <c r="K42" s="1"/>
      <c r="L42" s="1">
        <f t="shared" ref="L42:L50" si="22">+D42-H42</f>
        <v>-100</v>
      </c>
      <c r="M42" s="1"/>
      <c r="N42" s="5">
        <f t="shared" ref="N42:N50" si="23">IF(H42=0,0,L42/H42)</f>
        <v>-1</v>
      </c>
      <c r="O42" s="14"/>
      <c r="P42" s="1">
        <f>SUM(OSRRefP22_2x_0)</f>
        <v>112.46</v>
      </c>
      <c r="Q42" s="1"/>
      <c r="R42" s="5">
        <f t="shared" ref="R42:R50" si="24">IF(P$12=0,0,P42/P$12)</f>
        <v>3.6085004797001789E-4</v>
      </c>
      <c r="S42" s="1"/>
      <c r="T42" s="1">
        <f>SUM(OSRRefT22_2x_0)</f>
        <v>700</v>
      </c>
      <c r="U42" s="1"/>
      <c r="V42" s="5">
        <f t="shared" ref="V42:V50" si="25">IF(T$12=0,0,T42/T$12)</f>
        <v>1.7178504292172001E-3</v>
      </c>
      <c r="W42" s="1"/>
      <c r="X42" s="1">
        <f t="shared" ref="X42:X50" si="26">+P42-T42</f>
        <v>-587.54</v>
      </c>
      <c r="Y42" s="1"/>
      <c r="Z42" s="5">
        <f t="shared" ref="Z42:Z50" si="27">IF(T42=0,0,X42/T42)</f>
        <v>-0.83934285714285706</v>
      </c>
    </row>
    <row r="43" spans="1:26" s="24" customFormat="1" hidden="1" outlineLevel="2" x14ac:dyDescent="0.3">
      <c r="A43" s="27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20"/>
        <v>0</v>
      </c>
      <c r="G43" s="2"/>
      <c r="H43" s="7">
        <v>100</v>
      </c>
      <c r="I43" s="2"/>
      <c r="J43" s="6">
        <f t="shared" si="21"/>
        <v>2.4110910186859553E-3</v>
      </c>
      <c r="K43" s="2"/>
      <c r="L43" s="7">
        <f t="shared" si="22"/>
        <v>-100</v>
      </c>
      <c r="M43" s="2"/>
      <c r="N43" s="6">
        <f t="shared" si="23"/>
        <v>-1</v>
      </c>
      <c r="O43" s="11"/>
      <c r="P43" s="7">
        <v>112.46</v>
      </c>
      <c r="Q43" s="2"/>
      <c r="R43" s="6">
        <f t="shared" si="24"/>
        <v>3.6085004797001789E-4</v>
      </c>
      <c r="S43" s="2"/>
      <c r="T43" s="7">
        <v>700</v>
      </c>
      <c r="U43" s="2"/>
      <c r="V43" s="6">
        <f t="shared" si="25"/>
        <v>1.7178504292172001E-3</v>
      </c>
      <c r="W43" s="2"/>
      <c r="X43" s="7">
        <f t="shared" si="26"/>
        <v>-587.54</v>
      </c>
      <c r="Y43" s="2"/>
      <c r="Z43" s="6">
        <f t="shared" si="27"/>
        <v>-0.83934285714285706</v>
      </c>
    </row>
    <row r="44" spans="1:26" s="28" customFormat="1" outlineLevel="1" collapsed="1" x14ac:dyDescent="0.3">
      <c r="A44" s="29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89.97</v>
      </c>
      <c r="E44" s="1"/>
      <c r="F44" s="5">
        <f t="shared" si="20"/>
        <v>4.0701198823795519E-3</v>
      </c>
      <c r="G44" s="1"/>
      <c r="H44" s="1">
        <f>SUM(OSRRefH22_3x_0)</f>
        <v>1250</v>
      </c>
      <c r="I44" s="1"/>
      <c r="J44" s="5">
        <f t="shared" si="21"/>
        <v>3.0138637733574444E-2</v>
      </c>
      <c r="K44" s="1"/>
      <c r="L44" s="1">
        <f t="shared" si="22"/>
        <v>-1160.03</v>
      </c>
      <c r="M44" s="1"/>
      <c r="N44" s="5">
        <f t="shared" si="23"/>
        <v>-0.92802399999999996</v>
      </c>
      <c r="O44" s="14"/>
      <c r="P44" s="1">
        <f>SUM(OSRRefP22_3x_0)</f>
        <v>1900.47</v>
      </c>
      <c r="Q44" s="1"/>
      <c r="R44" s="5">
        <f t="shared" si="24"/>
        <v>6.0980321062207004E-3</v>
      </c>
      <c r="S44" s="1"/>
      <c r="T44" s="1">
        <f>SUM(OSRRefT22_3x_0)</f>
        <v>8750</v>
      </c>
      <c r="U44" s="1"/>
      <c r="V44" s="5">
        <f t="shared" si="25"/>
        <v>2.1473130365215001E-2</v>
      </c>
      <c r="W44" s="1"/>
      <c r="X44" s="1">
        <f t="shared" si="26"/>
        <v>-6849.53</v>
      </c>
      <c r="Y44" s="1"/>
      <c r="Z44" s="5">
        <f t="shared" si="27"/>
        <v>-0.78280342857142859</v>
      </c>
    </row>
    <row r="45" spans="1:26" s="24" customFormat="1" hidden="1" outlineLevel="2" x14ac:dyDescent="0.3">
      <c r="A45" s="27"/>
      <c r="B45" s="11" t="str">
        <f>CONCATENATE("          ", "6381", " - ", "BANK/CREDIT CARD FEES")</f>
        <v xml:space="preserve">          6381 - BANK/CREDIT CARD FEES</v>
      </c>
      <c r="C45" s="11"/>
      <c r="D45" s="7">
        <v>89.97</v>
      </c>
      <c r="E45" s="2"/>
      <c r="F45" s="6">
        <f t="shared" si="20"/>
        <v>4.0701198823795519E-3</v>
      </c>
      <c r="G45" s="2"/>
      <c r="H45" s="7">
        <v>1250</v>
      </c>
      <c r="I45" s="2"/>
      <c r="J45" s="6">
        <f t="shared" si="21"/>
        <v>3.0138637733574444E-2</v>
      </c>
      <c r="K45" s="2"/>
      <c r="L45" s="7">
        <f t="shared" si="22"/>
        <v>-1160.03</v>
      </c>
      <c r="M45" s="2"/>
      <c r="N45" s="6">
        <f t="shared" si="23"/>
        <v>-0.92802399999999996</v>
      </c>
      <c r="O45" s="11"/>
      <c r="P45" s="7">
        <v>1900.47</v>
      </c>
      <c r="Q45" s="2"/>
      <c r="R45" s="6">
        <f t="shared" si="24"/>
        <v>6.0980321062207004E-3</v>
      </c>
      <c r="S45" s="2"/>
      <c r="T45" s="7">
        <v>8750</v>
      </c>
      <c r="U45" s="2"/>
      <c r="V45" s="6">
        <f t="shared" si="25"/>
        <v>2.1473130365215001E-2</v>
      </c>
      <c r="W45" s="2"/>
      <c r="X45" s="7">
        <f t="shared" si="26"/>
        <v>-6849.53</v>
      </c>
      <c r="Y45" s="2"/>
      <c r="Z45" s="6">
        <f t="shared" si="27"/>
        <v>-0.78280342857142859</v>
      </c>
    </row>
    <row r="46" spans="1:26" s="28" customFormat="1" outlineLevel="1" collapsed="1" x14ac:dyDescent="0.3">
      <c r="A46" s="29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SUM(OSRRefD22_4x_0)</f>
        <v>0</v>
      </c>
      <c r="E46" s="1"/>
      <c r="F46" s="5">
        <f t="shared" si="20"/>
        <v>0</v>
      </c>
      <c r="G46" s="1"/>
      <c r="H46" s="1">
        <f>SUM(OSRRefH22_4x_0)</f>
        <v>20</v>
      </c>
      <c r="I46" s="1"/>
      <c r="J46" s="5">
        <f t="shared" si="21"/>
        <v>4.822182037371911E-4</v>
      </c>
      <c r="K46" s="1"/>
      <c r="L46" s="1">
        <f t="shared" si="22"/>
        <v>-20</v>
      </c>
      <c r="M46" s="1"/>
      <c r="N46" s="5">
        <f t="shared" si="23"/>
        <v>-1</v>
      </c>
      <c r="O46" s="14"/>
      <c r="P46" s="1">
        <f>SUM(OSRRefP22_4x_0)</f>
        <v>0</v>
      </c>
      <c r="Q46" s="1"/>
      <c r="R46" s="5">
        <f t="shared" si="24"/>
        <v>0</v>
      </c>
      <c r="S46" s="1"/>
      <c r="T46" s="1">
        <f>SUM(OSRRefT22_4x_0)</f>
        <v>140</v>
      </c>
      <c r="U46" s="1"/>
      <c r="V46" s="5">
        <f t="shared" si="25"/>
        <v>3.4357008584344001E-4</v>
      </c>
      <c r="W46" s="1"/>
      <c r="X46" s="1">
        <f t="shared" si="26"/>
        <v>-140</v>
      </c>
      <c r="Y46" s="1"/>
      <c r="Z46" s="5">
        <f t="shared" si="27"/>
        <v>-1</v>
      </c>
    </row>
    <row r="47" spans="1:26" s="24" customFormat="1" hidden="1" outlineLevel="2" x14ac:dyDescent="0.3">
      <c r="A47" s="27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20"/>
        <v>0</v>
      </c>
      <c r="G47" s="2"/>
      <c r="H47" s="7">
        <v>20</v>
      </c>
      <c r="I47" s="2"/>
      <c r="J47" s="6">
        <f t="shared" si="21"/>
        <v>4.822182037371911E-4</v>
      </c>
      <c r="K47" s="2"/>
      <c r="L47" s="7">
        <f t="shared" si="22"/>
        <v>-20</v>
      </c>
      <c r="M47" s="2"/>
      <c r="N47" s="6">
        <f t="shared" si="23"/>
        <v>-1</v>
      </c>
      <c r="O47" s="11"/>
      <c r="P47" s="7"/>
      <c r="Q47" s="2"/>
      <c r="R47" s="6">
        <f t="shared" si="24"/>
        <v>0</v>
      </c>
      <c r="S47" s="2"/>
      <c r="T47" s="7">
        <v>140</v>
      </c>
      <c r="U47" s="2"/>
      <c r="V47" s="6">
        <f t="shared" si="25"/>
        <v>3.4357008584344001E-4</v>
      </c>
      <c r="W47" s="2"/>
      <c r="X47" s="7">
        <f t="shared" si="26"/>
        <v>-140</v>
      </c>
      <c r="Y47" s="2"/>
      <c r="Z47" s="6">
        <f t="shared" si="27"/>
        <v>-1</v>
      </c>
    </row>
    <row r="48" spans="1:26" s="28" customFormat="1" outlineLevel="1" collapsed="1" x14ac:dyDescent="0.3">
      <c r="A48" s="29"/>
      <c r="B48" s="14" t="str">
        <f>CONCATENATE("     ","Freight out/Postage                               ")</f>
        <v xml:space="preserve">     Freight out/Postage                               </v>
      </c>
      <c r="C48" s="14"/>
      <c r="D48" s="1">
        <f>SUM(OSRRefD22_5x_0)</f>
        <v>0</v>
      </c>
      <c r="E48" s="1"/>
      <c r="F48" s="5">
        <f t="shared" si="20"/>
        <v>0</v>
      </c>
      <c r="G48" s="1"/>
      <c r="H48" s="1">
        <f>SUM(OSRRefH22_5x_0)</f>
        <v>10</v>
      </c>
      <c r="I48" s="1"/>
      <c r="J48" s="5">
        <f t="shared" si="21"/>
        <v>2.4110910186859555E-4</v>
      </c>
      <c r="K48" s="1"/>
      <c r="L48" s="1">
        <f t="shared" si="22"/>
        <v>-10</v>
      </c>
      <c r="M48" s="1"/>
      <c r="N48" s="5">
        <f t="shared" si="23"/>
        <v>-1</v>
      </c>
      <c r="O48" s="14"/>
      <c r="P48" s="1">
        <f>SUM(OSRRefP22_5x_0)</f>
        <v>0.62</v>
      </c>
      <c r="Q48" s="1"/>
      <c r="R48" s="5">
        <f t="shared" si="24"/>
        <v>1.9893920482074616E-6</v>
      </c>
      <c r="S48" s="1"/>
      <c r="T48" s="1">
        <f>SUM(OSRRefT22_5x_0)</f>
        <v>70</v>
      </c>
      <c r="U48" s="1"/>
      <c r="V48" s="5">
        <f t="shared" si="25"/>
        <v>1.7178504292172001E-4</v>
      </c>
      <c r="W48" s="1"/>
      <c r="X48" s="1">
        <f t="shared" si="26"/>
        <v>-69.38</v>
      </c>
      <c r="Y48" s="1"/>
      <c r="Z48" s="5">
        <f t="shared" si="27"/>
        <v>-0.9911428571428571</v>
      </c>
    </row>
    <row r="49" spans="1:26" s="24" customFormat="1" hidden="1" outlineLevel="2" x14ac:dyDescent="0.3">
      <c r="A49" s="27"/>
      <c r="B49" s="11" t="str">
        <f>CONCATENATE("          ", "6305", " - ", "FREIGHT OUT")</f>
        <v xml:space="preserve">          6305 - FREIGHT OUT</v>
      </c>
      <c r="C49" s="11"/>
      <c r="D49" s="7"/>
      <c r="E49" s="2"/>
      <c r="F49" s="6">
        <f t="shared" si="20"/>
        <v>0</v>
      </c>
      <c r="G49" s="2"/>
      <c r="H49" s="7"/>
      <c r="I49" s="2"/>
      <c r="J49" s="6">
        <f t="shared" si="21"/>
        <v>0</v>
      </c>
      <c r="K49" s="2"/>
      <c r="L49" s="7">
        <f t="shared" si="22"/>
        <v>0</v>
      </c>
      <c r="M49" s="2"/>
      <c r="N49" s="6">
        <f t="shared" si="23"/>
        <v>0</v>
      </c>
      <c r="O49" s="11"/>
      <c r="P49" s="7">
        <v>0.62</v>
      </c>
      <c r="Q49" s="2"/>
      <c r="R49" s="6">
        <f t="shared" si="24"/>
        <v>1.9893920482074616E-6</v>
      </c>
      <c r="S49" s="2"/>
      <c r="T49" s="7"/>
      <c r="U49" s="2"/>
      <c r="V49" s="6">
        <f t="shared" si="25"/>
        <v>0</v>
      </c>
      <c r="W49" s="2"/>
      <c r="X49" s="7">
        <f t="shared" si="26"/>
        <v>0.62</v>
      </c>
      <c r="Y49" s="2"/>
      <c r="Z49" s="6">
        <f t="shared" si="27"/>
        <v>0</v>
      </c>
    </row>
    <row r="50" spans="1:26" s="24" customFormat="1" hidden="1" outlineLevel="2" x14ac:dyDescent="0.3">
      <c r="A50" s="27"/>
      <c r="B50" s="11" t="str">
        <f>CONCATENATE("          ", "6307", " - ", "POSTAGE")</f>
        <v xml:space="preserve">          6307 - POSTAGE</v>
      </c>
      <c r="C50" s="11"/>
      <c r="D50" s="7"/>
      <c r="E50" s="2"/>
      <c r="F50" s="6">
        <f t="shared" si="20"/>
        <v>0</v>
      </c>
      <c r="G50" s="2"/>
      <c r="H50" s="7">
        <v>10</v>
      </c>
      <c r="I50" s="2"/>
      <c r="J50" s="6">
        <f t="shared" si="21"/>
        <v>2.4110910186859555E-4</v>
      </c>
      <c r="K50" s="2"/>
      <c r="L50" s="7">
        <f t="shared" si="22"/>
        <v>-10</v>
      </c>
      <c r="M50" s="2"/>
      <c r="N50" s="6">
        <f t="shared" si="23"/>
        <v>-1</v>
      </c>
      <c r="O50" s="11"/>
      <c r="P50" s="7"/>
      <c r="Q50" s="2"/>
      <c r="R50" s="6">
        <f t="shared" si="24"/>
        <v>0</v>
      </c>
      <c r="S50" s="2"/>
      <c r="T50" s="7">
        <v>70</v>
      </c>
      <c r="U50" s="2"/>
      <c r="V50" s="6">
        <f t="shared" si="25"/>
        <v>1.7178504292172001E-4</v>
      </c>
      <c r="W50" s="2"/>
      <c r="X50" s="7">
        <f t="shared" si="26"/>
        <v>-70</v>
      </c>
      <c r="Y50" s="2"/>
      <c r="Z50" s="6">
        <f t="shared" si="27"/>
        <v>-1</v>
      </c>
    </row>
    <row r="51" spans="1:26" s="28" customFormat="1" outlineLevel="1" collapsed="1" x14ac:dyDescent="0.3">
      <c r="A51" s="29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SUM(OSRRefD22_6x_0)</f>
        <v>0</v>
      </c>
      <c r="E51" s="1"/>
      <c r="F51" s="5">
        <f t="shared" ref="F51:F60" si="28">IF(D$12=0,0,D51/D$12)</f>
        <v>0</v>
      </c>
      <c r="G51" s="1"/>
      <c r="H51" s="1">
        <f>SUM(OSRRefH22_6x_0)</f>
        <v>50</v>
      </c>
      <c r="I51" s="1"/>
      <c r="J51" s="5">
        <f t="shared" ref="J51:J60" si="29">IF(H$12=0,0,H51/H$12)</f>
        <v>1.2055455093429777E-3</v>
      </c>
      <c r="K51" s="1"/>
      <c r="L51" s="1">
        <f t="shared" ref="L51:L60" si="30">+D51-H51</f>
        <v>-50</v>
      </c>
      <c r="M51" s="1"/>
      <c r="N51" s="5">
        <f t="shared" ref="N51:N60" si="31">IF(H51=0,0,L51/H51)</f>
        <v>-1</v>
      </c>
      <c r="O51" s="14"/>
      <c r="P51" s="1">
        <f>SUM(OSRRefP22_6x_0)</f>
        <v>0</v>
      </c>
      <c r="Q51" s="1"/>
      <c r="R51" s="5">
        <f t="shared" ref="R51:R60" si="32">IF(P$12=0,0,P51/P$12)</f>
        <v>0</v>
      </c>
      <c r="S51" s="1"/>
      <c r="T51" s="1">
        <f>SUM(OSRRefT22_6x_0)</f>
        <v>350</v>
      </c>
      <c r="U51" s="1"/>
      <c r="V51" s="5">
        <f t="shared" ref="V51:V60" si="33">IF(T$12=0,0,T51/T$12)</f>
        <v>8.5892521460860006E-4</v>
      </c>
      <c r="W51" s="1"/>
      <c r="X51" s="1">
        <f t="shared" ref="X51:X60" si="34">+P51-T51</f>
        <v>-350</v>
      </c>
      <c r="Y51" s="1"/>
      <c r="Z51" s="5">
        <f t="shared" ref="Z51:Z60" si="35">IF(T51=0,0,X51/T51)</f>
        <v>-1</v>
      </c>
    </row>
    <row r="52" spans="1:26" s="24" customFormat="1" hidden="1" outlineLevel="2" x14ac:dyDescent="0.3">
      <c r="A52" s="27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28"/>
        <v>0</v>
      </c>
      <c r="G52" s="2"/>
      <c r="H52" s="7">
        <v>50</v>
      </c>
      <c r="I52" s="2"/>
      <c r="J52" s="6">
        <f t="shared" si="29"/>
        <v>1.2055455093429777E-3</v>
      </c>
      <c r="K52" s="2"/>
      <c r="L52" s="7">
        <f t="shared" si="30"/>
        <v>-50</v>
      </c>
      <c r="M52" s="2"/>
      <c r="N52" s="6">
        <f t="shared" si="31"/>
        <v>-1</v>
      </c>
      <c r="O52" s="11"/>
      <c r="P52" s="7"/>
      <c r="Q52" s="2"/>
      <c r="R52" s="6">
        <f t="shared" si="32"/>
        <v>0</v>
      </c>
      <c r="S52" s="2"/>
      <c r="T52" s="7">
        <v>350</v>
      </c>
      <c r="U52" s="2"/>
      <c r="V52" s="6">
        <f t="shared" si="33"/>
        <v>8.5892521460860006E-4</v>
      </c>
      <c r="W52" s="2"/>
      <c r="X52" s="7">
        <f t="shared" si="34"/>
        <v>-350</v>
      </c>
      <c r="Y52" s="2"/>
      <c r="Z52" s="6">
        <f t="shared" si="35"/>
        <v>-1</v>
      </c>
    </row>
    <row r="53" spans="1:26" s="28" customFormat="1" outlineLevel="1" collapsed="1" x14ac:dyDescent="0.3">
      <c r="A53" s="29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SUM(OSRRefD22_7x_0)</f>
        <v>39.43</v>
      </c>
      <c r="E53" s="1"/>
      <c r="F53" s="5">
        <f t="shared" si="28"/>
        <v>1.7837593304682198E-3</v>
      </c>
      <c r="G53" s="1"/>
      <c r="H53" s="1">
        <f>SUM(OSRRefH22_7x_0)</f>
        <v>40</v>
      </c>
      <c r="I53" s="1"/>
      <c r="J53" s="5">
        <f t="shared" si="29"/>
        <v>9.6443640747438219E-4</v>
      </c>
      <c r="K53" s="1"/>
      <c r="L53" s="1">
        <f t="shared" si="30"/>
        <v>-0.57000000000000028</v>
      </c>
      <c r="M53" s="1"/>
      <c r="N53" s="5">
        <f t="shared" si="31"/>
        <v>-1.4250000000000007E-2</v>
      </c>
      <c r="O53" s="14"/>
      <c r="P53" s="1">
        <f>SUM(OSRRefP22_7x_0)</f>
        <v>276.01</v>
      </c>
      <c r="Q53" s="1"/>
      <c r="R53" s="5">
        <f t="shared" si="32"/>
        <v>8.8563241810603452E-4</v>
      </c>
      <c r="S53" s="1"/>
      <c r="T53" s="1">
        <f>SUM(OSRRefT22_7x_0)</f>
        <v>280</v>
      </c>
      <c r="U53" s="1"/>
      <c r="V53" s="5">
        <f t="shared" si="33"/>
        <v>6.8714017168688003E-4</v>
      </c>
      <c r="W53" s="1"/>
      <c r="X53" s="1">
        <f t="shared" si="34"/>
        <v>-3.9900000000000091</v>
      </c>
      <c r="Y53" s="1"/>
      <c r="Z53" s="5">
        <f t="shared" si="35"/>
        <v>-1.4250000000000032E-2</v>
      </c>
    </row>
    <row r="54" spans="1:26" s="24" customFormat="1" hidden="1" outlineLevel="2" x14ac:dyDescent="0.3">
      <c r="A54" s="27"/>
      <c r="B54" s="11" t="str">
        <f>CONCATENATE("          ", "6314", " - ", "LIABILITY INSURANCE")</f>
        <v xml:space="preserve">          6314 - LIABILITY INSURANCE</v>
      </c>
      <c r="C54" s="11"/>
      <c r="D54" s="7">
        <v>39.43</v>
      </c>
      <c r="E54" s="2"/>
      <c r="F54" s="6">
        <f t="shared" si="28"/>
        <v>1.7837593304682198E-3</v>
      </c>
      <c r="G54" s="2"/>
      <c r="H54" s="7">
        <v>40</v>
      </c>
      <c r="I54" s="2"/>
      <c r="J54" s="6">
        <f t="shared" si="29"/>
        <v>9.6443640747438219E-4</v>
      </c>
      <c r="K54" s="2"/>
      <c r="L54" s="7">
        <f t="shared" si="30"/>
        <v>-0.57000000000000028</v>
      </c>
      <c r="M54" s="2"/>
      <c r="N54" s="6">
        <f t="shared" si="31"/>
        <v>-1.4250000000000007E-2</v>
      </c>
      <c r="O54" s="11"/>
      <c r="P54" s="7">
        <v>276.01</v>
      </c>
      <c r="Q54" s="2"/>
      <c r="R54" s="6">
        <f t="shared" si="32"/>
        <v>8.8563241810603452E-4</v>
      </c>
      <c r="S54" s="2"/>
      <c r="T54" s="7">
        <v>280</v>
      </c>
      <c r="U54" s="2"/>
      <c r="V54" s="6">
        <f t="shared" si="33"/>
        <v>6.8714017168688003E-4</v>
      </c>
      <c r="W54" s="2"/>
      <c r="X54" s="7">
        <f t="shared" si="34"/>
        <v>-3.9900000000000091</v>
      </c>
      <c r="Y54" s="2"/>
      <c r="Z54" s="6">
        <f t="shared" si="35"/>
        <v>-1.4250000000000032E-2</v>
      </c>
    </row>
    <row r="55" spans="1:26" s="28" customFormat="1" outlineLevel="1" collapsed="1" x14ac:dyDescent="0.3">
      <c r="A55" s="29"/>
      <c r="B55" s="14" t="str">
        <f>CONCATENATE("     ","Rent                                              ")</f>
        <v xml:space="preserve">     Rent                                              </v>
      </c>
      <c r="C55" s="14"/>
      <c r="D55" s="1">
        <f>SUM(OSRRefD22_8x_0)</f>
        <v>800</v>
      </c>
      <c r="E55" s="1"/>
      <c r="F55" s="5">
        <f t="shared" si="28"/>
        <v>3.6190907034607554E-2</v>
      </c>
      <c r="G55" s="1"/>
      <c r="H55" s="1">
        <f>SUM(OSRRefH22_8x_0)</f>
        <v>800</v>
      </c>
      <c r="I55" s="1"/>
      <c r="J55" s="5">
        <f t="shared" si="29"/>
        <v>1.9288728149487643E-2</v>
      </c>
      <c r="K55" s="1"/>
      <c r="L55" s="1">
        <f t="shared" si="30"/>
        <v>0</v>
      </c>
      <c r="M55" s="1"/>
      <c r="N55" s="5">
        <f t="shared" si="31"/>
        <v>0</v>
      </c>
      <c r="O55" s="14"/>
      <c r="P55" s="1">
        <f>SUM(OSRRefP22_8x_0)</f>
        <v>5600</v>
      </c>
      <c r="Q55" s="1"/>
      <c r="R55" s="5">
        <f t="shared" si="32"/>
        <v>1.7968702370906104E-2</v>
      </c>
      <c r="S55" s="1"/>
      <c r="T55" s="1">
        <f>SUM(OSRRefT22_8x_0)</f>
        <v>5600</v>
      </c>
      <c r="U55" s="1"/>
      <c r="V55" s="5">
        <f t="shared" si="33"/>
        <v>1.3742803433737601E-2</v>
      </c>
      <c r="W55" s="1"/>
      <c r="X55" s="1">
        <f t="shared" si="34"/>
        <v>0</v>
      </c>
      <c r="Y55" s="1"/>
      <c r="Z55" s="5">
        <f t="shared" si="35"/>
        <v>0</v>
      </c>
    </row>
    <row r="56" spans="1:26" s="24" customFormat="1" hidden="1" outlineLevel="2" x14ac:dyDescent="0.3">
      <c r="A56" s="27"/>
      <c r="B56" s="11" t="str">
        <f>CONCATENATE("          ", "6273", " - ", "RENT")</f>
        <v xml:space="preserve">          6273 - RENT</v>
      </c>
      <c r="C56" s="11"/>
      <c r="D56" s="7">
        <v>800</v>
      </c>
      <c r="E56" s="2"/>
      <c r="F56" s="6">
        <f t="shared" si="28"/>
        <v>3.6190907034607554E-2</v>
      </c>
      <c r="G56" s="2"/>
      <c r="H56" s="7">
        <v>800</v>
      </c>
      <c r="I56" s="2"/>
      <c r="J56" s="6">
        <f t="shared" si="29"/>
        <v>1.9288728149487643E-2</v>
      </c>
      <c r="K56" s="2"/>
      <c r="L56" s="7">
        <f t="shared" si="30"/>
        <v>0</v>
      </c>
      <c r="M56" s="2"/>
      <c r="N56" s="6">
        <f t="shared" si="31"/>
        <v>0</v>
      </c>
      <c r="O56" s="11"/>
      <c r="P56" s="7">
        <v>5600</v>
      </c>
      <c r="Q56" s="2"/>
      <c r="R56" s="6">
        <f t="shared" si="32"/>
        <v>1.7968702370906104E-2</v>
      </c>
      <c r="S56" s="2"/>
      <c r="T56" s="7">
        <v>5600</v>
      </c>
      <c r="U56" s="2"/>
      <c r="V56" s="6">
        <f t="shared" si="33"/>
        <v>1.3742803433737601E-2</v>
      </c>
      <c r="W56" s="2"/>
      <c r="X56" s="7">
        <f t="shared" si="34"/>
        <v>0</v>
      </c>
      <c r="Y56" s="2"/>
      <c r="Z56" s="6">
        <f t="shared" si="35"/>
        <v>0</v>
      </c>
    </row>
    <row r="57" spans="1:26" s="28" customFormat="1" outlineLevel="1" collapsed="1" x14ac:dyDescent="0.3">
      <c r="A57" s="29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SUM(OSRRefD22_9x_0)</f>
        <v>1555.65</v>
      </c>
      <c r="E57" s="1"/>
      <c r="F57" s="5">
        <f t="shared" si="28"/>
        <v>7.037548066048406E-2</v>
      </c>
      <c r="G57" s="1"/>
      <c r="H57" s="1">
        <f>SUM(OSRRefH22_9x_0)</f>
        <v>3200</v>
      </c>
      <c r="I57" s="1"/>
      <c r="J57" s="5">
        <f t="shared" si="29"/>
        <v>7.715491259795057E-2</v>
      </c>
      <c r="K57" s="1"/>
      <c r="L57" s="1">
        <f t="shared" si="30"/>
        <v>-1644.35</v>
      </c>
      <c r="M57" s="1"/>
      <c r="N57" s="5">
        <f t="shared" si="31"/>
        <v>-0.51385937500000001</v>
      </c>
      <c r="O57" s="14"/>
      <c r="P57" s="1">
        <f>SUM(OSRRefP22_9x_0)</f>
        <v>123556.26999999999</v>
      </c>
      <c r="Q57" s="1"/>
      <c r="R57" s="5">
        <f t="shared" si="32"/>
        <v>0.39645461458737757</v>
      </c>
      <c r="S57" s="1"/>
      <c r="T57" s="1">
        <f>SUM(OSRRefT22_9x_0)</f>
        <v>147400</v>
      </c>
      <c r="U57" s="1"/>
      <c r="V57" s="5">
        <f t="shared" si="33"/>
        <v>0.36173021895230756</v>
      </c>
      <c r="W57" s="1"/>
      <c r="X57" s="1">
        <f t="shared" si="34"/>
        <v>-23843.73000000001</v>
      </c>
      <c r="Y57" s="1"/>
      <c r="Z57" s="5">
        <f t="shared" si="35"/>
        <v>-0.16176207598371783</v>
      </c>
    </row>
    <row r="58" spans="1:26" s="24" customFormat="1" hidden="1" outlineLevel="2" x14ac:dyDescent="0.3">
      <c r="A58" s="27"/>
      <c r="B58" s="11" t="str">
        <f>CONCATENATE("          ", "6371", " - ", "COMPUTER SOFTWARE MAINTENANCE")</f>
        <v xml:space="preserve">          6371 - COMPUTER SOFTWARE MAINTENANCE</v>
      </c>
      <c r="C58" s="11"/>
      <c r="D58" s="7"/>
      <c r="E58" s="2"/>
      <c r="F58" s="6">
        <f t="shared" si="28"/>
        <v>0</v>
      </c>
      <c r="G58" s="2"/>
      <c r="H58" s="7"/>
      <c r="I58" s="2"/>
      <c r="J58" s="6">
        <f t="shared" si="29"/>
        <v>0</v>
      </c>
      <c r="K58" s="2"/>
      <c r="L58" s="7">
        <f t="shared" si="30"/>
        <v>0</v>
      </c>
      <c r="M58" s="2"/>
      <c r="N58" s="6">
        <f t="shared" si="31"/>
        <v>0</v>
      </c>
      <c r="O58" s="11"/>
      <c r="P58" s="7"/>
      <c r="Q58" s="2"/>
      <c r="R58" s="6">
        <f t="shared" si="32"/>
        <v>0</v>
      </c>
      <c r="S58" s="2"/>
      <c r="T58" s="7">
        <v>125000</v>
      </c>
      <c r="U58" s="2"/>
      <c r="V58" s="6">
        <f t="shared" si="33"/>
        <v>0.30675900521735716</v>
      </c>
      <c r="W58" s="2"/>
      <c r="X58" s="7">
        <f t="shared" si="34"/>
        <v>-125000</v>
      </c>
      <c r="Y58" s="2"/>
      <c r="Z58" s="6">
        <f t="shared" si="35"/>
        <v>-1</v>
      </c>
    </row>
    <row r="59" spans="1:26" s="24" customFormat="1" hidden="1" outlineLevel="2" x14ac:dyDescent="0.3">
      <c r="A59" s="27"/>
      <c r="B59" s="11" t="str">
        <f>CONCATENATE("          ", "6372", " - ", "COMPUTER HARDWARE MAINTENANCE")</f>
        <v xml:space="preserve">          6372 - COMPUTER HARDWARE MAINTENANCE</v>
      </c>
      <c r="C59" s="11"/>
      <c r="D59" s="7">
        <v>1555.65</v>
      </c>
      <c r="E59" s="2"/>
      <c r="F59" s="6">
        <f t="shared" si="28"/>
        <v>7.037548066048406E-2</v>
      </c>
      <c r="G59" s="2"/>
      <c r="H59" s="7">
        <v>3200</v>
      </c>
      <c r="I59" s="2"/>
      <c r="J59" s="6">
        <f t="shared" si="29"/>
        <v>7.715491259795057E-2</v>
      </c>
      <c r="K59" s="2"/>
      <c r="L59" s="7">
        <f t="shared" si="30"/>
        <v>-1644.35</v>
      </c>
      <c r="M59" s="2"/>
      <c r="N59" s="6">
        <f t="shared" si="31"/>
        <v>-0.51385937500000001</v>
      </c>
      <c r="O59" s="11"/>
      <c r="P59" s="7">
        <v>1555.65</v>
      </c>
      <c r="Q59" s="2"/>
      <c r="R59" s="6">
        <f t="shared" si="32"/>
        <v>4.9916092577321578E-3</v>
      </c>
      <c r="S59" s="2"/>
      <c r="T59" s="7">
        <v>22400</v>
      </c>
      <c r="U59" s="2"/>
      <c r="V59" s="6">
        <f t="shared" si="33"/>
        <v>5.4971213734950404E-2</v>
      </c>
      <c r="W59" s="2"/>
      <c r="X59" s="7">
        <f t="shared" si="34"/>
        <v>-20844.349999999999</v>
      </c>
      <c r="Y59" s="2"/>
      <c r="Z59" s="6">
        <f t="shared" si="35"/>
        <v>-0.93055133928571421</v>
      </c>
    </row>
    <row r="60" spans="1:26" s="24" customFormat="1" hidden="1" outlineLevel="2" x14ac:dyDescent="0.3">
      <c r="A60" s="27"/>
      <c r="B60" s="11" t="str">
        <f>CONCATENATE("          ", "6373", " - ", "MAINTENANCE CONTRACTS")</f>
        <v xml:space="preserve">          6373 - MAINTENANCE CONTRACTS</v>
      </c>
      <c r="C60" s="11"/>
      <c r="D60" s="7"/>
      <c r="E60" s="2"/>
      <c r="F60" s="6">
        <f t="shared" si="28"/>
        <v>0</v>
      </c>
      <c r="G60" s="2"/>
      <c r="H60" s="7"/>
      <c r="I60" s="2"/>
      <c r="J60" s="6">
        <f t="shared" si="29"/>
        <v>0</v>
      </c>
      <c r="K60" s="2"/>
      <c r="L60" s="7">
        <f t="shared" si="30"/>
        <v>0</v>
      </c>
      <c r="M60" s="2"/>
      <c r="N60" s="6">
        <f t="shared" si="31"/>
        <v>0</v>
      </c>
      <c r="O60" s="11"/>
      <c r="P60" s="7">
        <v>122000.62</v>
      </c>
      <c r="Q60" s="2"/>
      <c r="R60" s="6">
        <f t="shared" si="32"/>
        <v>0.39146300532964545</v>
      </c>
      <c r="S60" s="2"/>
      <c r="T60" s="7"/>
      <c r="U60" s="2"/>
      <c r="V60" s="6">
        <f t="shared" si="33"/>
        <v>0</v>
      </c>
      <c r="W60" s="2"/>
      <c r="X60" s="7">
        <f t="shared" si="34"/>
        <v>122000.62</v>
      </c>
      <c r="Y60" s="2"/>
      <c r="Z60" s="6">
        <f t="shared" si="35"/>
        <v>0</v>
      </c>
    </row>
    <row r="61" spans="1:26" s="28" customFormat="1" outlineLevel="1" collapsed="1" x14ac:dyDescent="0.3">
      <c r="A61" s="29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1">
        <f>SUM(OSRRefD22_10x_0)</f>
        <v>0</v>
      </c>
      <c r="E61" s="1"/>
      <c r="F61" s="5">
        <f t="shared" ref="F61:F66" si="36">IF(D$12=0,0,D61/D$12)</f>
        <v>0</v>
      </c>
      <c r="G61" s="1"/>
      <c r="H61" s="1">
        <f>SUM(OSRRefH22_10x_0)</f>
        <v>85</v>
      </c>
      <c r="I61" s="1"/>
      <c r="J61" s="5">
        <f t="shared" ref="J61:J66" si="37">IF(H$12=0,0,H61/H$12)</f>
        <v>2.0494273658830621E-3</v>
      </c>
      <c r="K61" s="1"/>
      <c r="L61" s="1">
        <f t="shared" ref="L61:L66" si="38">+D61-H61</f>
        <v>-85</v>
      </c>
      <c r="M61" s="1"/>
      <c r="N61" s="5">
        <f t="shared" ref="N61:N66" si="39">IF(H61=0,0,L61/H61)</f>
        <v>-1</v>
      </c>
      <c r="O61" s="14"/>
      <c r="P61" s="1">
        <f>SUM(OSRRefP22_10x_0)</f>
        <v>0</v>
      </c>
      <c r="Q61" s="1"/>
      <c r="R61" s="5">
        <f t="shared" ref="R61:R66" si="40">IF(P$12=0,0,P61/P$12)</f>
        <v>0</v>
      </c>
      <c r="S61" s="1"/>
      <c r="T61" s="1">
        <f>SUM(OSRRefT22_10x_0)</f>
        <v>595</v>
      </c>
      <c r="U61" s="1"/>
      <c r="V61" s="5">
        <f t="shared" ref="V61:V66" si="41">IF(T$12=0,0,T61/T$12)</f>
        <v>1.4601728648346202E-3</v>
      </c>
      <c r="W61" s="1"/>
      <c r="X61" s="1">
        <f t="shared" ref="X61:X66" si="42">+P61-T61</f>
        <v>-595</v>
      </c>
      <c r="Y61" s="1"/>
      <c r="Z61" s="5">
        <f t="shared" ref="Z61:Z66" si="43">IF(T61=0,0,X61/T61)</f>
        <v>-1</v>
      </c>
    </row>
    <row r="62" spans="1:26" s="24" customFormat="1" hidden="1" outlineLevel="2" x14ac:dyDescent="0.3">
      <c r="A62" s="27"/>
      <c r="B62" s="11" t="str">
        <f>CONCATENATE("          ", "6258", " - ", "MEMBERSHIP DUES")</f>
        <v xml:space="preserve">          6258 - MEMBERSHIP DUES</v>
      </c>
      <c r="C62" s="11"/>
      <c r="D62" s="7"/>
      <c r="E62" s="2"/>
      <c r="F62" s="6">
        <f t="shared" si="36"/>
        <v>0</v>
      </c>
      <c r="G62" s="2"/>
      <c r="H62" s="7">
        <v>85</v>
      </c>
      <c r="I62" s="2"/>
      <c r="J62" s="6">
        <f t="shared" si="37"/>
        <v>2.0494273658830621E-3</v>
      </c>
      <c r="K62" s="2"/>
      <c r="L62" s="7">
        <f t="shared" si="38"/>
        <v>-85</v>
      </c>
      <c r="M62" s="2"/>
      <c r="N62" s="6">
        <f t="shared" si="39"/>
        <v>-1</v>
      </c>
      <c r="O62" s="11"/>
      <c r="P62" s="7"/>
      <c r="Q62" s="2"/>
      <c r="R62" s="6">
        <f t="shared" si="40"/>
        <v>0</v>
      </c>
      <c r="S62" s="2"/>
      <c r="T62" s="7">
        <v>595</v>
      </c>
      <c r="U62" s="2"/>
      <c r="V62" s="6">
        <f t="shared" si="41"/>
        <v>1.4601728648346202E-3</v>
      </c>
      <c r="W62" s="2"/>
      <c r="X62" s="7">
        <f t="shared" si="42"/>
        <v>-595</v>
      </c>
      <c r="Y62" s="2"/>
      <c r="Z62" s="6">
        <f t="shared" si="43"/>
        <v>-1</v>
      </c>
    </row>
    <row r="63" spans="1:26" s="28" customFormat="1" outlineLevel="1" collapsed="1" x14ac:dyDescent="0.3">
      <c r="A63" s="29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SUM(OSRRefD22_11x_0)</f>
        <v>2523.12</v>
      </c>
      <c r="E63" s="1"/>
      <c r="F63" s="5">
        <f t="shared" si="36"/>
        <v>0.11414250169644877</v>
      </c>
      <c r="G63" s="1"/>
      <c r="H63" s="1">
        <f>SUM(OSRRefH22_11x_0)</f>
        <v>5800</v>
      </c>
      <c r="I63" s="1"/>
      <c r="J63" s="5">
        <f t="shared" si="37"/>
        <v>0.13984327908378541</v>
      </c>
      <c r="K63" s="1"/>
      <c r="L63" s="1">
        <f t="shared" si="38"/>
        <v>-3276.88</v>
      </c>
      <c r="M63" s="1"/>
      <c r="N63" s="5">
        <f t="shared" si="39"/>
        <v>-0.56497931034482762</v>
      </c>
      <c r="O63" s="14"/>
      <c r="P63" s="1">
        <f>SUM(OSRRefP22_11x_0)</f>
        <v>18078.21</v>
      </c>
      <c r="Q63" s="1"/>
      <c r="R63" s="5">
        <f t="shared" si="40"/>
        <v>5.800749551584615E-2</v>
      </c>
      <c r="S63" s="1"/>
      <c r="T63" s="1">
        <f>SUM(OSRRefT22_11x_0)</f>
        <v>40600</v>
      </c>
      <c r="U63" s="1"/>
      <c r="V63" s="5">
        <f t="shared" si="41"/>
        <v>9.9635324894597602E-2</v>
      </c>
      <c r="W63" s="1"/>
      <c r="X63" s="1">
        <f t="shared" si="42"/>
        <v>-22521.79</v>
      </c>
      <c r="Y63" s="1"/>
      <c r="Z63" s="5">
        <f t="shared" si="43"/>
        <v>-0.55472389162561575</v>
      </c>
    </row>
    <row r="64" spans="1:26" s="24" customFormat="1" hidden="1" outlineLevel="2" x14ac:dyDescent="0.3">
      <c r="A64" s="27"/>
      <c r="B64" s="11" t="str">
        <f>CONCATENATE("          ", "6234", " - ", "EXPENDABLE SUPPLIES &amp; EQUIPMEN")</f>
        <v xml:space="preserve">          6234 - EXPENDABLE SUPPLIES &amp; EQUIPMEN</v>
      </c>
      <c r="C64" s="11"/>
      <c r="D64" s="7"/>
      <c r="E64" s="2"/>
      <c r="F64" s="6">
        <f t="shared" si="36"/>
        <v>0</v>
      </c>
      <c r="G64" s="2"/>
      <c r="H64" s="7">
        <v>5800</v>
      </c>
      <c r="I64" s="2"/>
      <c r="J64" s="6">
        <f t="shared" si="37"/>
        <v>0.13984327908378541</v>
      </c>
      <c r="K64" s="2"/>
      <c r="L64" s="7">
        <f t="shared" si="38"/>
        <v>-5800</v>
      </c>
      <c r="M64" s="2"/>
      <c r="N64" s="6">
        <f t="shared" si="39"/>
        <v>-1</v>
      </c>
      <c r="O64" s="11"/>
      <c r="P64" s="7"/>
      <c r="Q64" s="2"/>
      <c r="R64" s="6">
        <f t="shared" si="40"/>
        <v>0</v>
      </c>
      <c r="S64" s="2"/>
      <c r="T64" s="7">
        <v>40600</v>
      </c>
      <c r="U64" s="2"/>
      <c r="V64" s="6">
        <f t="shared" si="41"/>
        <v>9.9635324894597602E-2</v>
      </c>
      <c r="W64" s="2"/>
      <c r="X64" s="7">
        <f t="shared" si="42"/>
        <v>-40600</v>
      </c>
      <c r="Y64" s="2"/>
      <c r="Z64" s="6">
        <f t="shared" si="43"/>
        <v>-1</v>
      </c>
    </row>
    <row r="65" spans="1:26" s="24" customFormat="1" hidden="1" outlineLevel="2" x14ac:dyDescent="0.3">
      <c r="A65" s="27"/>
      <c r="B65" s="11" t="str">
        <f>CONCATENATE("          ", "6241", " - ", "OFFICE EXPENSE")</f>
        <v xml:space="preserve">          6241 - OFFICE EXPENSE</v>
      </c>
      <c r="C65" s="11"/>
      <c r="D65" s="7">
        <v>2523.12</v>
      </c>
      <c r="E65" s="2"/>
      <c r="F65" s="6">
        <f t="shared" si="36"/>
        <v>0.11414250169644877</v>
      </c>
      <c r="G65" s="2"/>
      <c r="H65" s="7"/>
      <c r="I65" s="2"/>
      <c r="J65" s="6">
        <f t="shared" si="37"/>
        <v>0</v>
      </c>
      <c r="K65" s="2"/>
      <c r="L65" s="7">
        <f t="shared" si="38"/>
        <v>2523.12</v>
      </c>
      <c r="M65" s="2"/>
      <c r="N65" s="6">
        <f t="shared" si="39"/>
        <v>0</v>
      </c>
      <c r="O65" s="11"/>
      <c r="P65" s="7">
        <v>18061.669999999998</v>
      </c>
      <c r="Q65" s="2"/>
      <c r="R65" s="6">
        <f t="shared" si="40"/>
        <v>5.7954423669914934E-2</v>
      </c>
      <c r="S65" s="2"/>
      <c r="T65" s="7"/>
      <c r="U65" s="2"/>
      <c r="V65" s="6">
        <f t="shared" si="41"/>
        <v>0</v>
      </c>
      <c r="W65" s="2"/>
      <c r="X65" s="7">
        <f t="shared" si="42"/>
        <v>18061.669999999998</v>
      </c>
      <c r="Y65" s="2"/>
      <c r="Z65" s="6">
        <f t="shared" si="43"/>
        <v>0</v>
      </c>
    </row>
    <row r="66" spans="1:26" s="24" customFormat="1" hidden="1" outlineLevel="2" x14ac:dyDescent="0.3">
      <c r="A66" s="27"/>
      <c r="B66" s="11" t="str">
        <f>CONCATENATE("          ", "6247", " - ", "STORE SUPPLIES")</f>
        <v xml:space="preserve">          6247 - STORE SUPPLIES</v>
      </c>
      <c r="C66" s="11"/>
      <c r="D66" s="7"/>
      <c r="E66" s="2"/>
      <c r="F66" s="6">
        <f t="shared" si="36"/>
        <v>0</v>
      </c>
      <c r="G66" s="2"/>
      <c r="H66" s="7"/>
      <c r="I66" s="2"/>
      <c r="J66" s="6">
        <f t="shared" si="37"/>
        <v>0</v>
      </c>
      <c r="K66" s="2"/>
      <c r="L66" s="7">
        <f t="shared" si="38"/>
        <v>0</v>
      </c>
      <c r="M66" s="2"/>
      <c r="N66" s="6">
        <f t="shared" si="39"/>
        <v>0</v>
      </c>
      <c r="O66" s="11"/>
      <c r="P66" s="7">
        <v>16.54</v>
      </c>
      <c r="Q66" s="2"/>
      <c r="R66" s="6">
        <f t="shared" si="40"/>
        <v>5.3071845931211954E-5</v>
      </c>
      <c r="S66" s="2"/>
      <c r="T66" s="7"/>
      <c r="U66" s="2"/>
      <c r="V66" s="6">
        <f t="shared" si="41"/>
        <v>0</v>
      </c>
      <c r="W66" s="2"/>
      <c r="X66" s="7">
        <f t="shared" si="42"/>
        <v>16.54</v>
      </c>
      <c r="Y66" s="2"/>
      <c r="Z66" s="6">
        <f t="shared" si="43"/>
        <v>0</v>
      </c>
    </row>
    <row r="67" spans="1:26" s="28" customFormat="1" outlineLevel="1" collapsed="1" x14ac:dyDescent="0.3">
      <c r="A67" s="29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SUM(OSRRefD22_12x_0)</f>
        <v>88</v>
      </c>
      <c r="E67" s="1"/>
      <c r="F67" s="5">
        <f t="shared" ref="F67:F70" si="44">IF(D$12=0,0,D67/D$12)</f>
        <v>3.9809997738068309E-3</v>
      </c>
      <c r="G67" s="1"/>
      <c r="H67" s="1">
        <f>SUM(OSRRefH22_12x_0)</f>
        <v>350</v>
      </c>
      <c r="I67" s="1"/>
      <c r="J67" s="5">
        <f t="shared" ref="J67:J70" si="45">IF(H$12=0,0,H67/H$12)</f>
        <v>8.4388185654008432E-3</v>
      </c>
      <c r="K67" s="1"/>
      <c r="L67" s="1">
        <f t="shared" ref="L67:L70" si="46">+D67-H67</f>
        <v>-262</v>
      </c>
      <c r="M67" s="1"/>
      <c r="N67" s="5">
        <f t="shared" ref="N67:N70" si="47">IF(H67=0,0,L67/H67)</f>
        <v>-0.74857142857142855</v>
      </c>
      <c r="O67" s="14"/>
      <c r="P67" s="1">
        <f>SUM(OSRRefP22_12x_0)</f>
        <v>193</v>
      </c>
      <c r="Q67" s="1"/>
      <c r="R67" s="5">
        <f t="shared" ref="R67:R70" si="48">IF(P$12=0,0,P67/P$12)</f>
        <v>6.1927849242587104E-4</v>
      </c>
      <c r="S67" s="1"/>
      <c r="T67" s="1">
        <f>SUM(OSRRefT22_12x_0)</f>
        <v>2450</v>
      </c>
      <c r="U67" s="1"/>
      <c r="V67" s="5">
        <f t="shared" ref="V67:V70" si="49">IF(T$12=0,0,T67/T$12)</f>
        <v>6.0124765022602005E-3</v>
      </c>
      <c r="W67" s="1"/>
      <c r="X67" s="1">
        <f t="shared" ref="X67:X70" si="50">+P67-T67</f>
        <v>-2257</v>
      </c>
      <c r="Y67" s="1"/>
      <c r="Z67" s="5">
        <f t="shared" ref="Z67:Z70" si="51">IF(T67=0,0,X67/T67)</f>
        <v>-0.92122448979591842</v>
      </c>
    </row>
    <row r="68" spans="1:26" s="24" customFormat="1" hidden="1" outlineLevel="2" x14ac:dyDescent="0.3">
      <c r="A68" s="27"/>
      <c r="B68" s="11" t="str">
        <f>CONCATENATE("          ", "6309", " - ", "TELEPHONE")</f>
        <v xml:space="preserve">          6309 - TELEPHONE</v>
      </c>
      <c r="C68" s="11"/>
      <c r="D68" s="7">
        <v>88</v>
      </c>
      <c r="E68" s="2"/>
      <c r="F68" s="6">
        <f t="shared" si="44"/>
        <v>3.9809997738068309E-3</v>
      </c>
      <c r="G68" s="2"/>
      <c r="H68" s="7">
        <v>350</v>
      </c>
      <c r="I68" s="2"/>
      <c r="J68" s="6">
        <f t="shared" si="45"/>
        <v>8.4388185654008432E-3</v>
      </c>
      <c r="K68" s="2"/>
      <c r="L68" s="7">
        <f t="shared" si="46"/>
        <v>-262</v>
      </c>
      <c r="M68" s="2"/>
      <c r="N68" s="6">
        <f t="shared" si="47"/>
        <v>-0.74857142857142855</v>
      </c>
      <c r="O68" s="11"/>
      <c r="P68" s="7">
        <v>193</v>
      </c>
      <c r="Q68" s="2"/>
      <c r="R68" s="6">
        <f t="shared" si="48"/>
        <v>6.1927849242587104E-4</v>
      </c>
      <c r="S68" s="2"/>
      <c r="T68" s="7">
        <v>2450</v>
      </c>
      <c r="U68" s="2"/>
      <c r="V68" s="6">
        <f t="shared" si="49"/>
        <v>6.0124765022602005E-3</v>
      </c>
      <c r="W68" s="2"/>
      <c r="X68" s="7">
        <f t="shared" si="50"/>
        <v>-2257</v>
      </c>
      <c r="Y68" s="2"/>
      <c r="Z68" s="6">
        <f t="shared" si="51"/>
        <v>-0.92122448979591842</v>
      </c>
    </row>
    <row r="69" spans="1:26" s="28" customFormat="1" outlineLevel="1" collapsed="1" x14ac:dyDescent="0.3">
      <c r="A69" s="29"/>
      <c r="B69" s="14" t="str">
        <f>CONCATENATE("     ","Training                                          ")</f>
        <v xml:space="preserve">     Training                                          </v>
      </c>
      <c r="C69" s="14"/>
      <c r="D69" s="1">
        <f>SUM(OSRRefD22_13x_0)</f>
        <v>0</v>
      </c>
      <c r="E69" s="1"/>
      <c r="F69" s="5">
        <f t="shared" si="44"/>
        <v>0</v>
      </c>
      <c r="G69" s="1"/>
      <c r="H69" s="1">
        <f>SUM(OSRRefH22_13x_0)</f>
        <v>0</v>
      </c>
      <c r="I69" s="1"/>
      <c r="J69" s="5">
        <f t="shared" si="45"/>
        <v>0</v>
      </c>
      <c r="K69" s="1"/>
      <c r="L69" s="1">
        <f t="shared" si="46"/>
        <v>0</v>
      </c>
      <c r="M69" s="1"/>
      <c r="N69" s="5">
        <f t="shared" si="47"/>
        <v>0</v>
      </c>
      <c r="O69" s="14"/>
      <c r="P69" s="1">
        <f>SUM(OSRRefP22_13x_0)</f>
        <v>2000</v>
      </c>
      <c r="Q69" s="1"/>
      <c r="R69" s="5">
        <f t="shared" si="48"/>
        <v>6.4173937038950373E-3</v>
      </c>
      <c r="S69" s="1"/>
      <c r="T69" s="1">
        <f>SUM(OSRRefT22_13x_0)</f>
        <v>0</v>
      </c>
      <c r="U69" s="1"/>
      <c r="V69" s="5">
        <f t="shared" si="49"/>
        <v>0</v>
      </c>
      <c r="W69" s="1"/>
      <c r="X69" s="1">
        <f t="shared" si="50"/>
        <v>2000</v>
      </c>
      <c r="Y69" s="1"/>
      <c r="Z69" s="5">
        <f t="shared" si="51"/>
        <v>0</v>
      </c>
    </row>
    <row r="70" spans="1:26" s="24" customFormat="1" hidden="1" outlineLevel="2" x14ac:dyDescent="0.3">
      <c r="A70" s="27"/>
      <c r="B70" s="11" t="str">
        <f>CONCATENATE("          ", "6376", " - ", "TRAINING")</f>
        <v xml:space="preserve">          6376 - TRAINING</v>
      </c>
      <c r="C70" s="11"/>
      <c r="D70" s="7"/>
      <c r="E70" s="2"/>
      <c r="F70" s="6">
        <f t="shared" si="44"/>
        <v>0</v>
      </c>
      <c r="G70" s="2"/>
      <c r="H70" s="7"/>
      <c r="I70" s="2"/>
      <c r="J70" s="6">
        <f t="shared" si="45"/>
        <v>0</v>
      </c>
      <c r="K70" s="2"/>
      <c r="L70" s="7">
        <f t="shared" si="46"/>
        <v>0</v>
      </c>
      <c r="M70" s="2"/>
      <c r="N70" s="6">
        <f t="shared" si="47"/>
        <v>0</v>
      </c>
      <c r="O70" s="11"/>
      <c r="P70" s="7">
        <v>2000</v>
      </c>
      <c r="Q70" s="2"/>
      <c r="R70" s="6">
        <f t="shared" si="48"/>
        <v>6.4173937038950373E-3</v>
      </c>
      <c r="S70" s="2"/>
      <c r="T70" s="7"/>
      <c r="U70" s="2"/>
      <c r="V70" s="6">
        <f t="shared" si="49"/>
        <v>0</v>
      </c>
      <c r="W70" s="2"/>
      <c r="X70" s="7">
        <f t="shared" si="50"/>
        <v>2000</v>
      </c>
      <c r="Y70" s="2"/>
      <c r="Z70" s="6">
        <f t="shared" si="51"/>
        <v>0</v>
      </c>
    </row>
    <row r="71" spans="1:26" s="55" customFormat="1" x14ac:dyDescent="0.3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collapsed="1" x14ac:dyDescent="0.3">
      <c r="A72" s="10"/>
      <c r="B72" s="25" t="s">
        <v>293</v>
      </c>
      <c r="C72" s="10"/>
      <c r="D72" s="4">
        <f>SUM(OSRRefD25x_0)</f>
        <v>508.14</v>
      </c>
      <c r="E72" s="4"/>
      <c r="F72" s="12">
        <f t="shared" ref="F72:F73" si="52">IF(D$12=0,0,D72/D$12)</f>
        <v>2.2987559375706852E-2</v>
      </c>
      <c r="G72" s="4"/>
      <c r="H72" s="4">
        <f>SUM(OSRRefH25x_0)</f>
        <v>2400</v>
      </c>
      <c r="I72" s="4"/>
      <c r="J72" s="12">
        <f t="shared" ref="J72:J73" si="53">IF(H$12=0,0,H72/H$12)</f>
        <v>5.7866184448462928E-2</v>
      </c>
      <c r="K72" s="4"/>
      <c r="L72" s="4">
        <f t="shared" ref="L72:L73" si="54">+D72-H72</f>
        <v>-1891.8600000000001</v>
      </c>
      <c r="M72" s="4"/>
      <c r="N72" s="12">
        <f t="shared" ref="N72:N73" si="55">IF(H72=0,0,L72/H72)</f>
        <v>-0.78827500000000006</v>
      </c>
      <c r="O72" s="10"/>
      <c r="P72" s="4">
        <f>SUM(OSRRefP25x_0)</f>
        <v>6238.54</v>
      </c>
      <c r="Q72" s="4"/>
      <c r="R72" s="12">
        <f t="shared" ref="R72:R73" si="56">IF(P$12=0,0,P72/P$12)</f>
        <v>2.0017583658748672E-2</v>
      </c>
      <c r="S72" s="4"/>
      <c r="T72" s="4">
        <f>SUM(OSRRefT25x_0)</f>
        <v>16800</v>
      </c>
      <c r="U72" s="4"/>
      <c r="V72" s="12">
        <f t="shared" ref="V72:V73" si="57">IF(T$12=0,0,T72/T$12)</f>
        <v>4.1228410301212805E-2</v>
      </c>
      <c r="W72" s="4"/>
      <c r="X72" s="4">
        <f t="shared" ref="X72:X73" si="58">+P72-T72</f>
        <v>-10561.46</v>
      </c>
      <c r="Y72" s="4"/>
      <c r="Z72" s="12">
        <f t="shared" ref="Z72:Z73" si="59">IF(T72=0,0,X72/T72)</f>
        <v>-0.62865833333333332</v>
      </c>
    </row>
    <row r="73" spans="1:26" s="24" customFormat="1" hidden="1" outlineLevel="1" x14ac:dyDescent="0.3">
      <c r="A73" s="44"/>
      <c r="B73" s="11" t="str">
        <f>CONCATENATE("          ", "9150", " - ", "MISC. INCOME")</f>
        <v xml:space="preserve">          9150 - MISC. INCOME</v>
      </c>
      <c r="C73" s="11"/>
      <c r="D73" s="2">
        <f>--508.14</f>
        <v>508.14</v>
      </c>
      <c r="E73" s="2"/>
      <c r="F73" s="19">
        <f t="shared" si="52"/>
        <v>2.2987559375706852E-2</v>
      </c>
      <c r="G73" s="2"/>
      <c r="H73" s="2">
        <v>2400</v>
      </c>
      <c r="I73" s="2"/>
      <c r="J73" s="19">
        <f t="shared" si="53"/>
        <v>5.7866184448462928E-2</v>
      </c>
      <c r="K73" s="2"/>
      <c r="L73" s="2">
        <f t="shared" si="54"/>
        <v>-1891.8600000000001</v>
      </c>
      <c r="M73" s="2"/>
      <c r="N73" s="19">
        <f t="shared" si="55"/>
        <v>-0.78827500000000006</v>
      </c>
      <c r="O73" s="11"/>
      <c r="P73" s="2">
        <f>--6238.54</f>
        <v>6238.54</v>
      </c>
      <c r="Q73" s="2"/>
      <c r="R73" s="19">
        <f t="shared" si="56"/>
        <v>2.0017583658748672E-2</v>
      </c>
      <c r="S73" s="2"/>
      <c r="T73" s="2">
        <v>16800</v>
      </c>
      <c r="U73" s="2"/>
      <c r="V73" s="19">
        <f t="shared" si="57"/>
        <v>4.1228410301212805E-2</v>
      </c>
      <c r="W73" s="2"/>
      <c r="X73" s="2">
        <f t="shared" si="58"/>
        <v>-10561.46</v>
      </c>
      <c r="Y73" s="2"/>
      <c r="Z73" s="19">
        <f t="shared" si="59"/>
        <v>-0.62865833333333332</v>
      </c>
    </row>
    <row r="74" spans="1:26" x14ac:dyDescent="0.3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3">
      <c r="A75" s="10"/>
      <c r="B75" s="26" t="s">
        <v>277</v>
      </c>
      <c r="C75" s="26"/>
      <c r="D75" s="21">
        <f>+D17-D19+D72</f>
        <v>-1348.2700000000036</v>
      </c>
      <c r="E75" s="13"/>
      <c r="F75" s="22">
        <f>IF(D$12=0,0,D75/D$12)</f>
        <v>-6.0993892784438071E-2</v>
      </c>
      <c r="G75" s="13"/>
      <c r="H75" s="21">
        <f>+H17-H19+H72</f>
        <v>4239.065598527879</v>
      </c>
      <c r="I75" s="13"/>
      <c r="J75" s="22">
        <f>IF(H$12=0,0,H75/H$12)</f>
        <v>0.10220772992231172</v>
      </c>
      <c r="K75" s="15"/>
      <c r="L75" s="21">
        <f>+D75-H75</f>
        <v>-5587.3355985278831</v>
      </c>
      <c r="M75" s="15"/>
      <c r="N75" s="22">
        <f>IF(H75=0,0,L75/H75)</f>
        <v>-1.3180583005057116</v>
      </c>
      <c r="O75" s="25"/>
      <c r="P75" s="21">
        <f>+P17-P19+P72</f>
        <v>34853.230000000061</v>
      </c>
      <c r="Q75" s="13"/>
      <c r="R75" s="22">
        <f>IF(P$12=0,0,P75/P$12)</f>
        <v>0.11183344938120302</v>
      </c>
      <c r="S75" s="13"/>
      <c r="T75" s="21">
        <f>+T17-T19+T72</f>
        <v>41646.487533872889</v>
      </c>
      <c r="U75" s="13"/>
      <c r="V75" s="22">
        <f>IF(T$12=0,0,T75/T$12)</f>
        <v>0.10220348069350331</v>
      </c>
      <c r="W75" s="15"/>
      <c r="X75" s="21">
        <f>+P75-T75</f>
        <v>-6793.2575338728275</v>
      </c>
      <c r="Y75" s="15"/>
      <c r="Z75" s="22">
        <f>IF(T75=0,0,X75/T75)</f>
        <v>-0.16311717832980699</v>
      </c>
    </row>
    <row r="76" spans="1:26" x14ac:dyDescent="0.3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3">
      <c r="A77" s="52"/>
      <c r="B77" s="10" t="s">
        <v>128</v>
      </c>
      <c r="C77" s="10"/>
      <c r="D77" s="4">
        <v>6399.57</v>
      </c>
      <c r="E77" s="4"/>
      <c r="F77" s="12">
        <f>IF(D$12=0,0,D77/D$12)</f>
        <v>0.28950780366432932</v>
      </c>
      <c r="G77" s="4"/>
      <c r="H77" s="4">
        <v>3669</v>
      </c>
      <c r="I77" s="4"/>
      <c r="J77" s="12">
        <f>IF(H$12=0,0,H77/H$12)</f>
        <v>8.8462929475587704E-2</v>
      </c>
      <c r="K77" s="4"/>
      <c r="L77" s="4">
        <f>+D77-H77</f>
        <v>2730.5699999999997</v>
      </c>
      <c r="M77" s="4"/>
      <c r="N77" s="12">
        <f>IF(H77=0,0,L77/H77)</f>
        <v>0.74422730989370389</v>
      </c>
      <c r="O77" s="10"/>
      <c r="P77" s="4">
        <v>41252.69</v>
      </c>
      <c r="Q77" s="4"/>
      <c r="R77" s="12">
        <f>IF(P$12=0,0,P77/P$12)</f>
        <v>0.13236737653736688</v>
      </c>
      <c r="S77" s="4"/>
      <c r="T77" s="4">
        <v>51057</v>
      </c>
      <c r="U77" s="4"/>
      <c r="V77" s="12">
        <f>IF(T$12=0,0,T77/T$12)</f>
        <v>0.12529755623506084</v>
      </c>
      <c r="W77" s="4"/>
      <c r="X77" s="4">
        <f>+P77-T77</f>
        <v>-9804.3099999999977</v>
      </c>
      <c r="Y77" s="4"/>
      <c r="Z77" s="12">
        <f>IF(T77=0,0,X77/T77)</f>
        <v>-0.19202675441173586</v>
      </c>
    </row>
    <row r="78" spans="1:26" x14ac:dyDescent="0.3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" thickBot="1" x14ac:dyDescent="0.35">
      <c r="A79" s="10"/>
      <c r="B79" s="26" t="s">
        <v>126</v>
      </c>
      <c r="C79" s="26"/>
      <c r="D79" s="32">
        <f>+D75-D77</f>
        <v>-7747.8400000000038</v>
      </c>
      <c r="E79" s="13"/>
      <c r="F79" s="31">
        <f>IF(D$12=0,0,D79/D$12)</f>
        <v>-0.35050169644876744</v>
      </c>
      <c r="G79" s="13"/>
      <c r="H79" s="32">
        <f>+H75-H77</f>
        <v>570.06559852787905</v>
      </c>
      <c r="I79" s="13"/>
      <c r="J79" s="31">
        <f>IF(H$12=0,0,H79/H$12)</f>
        <v>1.3744800446724027E-2</v>
      </c>
      <c r="K79" s="15"/>
      <c r="L79" s="32">
        <f>D79-H79</f>
        <v>-8317.9055985278828</v>
      </c>
      <c r="M79" s="15"/>
      <c r="N79" s="31">
        <f>IF(H79=0,0,L79/H79)</f>
        <v>-14.591137616456425</v>
      </c>
      <c r="O79" s="25"/>
      <c r="P79" s="32">
        <f>+P75-P77</f>
        <v>-6399.4599999999409</v>
      </c>
      <c r="Q79" s="13"/>
      <c r="R79" s="31">
        <f>IF(P$12=0,0,P79/P$12)</f>
        <v>-2.0533927156163877E-2</v>
      </c>
      <c r="S79" s="13"/>
      <c r="T79" s="32">
        <f>+T75-T77</f>
        <v>-9410.5124661271111</v>
      </c>
      <c r="U79" s="13"/>
      <c r="V79" s="31">
        <f>IF(T$12=0,0,T79/T$12)</f>
        <v>-2.309407554155753E-2</v>
      </c>
      <c r="W79" s="15"/>
      <c r="X79" s="32">
        <f>P79-T79</f>
        <v>3011.0524661271702</v>
      </c>
      <c r="Y79" s="15"/>
      <c r="Z79" s="31">
        <f>IF(T79=0,0,X79/T79)</f>
        <v>-0.3199668962732235</v>
      </c>
    </row>
    <row r="80" spans="1:26" ht="15" thickTop="1" x14ac:dyDescent="0.3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3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" thickBot="1" x14ac:dyDescent="0.35">
      <c r="A82" s="10"/>
      <c r="B82" s="26" t="s">
        <v>294</v>
      </c>
      <c r="C82" s="26"/>
      <c r="D82" s="34">
        <f>SUM(D79:D81)</f>
        <v>-7747.8400000000038</v>
      </c>
      <c r="E82" s="13"/>
      <c r="F82" s="35">
        <f>IF(D$12=0,0,D82/D$12)</f>
        <v>-0.35050169644876744</v>
      </c>
      <c r="G82" s="13"/>
      <c r="H82" s="34">
        <f>SUM(H79:H81)</f>
        <v>570.06559852787905</v>
      </c>
      <c r="I82" s="13"/>
      <c r="J82" s="35">
        <f>IF(H$12=0,0,H82/H$12)</f>
        <v>1.3744800446724027E-2</v>
      </c>
      <c r="K82" s="15"/>
      <c r="L82" s="34">
        <f>+D82-H82</f>
        <v>-8317.9055985278828</v>
      </c>
      <c r="M82" s="15"/>
      <c r="N82" s="35">
        <f>IF(H82=0,0,L82/H82)</f>
        <v>-14.591137616456425</v>
      </c>
      <c r="O82" s="25"/>
      <c r="P82" s="34">
        <f>SUM(P79:P81)</f>
        <v>-6399.4599999999409</v>
      </c>
      <c r="Q82" s="13"/>
      <c r="R82" s="35">
        <f>IF(P$12=0,0,P82/P$12)</f>
        <v>-2.0533927156163877E-2</v>
      </c>
      <c r="S82" s="13"/>
      <c r="T82" s="34">
        <f>SUM(T79:T81)</f>
        <v>-9410.5124661271111</v>
      </c>
      <c r="U82" s="13"/>
      <c r="V82" s="35">
        <f>IF(T$12=0,0,T82/T$12)</f>
        <v>-2.309407554155753E-2</v>
      </c>
      <c r="W82" s="15"/>
      <c r="X82" s="34">
        <f>+P82-T82</f>
        <v>3011.0524661271702</v>
      </c>
      <c r="Y82" s="15"/>
      <c r="Z82" s="35">
        <f>IF(T82=0,0,X82/T82)</f>
        <v>-0.3199668962732235</v>
      </c>
    </row>
    <row r="83" spans="1:26" ht="15" thickTop="1" x14ac:dyDescent="0.3">
      <c r="A83" s="9"/>
      <c r="C83" s="9"/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6" x14ac:dyDescent="0.3">
      <c r="A84" s="9"/>
      <c r="B84" s="53">
        <v>44604.019981712961</v>
      </c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6" x14ac:dyDescent="0.3">
      <c r="A85" s="9"/>
      <c r="B85" s="63" t="s">
        <v>56</v>
      </c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3">
      <c r="A86" s="9"/>
      <c r="B86" s="58"/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3"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">
        <v>139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92D050"/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str">
        <f>CONCATENATE("Period ",RIGHT(202207,2),", ",2022)</f>
        <v>Period 07, 2022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>
        <v>44590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str">
        <f>CONCATENATE("Department ","501", " - ", "ID Card Services")</f>
        <v>Department 501 - ID Card Services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>
        <f>SUM(OSRRefD13x_0)</f>
        <v>22105</v>
      </c>
      <c r="E12" s="4"/>
      <c r="F12" s="12"/>
      <c r="G12" s="4"/>
      <c r="H12" s="4">
        <f>SUM(OSRRefH13x_0)</f>
        <v>41475</v>
      </c>
      <c r="I12" s="4"/>
      <c r="J12" s="12"/>
      <c r="K12" s="4"/>
      <c r="L12" s="4">
        <f t="shared" ref="L12:L13" si="0">+D12-H12</f>
        <v>-19370</v>
      </c>
      <c r="M12" s="4"/>
      <c r="N12" s="12">
        <f t="shared" ref="N12:N13" si="1">IF(H12=0,0,L12/H12)</f>
        <v>-0.46702833031946955</v>
      </c>
      <c r="O12" s="10"/>
      <c r="P12" s="4">
        <f>SUM(OSRRefP13x_0)</f>
        <v>311653</v>
      </c>
      <c r="Q12" s="4"/>
      <c r="R12" s="12"/>
      <c r="S12" s="4"/>
      <c r="T12" s="4">
        <f>SUM(OSRRefT13x_0)</f>
        <v>407486</v>
      </c>
      <c r="U12" s="4"/>
      <c r="V12" s="12"/>
      <c r="W12" s="4"/>
      <c r="X12" s="4">
        <f t="shared" ref="X12:X13" si="2">+P12-T12</f>
        <v>-95833</v>
      </c>
      <c r="Y12" s="4"/>
      <c r="Z12" s="12">
        <f t="shared" ref="Z12:Z13" si="3">IF(T12=0,0,X12/T12)</f>
        <v>-0.23518108597595991</v>
      </c>
    </row>
    <row r="13" spans="1:26" s="24" customFormat="1" hidden="1" outlineLevel="1" x14ac:dyDescent="0.3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--22105</f>
        <v>22105</v>
      </c>
      <c r="E13" s="2"/>
      <c r="F13" s="19"/>
      <c r="G13" s="2"/>
      <c r="H13" s="2">
        <v>41475</v>
      </c>
      <c r="I13" s="2"/>
      <c r="J13" s="19"/>
      <c r="K13" s="2"/>
      <c r="L13" s="2">
        <f t="shared" si="0"/>
        <v>-19370</v>
      </c>
      <c r="M13" s="2"/>
      <c r="N13" s="19">
        <f t="shared" si="1"/>
        <v>-0.46702833031946955</v>
      </c>
      <c r="O13" s="11"/>
      <c r="P13" s="2">
        <f>--311653</f>
        <v>311653</v>
      </c>
      <c r="Q13" s="2"/>
      <c r="R13" s="19"/>
      <c r="S13" s="2"/>
      <c r="T13" s="2">
        <v>407486</v>
      </c>
      <c r="U13" s="2"/>
      <c r="V13" s="19"/>
      <c r="W13" s="2"/>
      <c r="X13" s="2">
        <f t="shared" si="2"/>
        <v>-95833</v>
      </c>
      <c r="Y13" s="2"/>
      <c r="Z13" s="19">
        <f t="shared" si="3"/>
        <v>-0.23518108597595991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3">
      <c r="A15" s="10"/>
      <c r="B15" s="25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6" t="s">
        <v>108</v>
      </c>
      <c r="C17" s="26"/>
      <c r="D17" s="21">
        <f>D12-D15</f>
        <v>22105</v>
      </c>
      <c r="E17" s="13"/>
      <c r="F17" s="22">
        <f>IF(D$12=0,0,D17/D$12)</f>
        <v>1</v>
      </c>
      <c r="G17" s="13"/>
      <c r="H17" s="21">
        <f>H12-H15</f>
        <v>41475</v>
      </c>
      <c r="I17" s="13"/>
      <c r="J17" s="22">
        <f>IF(H$12=0,0,H17/H$12)</f>
        <v>1</v>
      </c>
      <c r="K17" s="15"/>
      <c r="L17" s="21">
        <f>+D17-H17</f>
        <v>-19370</v>
      </c>
      <c r="M17" s="15"/>
      <c r="N17" s="22">
        <f>IF(H17=0,0,L17/H17)</f>
        <v>-0.46702833031946955</v>
      </c>
      <c r="O17" s="25"/>
      <c r="P17" s="21">
        <f>P12-P15</f>
        <v>311653</v>
      </c>
      <c r="Q17" s="13"/>
      <c r="R17" s="22">
        <f>IF(P$12=0,0,P17/P$12)</f>
        <v>1</v>
      </c>
      <c r="S17" s="13"/>
      <c r="T17" s="21">
        <f>T12-T15</f>
        <v>407486</v>
      </c>
      <c r="U17" s="13"/>
      <c r="V17" s="22">
        <f>IF(T$12=0,0,T17/T$12)</f>
        <v>1</v>
      </c>
      <c r="W17" s="15"/>
      <c r="X17" s="21">
        <f>+P17-T17</f>
        <v>-95833</v>
      </c>
      <c r="Y17" s="15"/>
      <c r="Z17" s="22">
        <f>IF(T17=0,0,X17/T17)</f>
        <v>-0.23518108597595991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5" t="s">
        <v>295</v>
      </c>
      <c r="C19" s="10"/>
      <c r="D19" s="20">
        <f>SUM(OSRRefD22x_0)</f>
        <v>23961.410000000003</v>
      </c>
      <c r="E19" s="20"/>
      <c r="F19" s="33">
        <f t="shared" ref="F19:F30" si="4">IF(D$12=0,0,D19/D$12)</f>
        <v>1.083981452160145</v>
      </c>
      <c r="G19" s="20"/>
      <c r="H19" s="20">
        <f>SUM(OSRRefH22x_0)</f>
        <v>39635.934401472121</v>
      </c>
      <c r="I19" s="20"/>
      <c r="J19" s="33">
        <f t="shared" ref="J19:J30" si="5">IF(H$12=0,0,H19/H$12)</f>
        <v>0.95565845452615117</v>
      </c>
      <c r="K19" s="4"/>
      <c r="L19" s="20">
        <f t="shared" ref="L19:L30" si="6">+D19-H19</f>
        <v>-15674.524401472117</v>
      </c>
      <c r="M19" s="4"/>
      <c r="N19" s="33">
        <f t="shared" ref="N19:N30" si="7">IF(H19=0,0,L19/H19)</f>
        <v>-0.39546246703067378</v>
      </c>
      <c r="O19" s="10"/>
      <c r="P19" s="20">
        <f>SUM(OSRRefP22x_0)</f>
        <v>283038.30999999994</v>
      </c>
      <c r="Q19" s="20"/>
      <c r="R19" s="33">
        <f t="shared" ref="R19:R30" si="8">IF(P$12=0,0,P19/P$12)</f>
        <v>0.90818413427754563</v>
      </c>
      <c r="S19" s="20"/>
      <c r="T19" s="20">
        <f>SUM(OSRRefT22x_0)</f>
        <v>382639.51246612711</v>
      </c>
      <c r="U19" s="20"/>
      <c r="V19" s="33">
        <f t="shared" ref="V19:V30" si="9">IF(T$12=0,0,T19/T$12)</f>
        <v>0.93902492960770945</v>
      </c>
      <c r="W19" s="4"/>
      <c r="X19" s="20">
        <f t="shared" ref="X19:X30" si="10">+P19-T19</f>
        <v>-99601.202466127172</v>
      </c>
      <c r="Y19" s="4"/>
      <c r="Z19" s="33">
        <f t="shared" ref="Z19:Z30" si="11">IF(T19=0,0,X19/T19)</f>
        <v>-0.26030035900943266</v>
      </c>
    </row>
    <row r="20" spans="1:26" s="28" customFormat="1" outlineLevel="1" collapsed="1" x14ac:dyDescent="0.3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4516.5</v>
      </c>
      <c r="E20" s="1"/>
      <c r="F20" s="5">
        <f t="shared" si="4"/>
        <v>0.20432028952725628</v>
      </c>
      <c r="G20" s="1"/>
      <c r="H20" s="1">
        <f>SUM(OSRRefH22_0x_0)</f>
        <v>3880.1365985875027</v>
      </c>
      <c r="I20" s="1"/>
      <c r="J20" s="5">
        <f t="shared" si="5"/>
        <v>9.3553625041290001E-2</v>
      </c>
      <c r="K20" s="1"/>
      <c r="L20" s="1">
        <f t="shared" si="6"/>
        <v>636.3634014124973</v>
      </c>
      <c r="M20" s="1"/>
      <c r="N20" s="5">
        <f t="shared" si="7"/>
        <v>0.1640054119857931</v>
      </c>
      <c r="O20" s="14"/>
      <c r="P20" s="1">
        <f>SUM(OSRRefP22_0x_0)</f>
        <v>28009.32</v>
      </c>
      <c r="Q20" s="1"/>
      <c r="R20" s="5">
        <f t="shared" si="8"/>
        <v>8.9873416909190665E-2</v>
      </c>
      <c r="S20" s="1"/>
      <c r="T20" s="1">
        <f>SUM(OSRRefT22_0x_0)</f>
        <v>27049.466088242512</v>
      </c>
      <c r="U20" s="1"/>
      <c r="V20" s="5">
        <f t="shared" si="9"/>
        <v>6.6381338471119281E-2</v>
      </c>
      <c r="W20" s="1"/>
      <c r="X20" s="1">
        <f t="shared" si="10"/>
        <v>959.85391175748737</v>
      </c>
      <c r="Y20" s="1"/>
      <c r="Z20" s="5">
        <f t="shared" si="11"/>
        <v>3.5485133371068768E-2</v>
      </c>
    </row>
    <row r="21" spans="1:26" s="24" customFormat="1" hidden="1" outlineLevel="2" x14ac:dyDescent="0.3">
      <c r="A21" s="27"/>
      <c r="B21" s="11" t="str">
        <f>CONCATENATE("          ", "6111", " - ", "F.I.C.A.")</f>
        <v xml:space="preserve">          6111 - F.I.C.A.</v>
      </c>
      <c r="C21" s="11"/>
      <c r="D21" s="7">
        <v>766.9</v>
      </c>
      <c r="E21" s="2"/>
      <c r="F21" s="6">
        <f t="shared" si="4"/>
        <v>3.4693508256050665E-2</v>
      </c>
      <c r="G21" s="2"/>
      <c r="H21" s="7">
        <v>801.54281984711599</v>
      </c>
      <c r="I21" s="2"/>
      <c r="J21" s="6">
        <f t="shared" si="5"/>
        <v>1.932592694025596E-2</v>
      </c>
      <c r="K21" s="2"/>
      <c r="L21" s="7">
        <f t="shared" si="6"/>
        <v>-34.642819847116016</v>
      </c>
      <c r="M21" s="2"/>
      <c r="N21" s="6">
        <f t="shared" si="7"/>
        <v>-4.3220173631801341E-2</v>
      </c>
      <c r="O21" s="11"/>
      <c r="P21" s="7">
        <v>7466.2</v>
      </c>
      <c r="Q21" s="2"/>
      <c r="R21" s="6">
        <f t="shared" si="8"/>
        <v>2.3956772436010562E-2</v>
      </c>
      <c r="S21" s="2"/>
      <c r="T21" s="7">
        <v>7166.1218900521199</v>
      </c>
      <c r="U21" s="2"/>
      <c r="V21" s="6">
        <f t="shared" si="9"/>
        <v>1.7586179378069725E-2</v>
      </c>
      <c r="W21" s="2"/>
      <c r="X21" s="7">
        <f t="shared" si="10"/>
        <v>300.07810994787997</v>
      </c>
      <c r="Y21" s="2"/>
      <c r="Z21" s="6">
        <f t="shared" si="11"/>
        <v>4.187454728678882E-2</v>
      </c>
    </row>
    <row r="22" spans="1:26" s="24" customFormat="1" hidden="1" outlineLevel="2" x14ac:dyDescent="0.3">
      <c r="A22" s="27"/>
      <c r="B22" s="11" t="str">
        <f>CONCATENATE("          ", "6112", " - ", "COMPENSATION INSURANCE")</f>
        <v xml:space="preserve">          6112 - COMPENSATION INSURANCE</v>
      </c>
      <c r="C22" s="11"/>
      <c r="D22" s="7">
        <v>130.47999999999999</v>
      </c>
      <c r="E22" s="2"/>
      <c r="F22" s="6">
        <f t="shared" si="4"/>
        <v>5.9027369373444915E-3</v>
      </c>
      <c r="G22" s="2"/>
      <c r="H22" s="7">
        <v>381.73319550000002</v>
      </c>
      <c r="I22" s="2"/>
      <c r="J22" s="6">
        <f t="shared" si="5"/>
        <v>9.2039347920434E-3</v>
      </c>
      <c r="K22" s="2"/>
      <c r="L22" s="7">
        <f t="shared" si="6"/>
        <v>-251.25319550000003</v>
      </c>
      <c r="M22" s="2"/>
      <c r="N22" s="6">
        <f t="shared" si="7"/>
        <v>-0.65819058562854282</v>
      </c>
      <c r="O22" s="11"/>
      <c r="P22" s="7">
        <v>1163.08</v>
      </c>
      <c r="Q22" s="2"/>
      <c r="R22" s="6">
        <f t="shared" si="8"/>
        <v>3.7319711345631195E-3</v>
      </c>
      <c r="S22" s="2"/>
      <c r="T22" s="7">
        <v>2359.5713721000002</v>
      </c>
      <c r="U22" s="2"/>
      <c r="V22" s="6">
        <f t="shared" si="9"/>
        <v>5.7905581347580046E-3</v>
      </c>
      <c r="W22" s="2"/>
      <c r="X22" s="7">
        <f t="shared" si="10"/>
        <v>-1196.4913721000003</v>
      </c>
      <c r="Y22" s="2"/>
      <c r="Z22" s="6">
        <f t="shared" si="11"/>
        <v>-0.50707996640725994</v>
      </c>
    </row>
    <row r="23" spans="1:26" s="24" customFormat="1" hidden="1" outlineLevel="2" x14ac:dyDescent="0.3">
      <c r="A23" s="27"/>
      <c r="B23" s="11" t="str">
        <f>CONCATENATE("          ", "6113", " - ", "GROUP INSURANCE")</f>
        <v xml:space="preserve">          6113 - GROUP INSURANCE</v>
      </c>
      <c r="C23" s="11"/>
      <c r="D23" s="7">
        <v>964.7</v>
      </c>
      <c r="E23" s="2"/>
      <c r="F23" s="6">
        <f t="shared" si="4"/>
        <v>4.364171002035739E-2</v>
      </c>
      <c r="G23" s="2"/>
      <c r="H23" s="7">
        <v>1022.5</v>
      </c>
      <c r="I23" s="2"/>
      <c r="J23" s="6">
        <f t="shared" si="5"/>
        <v>2.4653405666063895E-2</v>
      </c>
      <c r="K23" s="2"/>
      <c r="L23" s="7">
        <f t="shared" si="6"/>
        <v>-57.799999999999955</v>
      </c>
      <c r="M23" s="2"/>
      <c r="N23" s="6">
        <f t="shared" si="7"/>
        <v>-5.6528117359413162E-2</v>
      </c>
      <c r="O23" s="11"/>
      <c r="P23" s="7">
        <v>7290.8</v>
      </c>
      <c r="Q23" s="2"/>
      <c r="R23" s="6">
        <f t="shared" si="8"/>
        <v>2.339396700817897E-2</v>
      </c>
      <c r="S23" s="2"/>
      <c r="T23" s="7">
        <v>7157.5</v>
      </c>
      <c r="U23" s="2"/>
      <c r="V23" s="6">
        <f t="shared" si="9"/>
        <v>1.7565020638745869E-2</v>
      </c>
      <c r="W23" s="2"/>
      <c r="X23" s="7">
        <f t="shared" si="10"/>
        <v>133.30000000000018</v>
      </c>
      <c r="Y23" s="2"/>
      <c r="Z23" s="6">
        <f t="shared" si="11"/>
        <v>1.8623821166608479E-2</v>
      </c>
    </row>
    <row r="24" spans="1:26" s="24" customFormat="1" hidden="1" outlineLevel="2" x14ac:dyDescent="0.3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7">
        <v>25.77</v>
      </c>
      <c r="E24" s="2"/>
      <c r="F24" s="6">
        <f t="shared" si="4"/>
        <v>1.1657995928522958E-3</v>
      </c>
      <c r="G24" s="2"/>
      <c r="H24" s="7">
        <v>51.387160932692296</v>
      </c>
      <c r="I24" s="2"/>
      <c r="J24" s="6">
        <f t="shared" si="5"/>
        <v>1.2389912220058419E-3</v>
      </c>
      <c r="K24" s="2"/>
      <c r="L24" s="7">
        <f t="shared" si="6"/>
        <v>-25.617160932692297</v>
      </c>
      <c r="M24" s="2"/>
      <c r="N24" s="6">
        <f t="shared" si="7"/>
        <v>-0.49851286717797183</v>
      </c>
      <c r="O24" s="11"/>
      <c r="P24" s="7">
        <v>230.06</v>
      </c>
      <c r="Q24" s="2"/>
      <c r="R24" s="6">
        <f t="shared" si="8"/>
        <v>7.3819279775904614E-4</v>
      </c>
      <c r="S24" s="2"/>
      <c r="T24" s="7">
        <v>317.634607782692</v>
      </c>
      <c r="U24" s="2"/>
      <c r="V24" s="6">
        <f t="shared" si="9"/>
        <v>7.7949821044819207E-4</v>
      </c>
      <c r="W24" s="2"/>
      <c r="X24" s="7">
        <f t="shared" si="10"/>
        <v>-87.574607782691999</v>
      </c>
      <c r="Y24" s="2"/>
      <c r="Z24" s="6">
        <f t="shared" si="11"/>
        <v>-0.27570864646652637</v>
      </c>
    </row>
    <row r="25" spans="1:26" s="24" customFormat="1" hidden="1" outlineLevel="2" x14ac:dyDescent="0.3">
      <c r="A25" s="27"/>
      <c r="B25" s="11" t="str">
        <f>CONCATENATE("          ", "6115", " - ", "P.E.R.S.")</f>
        <v xml:space="preserve">          6115 - P.E.R.S.</v>
      </c>
      <c r="C25" s="11"/>
      <c r="D25" s="7">
        <v>610.04</v>
      </c>
      <c r="E25" s="2"/>
      <c r="F25" s="6">
        <f t="shared" si="4"/>
        <v>2.7597376159239989E-2</v>
      </c>
      <c r="G25" s="2"/>
      <c r="H25" s="7">
        <v>721.15959057692396</v>
      </c>
      <c r="I25" s="2"/>
      <c r="J25" s="6">
        <f t="shared" si="5"/>
        <v>1.738781411879262E-2</v>
      </c>
      <c r="K25" s="2"/>
      <c r="L25" s="7">
        <f t="shared" si="6"/>
        <v>-111.119590576924</v>
      </c>
      <c r="M25" s="2"/>
      <c r="N25" s="6">
        <f t="shared" si="7"/>
        <v>-0.15408460489033904</v>
      </c>
      <c r="O25" s="11"/>
      <c r="P25" s="7">
        <v>4469.7299999999996</v>
      </c>
      <c r="Q25" s="2"/>
      <c r="R25" s="6">
        <f t="shared" si="8"/>
        <v>1.434200858005538E-2</v>
      </c>
      <c r="S25" s="2"/>
      <c r="T25" s="7">
        <v>4471.1894615769297</v>
      </c>
      <c r="U25" s="2"/>
      <c r="V25" s="6">
        <f t="shared" si="9"/>
        <v>1.0972621050973358E-2</v>
      </c>
      <c r="W25" s="2"/>
      <c r="X25" s="7">
        <f t="shared" si="10"/>
        <v>-1.4594615769301527</v>
      </c>
      <c r="Y25" s="2"/>
      <c r="Z25" s="6">
        <f t="shared" si="11"/>
        <v>-3.2641461281656802E-4</v>
      </c>
    </row>
    <row r="26" spans="1:26" s="24" customFormat="1" hidden="1" outlineLevel="2" x14ac:dyDescent="0.3">
      <c r="A26" s="27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3">
      <c r="A27" s="27"/>
      <c r="B27" s="11" t="str">
        <f>CONCATENATE("          ", "6117", " - ", "RETIREMENT STAFF HOURLY")</f>
        <v xml:space="preserve">          6117 - RETIREMENT STAFF HOURLY</v>
      </c>
      <c r="C27" s="11"/>
      <c r="D27" s="7"/>
      <c r="E27" s="2"/>
      <c r="F27" s="6">
        <f t="shared" si="4"/>
        <v>0</v>
      </c>
      <c r="G27" s="2"/>
      <c r="H27" s="7"/>
      <c r="I27" s="2"/>
      <c r="J27" s="6">
        <f t="shared" si="5"/>
        <v>0</v>
      </c>
      <c r="K27" s="2"/>
      <c r="L27" s="7">
        <f t="shared" si="6"/>
        <v>0</v>
      </c>
      <c r="M27" s="2"/>
      <c r="N27" s="6">
        <f t="shared" si="7"/>
        <v>0</v>
      </c>
      <c r="O27" s="11"/>
      <c r="P27" s="7">
        <v>215.15</v>
      </c>
      <c r="Q27" s="2"/>
      <c r="R27" s="6">
        <f t="shared" si="8"/>
        <v>6.903511276965086E-4</v>
      </c>
      <c r="S27" s="2"/>
      <c r="T27" s="7"/>
      <c r="U27" s="2"/>
      <c r="V27" s="6">
        <f t="shared" si="9"/>
        <v>0</v>
      </c>
      <c r="W27" s="2"/>
      <c r="X27" s="7">
        <f t="shared" si="10"/>
        <v>215.15</v>
      </c>
      <c r="Y27" s="2"/>
      <c r="Z27" s="6">
        <f t="shared" si="11"/>
        <v>0</v>
      </c>
    </row>
    <row r="28" spans="1:26" s="24" customFormat="1" hidden="1" outlineLevel="2" x14ac:dyDescent="0.3">
      <c r="A28" s="27"/>
      <c r="B28" s="11" t="str">
        <f>CONCATENATE("          ", "6118", " - ", "VACATION")</f>
        <v xml:space="preserve">          6118 - VACATION</v>
      </c>
      <c r="C28" s="11"/>
      <c r="D28" s="7">
        <v>1087.24</v>
      </c>
      <c r="E28" s="2"/>
      <c r="F28" s="6">
        <f t="shared" si="4"/>
        <v>4.9185252205383397E-2</v>
      </c>
      <c r="G28" s="2"/>
      <c r="H28" s="7">
        <v>251.56729903846201</v>
      </c>
      <c r="I28" s="2"/>
      <c r="J28" s="6">
        <f t="shared" si="5"/>
        <v>6.065516553067197E-3</v>
      </c>
      <c r="K28" s="2"/>
      <c r="L28" s="7">
        <f t="shared" si="6"/>
        <v>835.672700961538</v>
      </c>
      <c r="M28" s="2"/>
      <c r="N28" s="6">
        <f t="shared" si="7"/>
        <v>3.3218653781935799</v>
      </c>
      <c r="O28" s="11"/>
      <c r="P28" s="7">
        <v>4131.6499999999996</v>
      </c>
      <c r="Q28" s="2"/>
      <c r="R28" s="6">
        <f t="shared" si="8"/>
        <v>1.3257212348348963E-2</v>
      </c>
      <c r="S28" s="2"/>
      <c r="T28" s="7">
        <v>1559.7172540384599</v>
      </c>
      <c r="U28" s="2"/>
      <c r="V28" s="6">
        <f t="shared" si="9"/>
        <v>3.8276585061534875E-3</v>
      </c>
      <c r="W28" s="2"/>
      <c r="X28" s="7">
        <f t="shared" si="10"/>
        <v>2571.9327459615397</v>
      </c>
      <c r="Y28" s="2"/>
      <c r="Z28" s="6">
        <f t="shared" si="11"/>
        <v>1.6489737093708654</v>
      </c>
    </row>
    <row r="29" spans="1:26" s="24" customFormat="1" hidden="1" outlineLevel="2" x14ac:dyDescent="0.3">
      <c r="A29" s="27"/>
      <c r="B29" s="11" t="str">
        <f>CONCATENATE("          ", "6119", " - ", "SICK LEAVE")</f>
        <v xml:space="preserve">          6119 - SICK LEAVE</v>
      </c>
      <c r="C29" s="11"/>
      <c r="D29" s="7">
        <v>857.62</v>
      </c>
      <c r="E29" s="2"/>
      <c r="F29" s="6">
        <f t="shared" si="4"/>
        <v>3.8797557113775166E-2</v>
      </c>
      <c r="G29" s="2"/>
      <c r="H29" s="7">
        <v>650.24653269230805</v>
      </c>
      <c r="I29" s="2"/>
      <c r="J29" s="6">
        <f t="shared" si="5"/>
        <v>1.5678035749061073E-2</v>
      </c>
      <c r="K29" s="2"/>
      <c r="L29" s="7">
        <f t="shared" si="6"/>
        <v>207.37346730769195</v>
      </c>
      <c r="M29" s="2"/>
      <c r="N29" s="6">
        <f t="shared" si="7"/>
        <v>0.31891514507439839</v>
      </c>
      <c r="O29" s="11"/>
      <c r="P29" s="7">
        <v>2613.9</v>
      </c>
      <c r="Q29" s="2"/>
      <c r="R29" s="6">
        <f t="shared" si="8"/>
        <v>8.3872127013056193E-3</v>
      </c>
      <c r="S29" s="2"/>
      <c r="T29" s="7">
        <v>4017.7315026923102</v>
      </c>
      <c r="U29" s="2"/>
      <c r="V29" s="6">
        <f t="shared" si="9"/>
        <v>9.8598025519706454E-3</v>
      </c>
      <c r="W29" s="2"/>
      <c r="X29" s="7">
        <f t="shared" si="10"/>
        <v>-1403.8315026923101</v>
      </c>
      <c r="Y29" s="2"/>
      <c r="Z29" s="6">
        <f t="shared" si="11"/>
        <v>-0.3494089890654945</v>
      </c>
    </row>
    <row r="30" spans="1:26" s="24" customFormat="1" hidden="1" outlineLevel="2" x14ac:dyDescent="0.3">
      <c r="A30" s="27"/>
      <c r="B30" s="11" t="str">
        <f>CONCATENATE("          ", "6156", " - ", "EMPLOYEE MEALS")</f>
        <v xml:space="preserve">          6156 - EMPLOYEE MEALS</v>
      </c>
      <c r="C30" s="11"/>
      <c r="D30" s="7">
        <v>73.75</v>
      </c>
      <c r="E30" s="2"/>
      <c r="F30" s="6">
        <f t="shared" si="4"/>
        <v>3.3363492422528842E-3</v>
      </c>
      <c r="G30" s="2"/>
      <c r="H30" s="7"/>
      <c r="I30" s="2"/>
      <c r="J30" s="6">
        <f t="shared" si="5"/>
        <v>0</v>
      </c>
      <c r="K30" s="2"/>
      <c r="L30" s="7">
        <f t="shared" si="6"/>
        <v>73.75</v>
      </c>
      <c r="M30" s="2"/>
      <c r="N30" s="6">
        <f t="shared" si="7"/>
        <v>0</v>
      </c>
      <c r="O30" s="11"/>
      <c r="P30" s="7">
        <v>428.75</v>
      </c>
      <c r="Q30" s="2"/>
      <c r="R30" s="6">
        <f t="shared" si="8"/>
        <v>1.3757287752724986E-3</v>
      </c>
      <c r="S30" s="2"/>
      <c r="T30" s="7"/>
      <c r="U30" s="2"/>
      <c r="V30" s="6">
        <f t="shared" si="9"/>
        <v>0</v>
      </c>
      <c r="W30" s="2"/>
      <c r="X30" s="7">
        <f t="shared" si="10"/>
        <v>428.75</v>
      </c>
      <c r="Y30" s="2"/>
      <c r="Z30" s="6">
        <f t="shared" si="11"/>
        <v>0</v>
      </c>
    </row>
    <row r="31" spans="1:26" s="28" customFormat="1" outlineLevel="1" collapsed="1" x14ac:dyDescent="0.3">
      <c r="A31" s="29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14348.74</v>
      </c>
      <c r="E31" s="1"/>
      <c r="F31" s="5">
        <f t="shared" ref="F31:F41" si="12">IF(D$12=0,0,D31/D$12)</f>
        <v>0.6491173942546935</v>
      </c>
      <c r="G31" s="1"/>
      <c r="H31" s="1">
        <f>SUM(OSRRefH22_1x_0)</f>
        <v>24050.797802884619</v>
      </c>
      <c r="I31" s="1"/>
      <c r="J31" s="5">
        <f t="shared" ref="J31:J41" si="13">IF(H$12=0,0,H31/H$12)</f>
        <v>0.57988662574767014</v>
      </c>
      <c r="K31" s="1"/>
      <c r="L31" s="1">
        <f t="shared" ref="L31:L41" si="14">+D31-H31</f>
        <v>-9702.0578028846194</v>
      </c>
      <c r="M31" s="1"/>
      <c r="N31" s="5">
        <f t="shared" ref="N31:N41" si="15">IF(H31=0,0,L31/H31)</f>
        <v>-0.40339858504489895</v>
      </c>
      <c r="O31" s="14"/>
      <c r="P31" s="1">
        <f>SUM(OSRRefP22_1x_0)</f>
        <v>103311.95</v>
      </c>
      <c r="Q31" s="1"/>
      <c r="R31" s="5">
        <f t="shared" ref="R31:R41" si="16">IF(P$12=0,0,P31/P$12)</f>
        <v>0.33149672873355945</v>
      </c>
      <c r="S31" s="1"/>
      <c r="T31" s="1">
        <f>SUM(OSRRefT22_1x_0)</f>
        <v>148655.0463778846</v>
      </c>
      <c r="U31" s="1"/>
      <c r="V31" s="5">
        <f t="shared" ref="V31:V41" si="17">IF(T$12=0,0,T31/T$12)</f>
        <v>0.36481019317935981</v>
      </c>
      <c r="W31" s="1"/>
      <c r="X31" s="1">
        <f t="shared" ref="X31:X41" si="18">+P31-T31</f>
        <v>-45343.096377884605</v>
      </c>
      <c r="Y31" s="1"/>
      <c r="Z31" s="5">
        <f t="shared" ref="Z31:Z41" si="19">IF(T31=0,0,X31/T31)</f>
        <v>-0.30502224769834851</v>
      </c>
    </row>
    <row r="32" spans="1:26" s="24" customFormat="1" hidden="1" outlineLevel="2" x14ac:dyDescent="0.3">
      <c r="A32" s="27"/>
      <c r="B32" s="11" t="str">
        <f>CONCATENATE("          ", "6001", " - ", "ADMINISTRATIVE SALARIES")</f>
        <v xml:space="preserve">          6001 - ADMINISTRATIVE SALARIES</v>
      </c>
      <c r="C32" s="11"/>
      <c r="D32" s="7">
        <v>5356.44</v>
      </c>
      <c r="E32" s="2"/>
      <c r="F32" s="6">
        <f t="shared" si="12"/>
        <v>0.24231802759556659</v>
      </c>
      <c r="G32" s="2"/>
      <c r="H32" s="7">
        <v>5174.7596153846198</v>
      </c>
      <c r="I32" s="2"/>
      <c r="J32" s="6">
        <f t="shared" si="13"/>
        <v>0.12476816432512645</v>
      </c>
      <c r="K32" s="2"/>
      <c r="L32" s="7">
        <f t="shared" si="14"/>
        <v>181.68038461537981</v>
      </c>
      <c r="M32" s="2"/>
      <c r="N32" s="6">
        <f t="shared" si="15"/>
        <v>3.5108951549216304E-2</v>
      </c>
      <c r="O32" s="11"/>
      <c r="P32" s="7">
        <v>33691.230000000003</v>
      </c>
      <c r="Q32" s="2"/>
      <c r="R32" s="6">
        <f t="shared" si="16"/>
        <v>0.10810494363923981</v>
      </c>
      <c r="S32" s="2"/>
      <c r="T32" s="7">
        <v>32083.509615384599</v>
      </c>
      <c r="U32" s="2"/>
      <c r="V32" s="6">
        <f t="shared" si="17"/>
        <v>7.8735243947975139E-2</v>
      </c>
      <c r="W32" s="2"/>
      <c r="X32" s="7">
        <f t="shared" si="18"/>
        <v>1607.7203846154043</v>
      </c>
      <c r="Y32" s="2"/>
      <c r="Z32" s="6">
        <f t="shared" si="19"/>
        <v>5.0110489902403771E-2</v>
      </c>
    </row>
    <row r="33" spans="1:26" s="24" customFormat="1" hidden="1" outlineLevel="2" x14ac:dyDescent="0.3">
      <c r="A33" s="27"/>
      <c r="B33" s="11" t="str">
        <f>CONCATENATE("          ", "6002", " - ", "STAFF SALARIES")</f>
        <v xml:space="preserve">          6002 - STAFF SALARIES</v>
      </c>
      <c r="C33" s="11"/>
      <c r="D33" s="7">
        <v>1700</v>
      </c>
      <c r="E33" s="2"/>
      <c r="F33" s="6">
        <f t="shared" si="12"/>
        <v>7.6905677448541057E-2</v>
      </c>
      <c r="G33" s="2"/>
      <c r="H33" s="7">
        <v>2791.5381874999998</v>
      </c>
      <c r="I33" s="2"/>
      <c r="J33" s="6">
        <f t="shared" si="13"/>
        <v>6.7306526522001198E-2</v>
      </c>
      <c r="K33" s="2"/>
      <c r="L33" s="7">
        <f t="shared" si="14"/>
        <v>-1091.5381874999998</v>
      </c>
      <c r="M33" s="2"/>
      <c r="N33" s="6">
        <f t="shared" si="15"/>
        <v>-0.39101674925591534</v>
      </c>
      <c r="O33" s="11"/>
      <c r="P33" s="7">
        <v>13252.57</v>
      </c>
      <c r="Q33" s="2"/>
      <c r="R33" s="6">
        <f t="shared" si="16"/>
        <v>4.2523479639214122E-2</v>
      </c>
      <c r="S33" s="2"/>
      <c r="T33" s="7">
        <v>17307.5367625</v>
      </c>
      <c r="U33" s="2"/>
      <c r="V33" s="6">
        <f t="shared" si="17"/>
        <v>4.2473942080218707E-2</v>
      </c>
      <c r="W33" s="2"/>
      <c r="X33" s="7">
        <f t="shared" si="18"/>
        <v>-4054.9667625000002</v>
      </c>
      <c r="Y33" s="2"/>
      <c r="Z33" s="6">
        <f t="shared" si="19"/>
        <v>-0.23428907406892474</v>
      </c>
    </row>
    <row r="34" spans="1:26" s="24" customFormat="1" hidden="1" outlineLevel="2" x14ac:dyDescent="0.3">
      <c r="A34" s="27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3">
      <c r="A35" s="27"/>
      <c r="B35" s="11" t="str">
        <f>CONCATENATE("          ", "6004", " - ", "STAFF HOURLY")</f>
        <v xml:space="preserve">          6004 - STAFF HOURLY</v>
      </c>
      <c r="C35" s="11"/>
      <c r="D35" s="7">
        <v>858.52</v>
      </c>
      <c r="E35" s="2"/>
      <c r="F35" s="6">
        <f t="shared" si="12"/>
        <v>3.8838271884189098E-2</v>
      </c>
      <c r="G35" s="2"/>
      <c r="H35" s="7">
        <v>2088</v>
      </c>
      <c r="I35" s="2"/>
      <c r="J35" s="6">
        <f t="shared" si="13"/>
        <v>5.0343580470162748E-2</v>
      </c>
      <c r="K35" s="2"/>
      <c r="L35" s="7">
        <f t="shared" si="14"/>
        <v>-1229.48</v>
      </c>
      <c r="M35" s="2"/>
      <c r="N35" s="6">
        <f t="shared" si="15"/>
        <v>-0.58883141762452107</v>
      </c>
      <c r="O35" s="11"/>
      <c r="P35" s="7">
        <v>9010.9</v>
      </c>
      <c r="Q35" s="2"/>
      <c r="R35" s="6">
        <f t="shared" si="16"/>
        <v>2.8913246463213894E-2</v>
      </c>
      <c r="S35" s="2"/>
      <c r="T35" s="7">
        <v>15660</v>
      </c>
      <c r="U35" s="2"/>
      <c r="V35" s="6">
        <f t="shared" si="17"/>
        <v>3.8430768173630503E-2</v>
      </c>
      <c r="W35" s="2"/>
      <c r="X35" s="7">
        <f t="shared" si="18"/>
        <v>-6649.1</v>
      </c>
      <c r="Y35" s="2"/>
      <c r="Z35" s="6">
        <f t="shared" si="19"/>
        <v>-0.42459131545338447</v>
      </c>
    </row>
    <row r="36" spans="1:26" s="24" customFormat="1" hidden="1" outlineLevel="2" x14ac:dyDescent="0.3">
      <c r="A36" s="27"/>
      <c r="B36" s="11" t="str">
        <f>CONCATENATE("          ", "6005", " - ", "TEMPORARY WAGES-HOURLY")</f>
        <v xml:space="preserve">          6005 - TEMPORARY WAGES-HOURLY</v>
      </c>
      <c r="C36" s="11"/>
      <c r="D36" s="7">
        <v>3237.63</v>
      </c>
      <c r="E36" s="2"/>
      <c r="F36" s="6">
        <f t="shared" si="12"/>
        <v>0.14646595792807057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3237.63</v>
      </c>
      <c r="M36" s="2"/>
      <c r="N36" s="6">
        <f t="shared" si="15"/>
        <v>0</v>
      </c>
      <c r="O36" s="11"/>
      <c r="P36" s="7">
        <v>40265.300000000003</v>
      </c>
      <c r="Q36" s="2"/>
      <c r="R36" s="6">
        <f t="shared" si="16"/>
        <v>0.12919914135272242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40265.300000000003</v>
      </c>
      <c r="Y36" s="2"/>
      <c r="Z36" s="6">
        <f t="shared" si="19"/>
        <v>0</v>
      </c>
    </row>
    <row r="37" spans="1:26" s="24" customFormat="1" hidden="1" outlineLevel="2" x14ac:dyDescent="0.3">
      <c r="A37" s="27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12"/>
        <v>0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0</v>
      </c>
      <c r="M37" s="2"/>
      <c r="N37" s="6">
        <f t="shared" si="15"/>
        <v>0</v>
      </c>
      <c r="O37" s="11"/>
      <c r="P37" s="7"/>
      <c r="Q37" s="2"/>
      <c r="R37" s="6">
        <f t="shared" si="16"/>
        <v>0</v>
      </c>
      <c r="S37" s="2"/>
      <c r="T37" s="7">
        <v>0</v>
      </c>
      <c r="U37" s="2"/>
      <c r="V37" s="6">
        <f t="shared" si="17"/>
        <v>0</v>
      </c>
      <c r="W37" s="2"/>
      <c r="X37" s="7">
        <f t="shared" si="18"/>
        <v>0</v>
      </c>
      <c r="Y37" s="2"/>
      <c r="Z37" s="6">
        <f t="shared" si="19"/>
        <v>0</v>
      </c>
    </row>
    <row r="38" spans="1:26" s="24" customFormat="1" hidden="1" outlineLevel="2" x14ac:dyDescent="0.3">
      <c r="A38" s="27"/>
      <c r="B38" s="11" t="str">
        <f>CONCATENATE("          ", "6007", " - ", "STUDENT HOURLY")</f>
        <v xml:space="preserve">          6007 - STUDENT HOURLY</v>
      </c>
      <c r="C38" s="11"/>
      <c r="D38" s="7">
        <v>3196.15</v>
      </c>
      <c r="E38" s="2"/>
      <c r="F38" s="6">
        <f t="shared" si="12"/>
        <v>0.14458945939832618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3196.15</v>
      </c>
      <c r="M38" s="2"/>
      <c r="N38" s="6">
        <f t="shared" si="15"/>
        <v>0</v>
      </c>
      <c r="O38" s="11"/>
      <c r="P38" s="7">
        <v>6927.73</v>
      </c>
      <c r="Q38" s="2"/>
      <c r="R38" s="6">
        <f t="shared" si="16"/>
        <v>2.2228985442142381E-2</v>
      </c>
      <c r="S38" s="2"/>
      <c r="T38" s="7">
        <v>25987.5</v>
      </c>
      <c r="U38" s="2"/>
      <c r="V38" s="6">
        <f t="shared" si="17"/>
        <v>6.3775197184688548E-2</v>
      </c>
      <c r="W38" s="2"/>
      <c r="X38" s="7">
        <f t="shared" si="18"/>
        <v>-19059.77</v>
      </c>
      <c r="Y38" s="2"/>
      <c r="Z38" s="6">
        <f t="shared" si="19"/>
        <v>-0.73342068302068308</v>
      </c>
    </row>
    <row r="39" spans="1:26" s="24" customFormat="1" hidden="1" outlineLevel="2" x14ac:dyDescent="0.3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7"/>
      <c r="E39" s="2"/>
      <c r="F39" s="6">
        <f t="shared" si="12"/>
        <v>0</v>
      </c>
      <c r="G39" s="2"/>
      <c r="H39" s="7">
        <v>13996.5</v>
      </c>
      <c r="I39" s="2"/>
      <c r="J39" s="6">
        <f t="shared" si="13"/>
        <v>0.33746835443037976</v>
      </c>
      <c r="K39" s="2"/>
      <c r="L39" s="7">
        <f t="shared" si="14"/>
        <v>-13996.5</v>
      </c>
      <c r="M39" s="2"/>
      <c r="N39" s="6">
        <f t="shared" si="15"/>
        <v>-1</v>
      </c>
      <c r="O39" s="11"/>
      <c r="P39" s="7">
        <v>164.22</v>
      </c>
      <c r="Q39" s="2"/>
      <c r="R39" s="6">
        <f t="shared" si="16"/>
        <v>5.2693219702682154E-4</v>
      </c>
      <c r="S39" s="2"/>
      <c r="T39" s="7">
        <v>57616.5</v>
      </c>
      <c r="U39" s="2"/>
      <c r="V39" s="6">
        <f t="shared" si="17"/>
        <v>0.14139504179284687</v>
      </c>
      <c r="W39" s="2"/>
      <c r="X39" s="7">
        <f t="shared" si="18"/>
        <v>-57452.28</v>
      </c>
      <c r="Y39" s="2"/>
      <c r="Z39" s="6">
        <f t="shared" si="19"/>
        <v>-0.9971497748040925</v>
      </c>
    </row>
    <row r="40" spans="1:26" s="24" customFormat="1" hidden="1" outlineLevel="2" x14ac:dyDescent="0.3">
      <c r="A40" s="27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3">
      <c r="A41" s="27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12"/>
        <v>0</v>
      </c>
      <c r="G41" s="2"/>
      <c r="H41" s="7">
        <v>0</v>
      </c>
      <c r="I41" s="2"/>
      <c r="J41" s="6">
        <f t="shared" si="13"/>
        <v>0</v>
      </c>
      <c r="K41" s="2"/>
      <c r="L41" s="7">
        <f t="shared" si="14"/>
        <v>0</v>
      </c>
      <c r="M41" s="2"/>
      <c r="N41" s="6">
        <f t="shared" si="15"/>
        <v>0</v>
      </c>
      <c r="O41" s="11"/>
      <c r="P41" s="7"/>
      <c r="Q41" s="2"/>
      <c r="R41" s="6">
        <f t="shared" si="16"/>
        <v>0</v>
      </c>
      <c r="S41" s="2"/>
      <c r="T41" s="7">
        <v>0</v>
      </c>
      <c r="U41" s="2"/>
      <c r="V41" s="6">
        <f t="shared" si="17"/>
        <v>0</v>
      </c>
      <c r="W41" s="2"/>
      <c r="X41" s="7">
        <f t="shared" si="18"/>
        <v>0</v>
      </c>
      <c r="Y41" s="2"/>
      <c r="Z41" s="6">
        <f t="shared" si="19"/>
        <v>0</v>
      </c>
    </row>
    <row r="42" spans="1:26" s="28" customFormat="1" outlineLevel="1" collapsed="1" x14ac:dyDescent="0.3">
      <c r="A42" s="29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50" si="20">IF(D$12=0,0,D42/D$12)</f>
        <v>0</v>
      </c>
      <c r="G42" s="1"/>
      <c r="H42" s="1">
        <f>SUM(OSRRefH22_2x_0)</f>
        <v>100</v>
      </c>
      <c r="I42" s="1"/>
      <c r="J42" s="5">
        <f t="shared" ref="J42:J50" si="21">IF(H$12=0,0,H42/H$12)</f>
        <v>2.4110910186859553E-3</v>
      </c>
      <c r="K42" s="1"/>
      <c r="L42" s="1">
        <f t="shared" ref="L42:L50" si="22">+D42-H42</f>
        <v>-100</v>
      </c>
      <c r="M42" s="1"/>
      <c r="N42" s="5">
        <f t="shared" ref="N42:N50" si="23">IF(H42=0,0,L42/H42)</f>
        <v>-1</v>
      </c>
      <c r="O42" s="14"/>
      <c r="P42" s="1">
        <f>SUM(OSRRefP22_2x_0)</f>
        <v>112.46</v>
      </c>
      <c r="Q42" s="1"/>
      <c r="R42" s="5">
        <f t="shared" ref="R42:R50" si="24">IF(P$12=0,0,P42/P$12)</f>
        <v>3.6085004797001789E-4</v>
      </c>
      <c r="S42" s="1"/>
      <c r="T42" s="1">
        <f>SUM(OSRRefT22_2x_0)</f>
        <v>700</v>
      </c>
      <c r="U42" s="1"/>
      <c r="V42" s="5">
        <f t="shared" ref="V42:V50" si="25">IF(T$12=0,0,T42/T$12)</f>
        <v>1.7178504292172001E-3</v>
      </c>
      <c r="W42" s="1"/>
      <c r="X42" s="1">
        <f t="shared" ref="X42:X50" si="26">+P42-T42</f>
        <v>-587.54</v>
      </c>
      <c r="Y42" s="1"/>
      <c r="Z42" s="5">
        <f t="shared" ref="Z42:Z50" si="27">IF(T42=0,0,X42/T42)</f>
        <v>-0.83934285714285706</v>
      </c>
    </row>
    <row r="43" spans="1:26" s="24" customFormat="1" hidden="1" outlineLevel="2" x14ac:dyDescent="0.3">
      <c r="A43" s="27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20"/>
        <v>0</v>
      </c>
      <c r="G43" s="2"/>
      <c r="H43" s="7">
        <v>100</v>
      </c>
      <c r="I43" s="2"/>
      <c r="J43" s="6">
        <f t="shared" si="21"/>
        <v>2.4110910186859553E-3</v>
      </c>
      <c r="K43" s="2"/>
      <c r="L43" s="7">
        <f t="shared" si="22"/>
        <v>-100</v>
      </c>
      <c r="M43" s="2"/>
      <c r="N43" s="6">
        <f t="shared" si="23"/>
        <v>-1</v>
      </c>
      <c r="O43" s="11"/>
      <c r="P43" s="7">
        <v>112.46</v>
      </c>
      <c r="Q43" s="2"/>
      <c r="R43" s="6">
        <f t="shared" si="24"/>
        <v>3.6085004797001789E-4</v>
      </c>
      <c r="S43" s="2"/>
      <c r="T43" s="7">
        <v>700</v>
      </c>
      <c r="U43" s="2"/>
      <c r="V43" s="6">
        <f t="shared" si="25"/>
        <v>1.7178504292172001E-3</v>
      </c>
      <c r="W43" s="2"/>
      <c r="X43" s="7">
        <f t="shared" si="26"/>
        <v>-587.54</v>
      </c>
      <c r="Y43" s="2"/>
      <c r="Z43" s="6">
        <f t="shared" si="27"/>
        <v>-0.83934285714285706</v>
      </c>
    </row>
    <row r="44" spans="1:26" s="28" customFormat="1" outlineLevel="1" collapsed="1" x14ac:dyDescent="0.3">
      <c r="A44" s="29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89.97</v>
      </c>
      <c r="E44" s="1"/>
      <c r="F44" s="5">
        <f t="shared" si="20"/>
        <v>4.0701198823795519E-3</v>
      </c>
      <c r="G44" s="1"/>
      <c r="H44" s="1">
        <f>SUM(OSRRefH22_3x_0)</f>
        <v>1250</v>
      </c>
      <c r="I44" s="1"/>
      <c r="J44" s="5">
        <f t="shared" si="21"/>
        <v>3.0138637733574444E-2</v>
      </c>
      <c r="K44" s="1"/>
      <c r="L44" s="1">
        <f t="shared" si="22"/>
        <v>-1160.03</v>
      </c>
      <c r="M44" s="1"/>
      <c r="N44" s="5">
        <f t="shared" si="23"/>
        <v>-0.92802399999999996</v>
      </c>
      <c r="O44" s="14"/>
      <c r="P44" s="1">
        <f>SUM(OSRRefP22_3x_0)</f>
        <v>1900.47</v>
      </c>
      <c r="Q44" s="1"/>
      <c r="R44" s="5">
        <f t="shared" si="24"/>
        <v>6.0980321062207004E-3</v>
      </c>
      <c r="S44" s="1"/>
      <c r="T44" s="1">
        <f>SUM(OSRRefT22_3x_0)</f>
        <v>8750</v>
      </c>
      <c r="U44" s="1"/>
      <c r="V44" s="5">
        <f t="shared" si="25"/>
        <v>2.1473130365215001E-2</v>
      </c>
      <c r="W44" s="1"/>
      <c r="X44" s="1">
        <f t="shared" si="26"/>
        <v>-6849.53</v>
      </c>
      <c r="Y44" s="1"/>
      <c r="Z44" s="5">
        <f t="shared" si="27"/>
        <v>-0.78280342857142859</v>
      </c>
    </row>
    <row r="45" spans="1:26" s="24" customFormat="1" hidden="1" outlineLevel="2" x14ac:dyDescent="0.3">
      <c r="A45" s="27"/>
      <c r="B45" s="11" t="str">
        <f>CONCATENATE("          ", "6381", " - ", "BANK/CREDIT CARD FEES")</f>
        <v xml:space="preserve">          6381 - BANK/CREDIT CARD FEES</v>
      </c>
      <c r="C45" s="11"/>
      <c r="D45" s="7">
        <v>89.97</v>
      </c>
      <c r="E45" s="2"/>
      <c r="F45" s="6">
        <f t="shared" si="20"/>
        <v>4.0701198823795519E-3</v>
      </c>
      <c r="G45" s="2"/>
      <c r="H45" s="7">
        <v>1250</v>
      </c>
      <c r="I45" s="2"/>
      <c r="J45" s="6">
        <f t="shared" si="21"/>
        <v>3.0138637733574444E-2</v>
      </c>
      <c r="K45" s="2"/>
      <c r="L45" s="7">
        <f t="shared" si="22"/>
        <v>-1160.03</v>
      </c>
      <c r="M45" s="2"/>
      <c r="N45" s="6">
        <f t="shared" si="23"/>
        <v>-0.92802399999999996</v>
      </c>
      <c r="O45" s="11"/>
      <c r="P45" s="7">
        <v>1900.47</v>
      </c>
      <c r="Q45" s="2"/>
      <c r="R45" s="6">
        <f t="shared" si="24"/>
        <v>6.0980321062207004E-3</v>
      </c>
      <c r="S45" s="2"/>
      <c r="T45" s="7">
        <v>8750</v>
      </c>
      <c r="U45" s="2"/>
      <c r="V45" s="6">
        <f t="shared" si="25"/>
        <v>2.1473130365215001E-2</v>
      </c>
      <c r="W45" s="2"/>
      <c r="X45" s="7">
        <f t="shared" si="26"/>
        <v>-6849.53</v>
      </c>
      <c r="Y45" s="2"/>
      <c r="Z45" s="6">
        <f t="shared" si="27"/>
        <v>-0.78280342857142859</v>
      </c>
    </row>
    <row r="46" spans="1:26" s="28" customFormat="1" outlineLevel="1" collapsed="1" x14ac:dyDescent="0.3">
      <c r="A46" s="29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SUM(OSRRefD22_4x_0)</f>
        <v>0</v>
      </c>
      <c r="E46" s="1"/>
      <c r="F46" s="5">
        <f t="shared" si="20"/>
        <v>0</v>
      </c>
      <c r="G46" s="1"/>
      <c r="H46" s="1">
        <f>SUM(OSRRefH22_4x_0)</f>
        <v>20</v>
      </c>
      <c r="I46" s="1"/>
      <c r="J46" s="5">
        <f t="shared" si="21"/>
        <v>4.822182037371911E-4</v>
      </c>
      <c r="K46" s="1"/>
      <c r="L46" s="1">
        <f t="shared" si="22"/>
        <v>-20</v>
      </c>
      <c r="M46" s="1"/>
      <c r="N46" s="5">
        <f t="shared" si="23"/>
        <v>-1</v>
      </c>
      <c r="O46" s="14"/>
      <c r="P46" s="1">
        <f>SUM(OSRRefP22_4x_0)</f>
        <v>0</v>
      </c>
      <c r="Q46" s="1"/>
      <c r="R46" s="5">
        <f t="shared" si="24"/>
        <v>0</v>
      </c>
      <c r="S46" s="1"/>
      <c r="T46" s="1">
        <f>SUM(OSRRefT22_4x_0)</f>
        <v>140</v>
      </c>
      <c r="U46" s="1"/>
      <c r="V46" s="5">
        <f t="shared" si="25"/>
        <v>3.4357008584344001E-4</v>
      </c>
      <c r="W46" s="1"/>
      <c r="X46" s="1">
        <f t="shared" si="26"/>
        <v>-140</v>
      </c>
      <c r="Y46" s="1"/>
      <c r="Z46" s="5">
        <f t="shared" si="27"/>
        <v>-1</v>
      </c>
    </row>
    <row r="47" spans="1:26" s="24" customFormat="1" hidden="1" outlineLevel="2" x14ac:dyDescent="0.3">
      <c r="A47" s="27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20"/>
        <v>0</v>
      </c>
      <c r="G47" s="2"/>
      <c r="H47" s="7">
        <v>20</v>
      </c>
      <c r="I47" s="2"/>
      <c r="J47" s="6">
        <f t="shared" si="21"/>
        <v>4.822182037371911E-4</v>
      </c>
      <c r="K47" s="2"/>
      <c r="L47" s="7">
        <f t="shared" si="22"/>
        <v>-20</v>
      </c>
      <c r="M47" s="2"/>
      <c r="N47" s="6">
        <f t="shared" si="23"/>
        <v>-1</v>
      </c>
      <c r="O47" s="11"/>
      <c r="P47" s="7"/>
      <c r="Q47" s="2"/>
      <c r="R47" s="6">
        <f t="shared" si="24"/>
        <v>0</v>
      </c>
      <c r="S47" s="2"/>
      <c r="T47" s="7">
        <v>140</v>
      </c>
      <c r="U47" s="2"/>
      <c r="V47" s="6">
        <f t="shared" si="25"/>
        <v>3.4357008584344001E-4</v>
      </c>
      <c r="W47" s="2"/>
      <c r="X47" s="7">
        <f t="shared" si="26"/>
        <v>-140</v>
      </c>
      <c r="Y47" s="2"/>
      <c r="Z47" s="6">
        <f t="shared" si="27"/>
        <v>-1</v>
      </c>
    </row>
    <row r="48" spans="1:26" s="28" customFormat="1" outlineLevel="1" collapsed="1" x14ac:dyDescent="0.3">
      <c r="A48" s="29"/>
      <c r="B48" s="14" t="str">
        <f>CONCATENATE("     ","Freight out/Postage                               ")</f>
        <v xml:space="preserve">     Freight out/Postage                               </v>
      </c>
      <c r="C48" s="14"/>
      <c r="D48" s="1">
        <f>SUM(OSRRefD22_5x_0)</f>
        <v>0</v>
      </c>
      <c r="E48" s="1"/>
      <c r="F48" s="5">
        <f t="shared" si="20"/>
        <v>0</v>
      </c>
      <c r="G48" s="1"/>
      <c r="H48" s="1">
        <f>SUM(OSRRefH22_5x_0)</f>
        <v>10</v>
      </c>
      <c r="I48" s="1"/>
      <c r="J48" s="5">
        <f t="shared" si="21"/>
        <v>2.4110910186859555E-4</v>
      </c>
      <c r="K48" s="1"/>
      <c r="L48" s="1">
        <f t="shared" si="22"/>
        <v>-10</v>
      </c>
      <c r="M48" s="1"/>
      <c r="N48" s="5">
        <f t="shared" si="23"/>
        <v>-1</v>
      </c>
      <c r="O48" s="14"/>
      <c r="P48" s="1">
        <f>SUM(OSRRefP22_5x_0)</f>
        <v>0.62</v>
      </c>
      <c r="Q48" s="1"/>
      <c r="R48" s="5">
        <f t="shared" si="24"/>
        <v>1.9893920482074616E-6</v>
      </c>
      <c r="S48" s="1"/>
      <c r="T48" s="1">
        <f>SUM(OSRRefT22_5x_0)</f>
        <v>70</v>
      </c>
      <c r="U48" s="1"/>
      <c r="V48" s="5">
        <f t="shared" si="25"/>
        <v>1.7178504292172001E-4</v>
      </c>
      <c r="W48" s="1"/>
      <c r="X48" s="1">
        <f t="shared" si="26"/>
        <v>-69.38</v>
      </c>
      <c r="Y48" s="1"/>
      <c r="Z48" s="5">
        <f t="shared" si="27"/>
        <v>-0.9911428571428571</v>
      </c>
    </row>
    <row r="49" spans="1:26" s="24" customFormat="1" hidden="1" outlineLevel="2" x14ac:dyDescent="0.3">
      <c r="A49" s="27"/>
      <c r="B49" s="11" t="str">
        <f>CONCATENATE("          ", "6305", " - ", "FREIGHT OUT")</f>
        <v xml:space="preserve">          6305 - FREIGHT OUT</v>
      </c>
      <c r="C49" s="11"/>
      <c r="D49" s="7"/>
      <c r="E49" s="2"/>
      <c r="F49" s="6">
        <f t="shared" si="20"/>
        <v>0</v>
      </c>
      <c r="G49" s="2"/>
      <c r="H49" s="7"/>
      <c r="I49" s="2"/>
      <c r="J49" s="6">
        <f t="shared" si="21"/>
        <v>0</v>
      </c>
      <c r="K49" s="2"/>
      <c r="L49" s="7">
        <f t="shared" si="22"/>
        <v>0</v>
      </c>
      <c r="M49" s="2"/>
      <c r="N49" s="6">
        <f t="shared" si="23"/>
        <v>0</v>
      </c>
      <c r="O49" s="11"/>
      <c r="P49" s="7">
        <v>0.62</v>
      </c>
      <c r="Q49" s="2"/>
      <c r="R49" s="6">
        <f t="shared" si="24"/>
        <v>1.9893920482074616E-6</v>
      </c>
      <c r="S49" s="2"/>
      <c r="T49" s="7"/>
      <c r="U49" s="2"/>
      <c r="V49" s="6">
        <f t="shared" si="25"/>
        <v>0</v>
      </c>
      <c r="W49" s="2"/>
      <c r="X49" s="7">
        <f t="shared" si="26"/>
        <v>0.62</v>
      </c>
      <c r="Y49" s="2"/>
      <c r="Z49" s="6">
        <f t="shared" si="27"/>
        <v>0</v>
      </c>
    </row>
    <row r="50" spans="1:26" s="24" customFormat="1" hidden="1" outlineLevel="2" x14ac:dyDescent="0.3">
      <c r="A50" s="27"/>
      <c r="B50" s="11" t="str">
        <f>CONCATENATE("          ", "6307", " - ", "POSTAGE")</f>
        <v xml:space="preserve">          6307 - POSTAGE</v>
      </c>
      <c r="C50" s="11"/>
      <c r="D50" s="7"/>
      <c r="E50" s="2"/>
      <c r="F50" s="6">
        <f t="shared" si="20"/>
        <v>0</v>
      </c>
      <c r="G50" s="2"/>
      <c r="H50" s="7">
        <v>10</v>
      </c>
      <c r="I50" s="2"/>
      <c r="J50" s="6">
        <f t="shared" si="21"/>
        <v>2.4110910186859555E-4</v>
      </c>
      <c r="K50" s="2"/>
      <c r="L50" s="7">
        <f t="shared" si="22"/>
        <v>-10</v>
      </c>
      <c r="M50" s="2"/>
      <c r="N50" s="6">
        <f t="shared" si="23"/>
        <v>-1</v>
      </c>
      <c r="O50" s="11"/>
      <c r="P50" s="7"/>
      <c r="Q50" s="2"/>
      <c r="R50" s="6">
        <f t="shared" si="24"/>
        <v>0</v>
      </c>
      <c r="S50" s="2"/>
      <c r="T50" s="7">
        <v>70</v>
      </c>
      <c r="U50" s="2"/>
      <c r="V50" s="6">
        <f t="shared" si="25"/>
        <v>1.7178504292172001E-4</v>
      </c>
      <c r="W50" s="2"/>
      <c r="X50" s="7">
        <f t="shared" si="26"/>
        <v>-70</v>
      </c>
      <c r="Y50" s="2"/>
      <c r="Z50" s="6">
        <f t="shared" si="27"/>
        <v>-1</v>
      </c>
    </row>
    <row r="51" spans="1:26" s="28" customFormat="1" outlineLevel="1" collapsed="1" x14ac:dyDescent="0.3">
      <c r="A51" s="29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SUM(OSRRefD22_6x_0)</f>
        <v>0</v>
      </c>
      <c r="E51" s="1"/>
      <c r="F51" s="5">
        <f t="shared" ref="F51:F60" si="28">IF(D$12=0,0,D51/D$12)</f>
        <v>0</v>
      </c>
      <c r="G51" s="1"/>
      <c r="H51" s="1">
        <f>SUM(OSRRefH22_6x_0)</f>
        <v>50</v>
      </c>
      <c r="I51" s="1"/>
      <c r="J51" s="5">
        <f t="shared" ref="J51:J60" si="29">IF(H$12=0,0,H51/H$12)</f>
        <v>1.2055455093429777E-3</v>
      </c>
      <c r="K51" s="1"/>
      <c r="L51" s="1">
        <f t="shared" ref="L51:L60" si="30">+D51-H51</f>
        <v>-50</v>
      </c>
      <c r="M51" s="1"/>
      <c r="N51" s="5">
        <f t="shared" ref="N51:N60" si="31">IF(H51=0,0,L51/H51)</f>
        <v>-1</v>
      </c>
      <c r="O51" s="14"/>
      <c r="P51" s="1">
        <f>SUM(OSRRefP22_6x_0)</f>
        <v>0</v>
      </c>
      <c r="Q51" s="1"/>
      <c r="R51" s="5">
        <f t="shared" ref="R51:R60" si="32">IF(P$12=0,0,P51/P$12)</f>
        <v>0</v>
      </c>
      <c r="S51" s="1"/>
      <c r="T51" s="1">
        <f>SUM(OSRRefT22_6x_0)</f>
        <v>350</v>
      </c>
      <c r="U51" s="1"/>
      <c r="V51" s="5">
        <f t="shared" ref="V51:V60" si="33">IF(T$12=0,0,T51/T$12)</f>
        <v>8.5892521460860006E-4</v>
      </c>
      <c r="W51" s="1"/>
      <c r="X51" s="1">
        <f t="shared" ref="X51:X60" si="34">+P51-T51</f>
        <v>-350</v>
      </c>
      <c r="Y51" s="1"/>
      <c r="Z51" s="5">
        <f t="shared" ref="Z51:Z60" si="35">IF(T51=0,0,X51/T51)</f>
        <v>-1</v>
      </c>
    </row>
    <row r="52" spans="1:26" s="24" customFormat="1" hidden="1" outlineLevel="2" x14ac:dyDescent="0.3">
      <c r="A52" s="27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28"/>
        <v>0</v>
      </c>
      <c r="G52" s="2"/>
      <c r="H52" s="7">
        <v>50</v>
      </c>
      <c r="I52" s="2"/>
      <c r="J52" s="6">
        <f t="shared" si="29"/>
        <v>1.2055455093429777E-3</v>
      </c>
      <c r="K52" s="2"/>
      <c r="L52" s="7">
        <f t="shared" si="30"/>
        <v>-50</v>
      </c>
      <c r="M52" s="2"/>
      <c r="N52" s="6">
        <f t="shared" si="31"/>
        <v>-1</v>
      </c>
      <c r="O52" s="11"/>
      <c r="P52" s="7"/>
      <c r="Q52" s="2"/>
      <c r="R52" s="6">
        <f t="shared" si="32"/>
        <v>0</v>
      </c>
      <c r="S52" s="2"/>
      <c r="T52" s="7">
        <v>350</v>
      </c>
      <c r="U52" s="2"/>
      <c r="V52" s="6">
        <f t="shared" si="33"/>
        <v>8.5892521460860006E-4</v>
      </c>
      <c r="W52" s="2"/>
      <c r="X52" s="7">
        <f t="shared" si="34"/>
        <v>-350</v>
      </c>
      <c r="Y52" s="2"/>
      <c r="Z52" s="6">
        <f t="shared" si="35"/>
        <v>-1</v>
      </c>
    </row>
    <row r="53" spans="1:26" s="28" customFormat="1" outlineLevel="1" collapsed="1" x14ac:dyDescent="0.3">
      <c r="A53" s="29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SUM(OSRRefD22_7x_0)</f>
        <v>39.43</v>
      </c>
      <c r="E53" s="1"/>
      <c r="F53" s="5">
        <f t="shared" si="28"/>
        <v>1.7837593304682198E-3</v>
      </c>
      <c r="G53" s="1"/>
      <c r="H53" s="1">
        <f>SUM(OSRRefH22_7x_0)</f>
        <v>40</v>
      </c>
      <c r="I53" s="1"/>
      <c r="J53" s="5">
        <f t="shared" si="29"/>
        <v>9.6443640747438219E-4</v>
      </c>
      <c r="K53" s="1"/>
      <c r="L53" s="1">
        <f t="shared" si="30"/>
        <v>-0.57000000000000028</v>
      </c>
      <c r="M53" s="1"/>
      <c r="N53" s="5">
        <f t="shared" si="31"/>
        <v>-1.4250000000000007E-2</v>
      </c>
      <c r="O53" s="14"/>
      <c r="P53" s="1">
        <f>SUM(OSRRefP22_7x_0)</f>
        <v>276.01</v>
      </c>
      <c r="Q53" s="1"/>
      <c r="R53" s="5">
        <f t="shared" si="32"/>
        <v>8.8563241810603452E-4</v>
      </c>
      <c r="S53" s="1"/>
      <c r="T53" s="1">
        <f>SUM(OSRRefT22_7x_0)</f>
        <v>280</v>
      </c>
      <c r="U53" s="1"/>
      <c r="V53" s="5">
        <f t="shared" si="33"/>
        <v>6.8714017168688003E-4</v>
      </c>
      <c r="W53" s="1"/>
      <c r="X53" s="1">
        <f t="shared" si="34"/>
        <v>-3.9900000000000091</v>
      </c>
      <c r="Y53" s="1"/>
      <c r="Z53" s="5">
        <f t="shared" si="35"/>
        <v>-1.4250000000000032E-2</v>
      </c>
    </row>
    <row r="54" spans="1:26" s="24" customFormat="1" hidden="1" outlineLevel="2" x14ac:dyDescent="0.3">
      <c r="A54" s="27"/>
      <c r="B54" s="11" t="str">
        <f>CONCATENATE("          ", "6314", " - ", "LIABILITY INSURANCE")</f>
        <v xml:space="preserve">          6314 - LIABILITY INSURANCE</v>
      </c>
      <c r="C54" s="11"/>
      <c r="D54" s="7">
        <v>39.43</v>
      </c>
      <c r="E54" s="2"/>
      <c r="F54" s="6">
        <f t="shared" si="28"/>
        <v>1.7837593304682198E-3</v>
      </c>
      <c r="G54" s="2"/>
      <c r="H54" s="7">
        <v>40</v>
      </c>
      <c r="I54" s="2"/>
      <c r="J54" s="6">
        <f t="shared" si="29"/>
        <v>9.6443640747438219E-4</v>
      </c>
      <c r="K54" s="2"/>
      <c r="L54" s="7">
        <f t="shared" si="30"/>
        <v>-0.57000000000000028</v>
      </c>
      <c r="M54" s="2"/>
      <c r="N54" s="6">
        <f t="shared" si="31"/>
        <v>-1.4250000000000007E-2</v>
      </c>
      <c r="O54" s="11"/>
      <c r="P54" s="7">
        <v>276.01</v>
      </c>
      <c r="Q54" s="2"/>
      <c r="R54" s="6">
        <f t="shared" si="32"/>
        <v>8.8563241810603452E-4</v>
      </c>
      <c r="S54" s="2"/>
      <c r="T54" s="7">
        <v>280</v>
      </c>
      <c r="U54" s="2"/>
      <c r="V54" s="6">
        <f t="shared" si="33"/>
        <v>6.8714017168688003E-4</v>
      </c>
      <c r="W54" s="2"/>
      <c r="X54" s="7">
        <f t="shared" si="34"/>
        <v>-3.9900000000000091</v>
      </c>
      <c r="Y54" s="2"/>
      <c r="Z54" s="6">
        <f t="shared" si="35"/>
        <v>-1.4250000000000032E-2</v>
      </c>
    </row>
    <row r="55" spans="1:26" s="28" customFormat="1" outlineLevel="1" collapsed="1" x14ac:dyDescent="0.3">
      <c r="A55" s="29"/>
      <c r="B55" s="14" t="str">
        <f>CONCATENATE("     ","Rent                                              ")</f>
        <v xml:space="preserve">     Rent                                              </v>
      </c>
      <c r="C55" s="14"/>
      <c r="D55" s="1">
        <f>SUM(OSRRefD22_8x_0)</f>
        <v>800</v>
      </c>
      <c r="E55" s="1"/>
      <c r="F55" s="5">
        <f t="shared" si="28"/>
        <v>3.6190907034607554E-2</v>
      </c>
      <c r="G55" s="1"/>
      <c r="H55" s="1">
        <f>SUM(OSRRefH22_8x_0)</f>
        <v>800</v>
      </c>
      <c r="I55" s="1"/>
      <c r="J55" s="5">
        <f t="shared" si="29"/>
        <v>1.9288728149487643E-2</v>
      </c>
      <c r="K55" s="1"/>
      <c r="L55" s="1">
        <f t="shared" si="30"/>
        <v>0</v>
      </c>
      <c r="M55" s="1"/>
      <c r="N55" s="5">
        <f t="shared" si="31"/>
        <v>0</v>
      </c>
      <c r="O55" s="14"/>
      <c r="P55" s="1">
        <f>SUM(OSRRefP22_8x_0)</f>
        <v>5600</v>
      </c>
      <c r="Q55" s="1"/>
      <c r="R55" s="5">
        <f t="shared" si="32"/>
        <v>1.7968702370906104E-2</v>
      </c>
      <c r="S55" s="1"/>
      <c r="T55" s="1">
        <f>SUM(OSRRefT22_8x_0)</f>
        <v>5600</v>
      </c>
      <c r="U55" s="1"/>
      <c r="V55" s="5">
        <f t="shared" si="33"/>
        <v>1.3742803433737601E-2</v>
      </c>
      <c r="W55" s="1"/>
      <c r="X55" s="1">
        <f t="shared" si="34"/>
        <v>0</v>
      </c>
      <c r="Y55" s="1"/>
      <c r="Z55" s="5">
        <f t="shared" si="35"/>
        <v>0</v>
      </c>
    </row>
    <row r="56" spans="1:26" s="24" customFormat="1" hidden="1" outlineLevel="2" x14ac:dyDescent="0.3">
      <c r="A56" s="27"/>
      <c r="B56" s="11" t="str">
        <f>CONCATENATE("          ", "6273", " - ", "RENT")</f>
        <v xml:space="preserve">          6273 - RENT</v>
      </c>
      <c r="C56" s="11"/>
      <c r="D56" s="7">
        <v>800</v>
      </c>
      <c r="E56" s="2"/>
      <c r="F56" s="6">
        <f t="shared" si="28"/>
        <v>3.6190907034607554E-2</v>
      </c>
      <c r="G56" s="2"/>
      <c r="H56" s="7">
        <v>800</v>
      </c>
      <c r="I56" s="2"/>
      <c r="J56" s="6">
        <f t="shared" si="29"/>
        <v>1.9288728149487643E-2</v>
      </c>
      <c r="K56" s="2"/>
      <c r="L56" s="7">
        <f t="shared" si="30"/>
        <v>0</v>
      </c>
      <c r="M56" s="2"/>
      <c r="N56" s="6">
        <f t="shared" si="31"/>
        <v>0</v>
      </c>
      <c r="O56" s="11"/>
      <c r="P56" s="7">
        <v>5600</v>
      </c>
      <c r="Q56" s="2"/>
      <c r="R56" s="6">
        <f t="shared" si="32"/>
        <v>1.7968702370906104E-2</v>
      </c>
      <c r="S56" s="2"/>
      <c r="T56" s="7">
        <v>5600</v>
      </c>
      <c r="U56" s="2"/>
      <c r="V56" s="6">
        <f t="shared" si="33"/>
        <v>1.3742803433737601E-2</v>
      </c>
      <c r="W56" s="2"/>
      <c r="X56" s="7">
        <f t="shared" si="34"/>
        <v>0</v>
      </c>
      <c r="Y56" s="2"/>
      <c r="Z56" s="6">
        <f t="shared" si="35"/>
        <v>0</v>
      </c>
    </row>
    <row r="57" spans="1:26" s="28" customFormat="1" outlineLevel="1" collapsed="1" x14ac:dyDescent="0.3">
      <c r="A57" s="29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SUM(OSRRefD22_9x_0)</f>
        <v>1555.65</v>
      </c>
      <c r="E57" s="1"/>
      <c r="F57" s="5">
        <f t="shared" si="28"/>
        <v>7.037548066048406E-2</v>
      </c>
      <c r="G57" s="1"/>
      <c r="H57" s="1">
        <f>SUM(OSRRefH22_9x_0)</f>
        <v>3200</v>
      </c>
      <c r="I57" s="1"/>
      <c r="J57" s="5">
        <f t="shared" si="29"/>
        <v>7.715491259795057E-2</v>
      </c>
      <c r="K57" s="1"/>
      <c r="L57" s="1">
        <f t="shared" si="30"/>
        <v>-1644.35</v>
      </c>
      <c r="M57" s="1"/>
      <c r="N57" s="5">
        <f t="shared" si="31"/>
        <v>-0.51385937500000001</v>
      </c>
      <c r="O57" s="14"/>
      <c r="P57" s="1">
        <f>SUM(OSRRefP22_9x_0)</f>
        <v>123556.26999999999</v>
      </c>
      <c r="Q57" s="1"/>
      <c r="R57" s="5">
        <f t="shared" si="32"/>
        <v>0.39645461458737757</v>
      </c>
      <c r="S57" s="1"/>
      <c r="T57" s="1">
        <f>SUM(OSRRefT22_9x_0)</f>
        <v>147400</v>
      </c>
      <c r="U57" s="1"/>
      <c r="V57" s="5">
        <f t="shared" si="33"/>
        <v>0.36173021895230756</v>
      </c>
      <c r="W57" s="1"/>
      <c r="X57" s="1">
        <f t="shared" si="34"/>
        <v>-23843.73000000001</v>
      </c>
      <c r="Y57" s="1"/>
      <c r="Z57" s="5">
        <f t="shared" si="35"/>
        <v>-0.16176207598371783</v>
      </c>
    </row>
    <row r="58" spans="1:26" s="24" customFormat="1" hidden="1" outlineLevel="2" x14ac:dyDescent="0.3">
      <c r="A58" s="27"/>
      <c r="B58" s="11" t="str">
        <f>CONCATENATE("          ", "6371", " - ", "COMPUTER SOFTWARE MAINTENANCE")</f>
        <v xml:space="preserve">          6371 - COMPUTER SOFTWARE MAINTENANCE</v>
      </c>
      <c r="C58" s="11"/>
      <c r="D58" s="7"/>
      <c r="E58" s="2"/>
      <c r="F58" s="6">
        <f t="shared" si="28"/>
        <v>0</v>
      </c>
      <c r="G58" s="2"/>
      <c r="H58" s="7"/>
      <c r="I58" s="2"/>
      <c r="J58" s="6">
        <f t="shared" si="29"/>
        <v>0</v>
      </c>
      <c r="K58" s="2"/>
      <c r="L58" s="7">
        <f t="shared" si="30"/>
        <v>0</v>
      </c>
      <c r="M58" s="2"/>
      <c r="N58" s="6">
        <f t="shared" si="31"/>
        <v>0</v>
      </c>
      <c r="O58" s="11"/>
      <c r="P58" s="7"/>
      <c r="Q58" s="2"/>
      <c r="R58" s="6">
        <f t="shared" si="32"/>
        <v>0</v>
      </c>
      <c r="S58" s="2"/>
      <c r="T58" s="7">
        <v>125000</v>
      </c>
      <c r="U58" s="2"/>
      <c r="V58" s="6">
        <f t="shared" si="33"/>
        <v>0.30675900521735716</v>
      </c>
      <c r="W58" s="2"/>
      <c r="X58" s="7">
        <f t="shared" si="34"/>
        <v>-125000</v>
      </c>
      <c r="Y58" s="2"/>
      <c r="Z58" s="6">
        <f t="shared" si="35"/>
        <v>-1</v>
      </c>
    </row>
    <row r="59" spans="1:26" s="24" customFormat="1" hidden="1" outlineLevel="2" x14ac:dyDescent="0.3">
      <c r="A59" s="27"/>
      <c r="B59" s="11" t="str">
        <f>CONCATENATE("          ", "6372", " - ", "COMPUTER HARDWARE MAINTENANCE")</f>
        <v xml:space="preserve">          6372 - COMPUTER HARDWARE MAINTENANCE</v>
      </c>
      <c r="C59" s="11"/>
      <c r="D59" s="7">
        <v>1555.65</v>
      </c>
      <c r="E59" s="2"/>
      <c r="F59" s="6">
        <f t="shared" si="28"/>
        <v>7.037548066048406E-2</v>
      </c>
      <c r="G59" s="2"/>
      <c r="H59" s="7">
        <v>3200</v>
      </c>
      <c r="I59" s="2"/>
      <c r="J59" s="6">
        <f t="shared" si="29"/>
        <v>7.715491259795057E-2</v>
      </c>
      <c r="K59" s="2"/>
      <c r="L59" s="7">
        <f t="shared" si="30"/>
        <v>-1644.35</v>
      </c>
      <c r="M59" s="2"/>
      <c r="N59" s="6">
        <f t="shared" si="31"/>
        <v>-0.51385937500000001</v>
      </c>
      <c r="O59" s="11"/>
      <c r="P59" s="7">
        <v>1555.65</v>
      </c>
      <c r="Q59" s="2"/>
      <c r="R59" s="6">
        <f t="shared" si="32"/>
        <v>4.9916092577321578E-3</v>
      </c>
      <c r="S59" s="2"/>
      <c r="T59" s="7">
        <v>22400</v>
      </c>
      <c r="U59" s="2"/>
      <c r="V59" s="6">
        <f t="shared" si="33"/>
        <v>5.4971213734950404E-2</v>
      </c>
      <c r="W59" s="2"/>
      <c r="X59" s="7">
        <f t="shared" si="34"/>
        <v>-20844.349999999999</v>
      </c>
      <c r="Y59" s="2"/>
      <c r="Z59" s="6">
        <f t="shared" si="35"/>
        <v>-0.93055133928571421</v>
      </c>
    </row>
    <row r="60" spans="1:26" s="24" customFormat="1" hidden="1" outlineLevel="2" x14ac:dyDescent="0.3">
      <c r="A60" s="27"/>
      <c r="B60" s="11" t="str">
        <f>CONCATENATE("          ", "6373", " - ", "MAINTENANCE CONTRACTS")</f>
        <v xml:space="preserve">          6373 - MAINTENANCE CONTRACTS</v>
      </c>
      <c r="C60" s="11"/>
      <c r="D60" s="7"/>
      <c r="E60" s="2"/>
      <c r="F60" s="6">
        <f t="shared" si="28"/>
        <v>0</v>
      </c>
      <c r="G60" s="2"/>
      <c r="H60" s="7"/>
      <c r="I60" s="2"/>
      <c r="J60" s="6">
        <f t="shared" si="29"/>
        <v>0</v>
      </c>
      <c r="K60" s="2"/>
      <c r="L60" s="7">
        <f t="shared" si="30"/>
        <v>0</v>
      </c>
      <c r="M60" s="2"/>
      <c r="N60" s="6">
        <f t="shared" si="31"/>
        <v>0</v>
      </c>
      <c r="O60" s="11"/>
      <c r="P60" s="7">
        <v>122000.62</v>
      </c>
      <c r="Q60" s="2"/>
      <c r="R60" s="6">
        <f t="shared" si="32"/>
        <v>0.39146300532964545</v>
      </c>
      <c r="S60" s="2"/>
      <c r="T60" s="7"/>
      <c r="U60" s="2"/>
      <c r="V60" s="6">
        <f t="shared" si="33"/>
        <v>0</v>
      </c>
      <c r="W60" s="2"/>
      <c r="X60" s="7">
        <f t="shared" si="34"/>
        <v>122000.62</v>
      </c>
      <c r="Y60" s="2"/>
      <c r="Z60" s="6">
        <f t="shared" si="35"/>
        <v>0</v>
      </c>
    </row>
    <row r="61" spans="1:26" s="28" customFormat="1" outlineLevel="1" collapsed="1" x14ac:dyDescent="0.3">
      <c r="A61" s="29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1">
        <f>SUM(OSRRefD22_10x_0)</f>
        <v>0</v>
      </c>
      <c r="E61" s="1"/>
      <c r="F61" s="5">
        <f t="shared" ref="F61:F66" si="36">IF(D$12=0,0,D61/D$12)</f>
        <v>0</v>
      </c>
      <c r="G61" s="1"/>
      <c r="H61" s="1">
        <f>SUM(OSRRefH22_10x_0)</f>
        <v>85</v>
      </c>
      <c r="I61" s="1"/>
      <c r="J61" s="5">
        <f t="shared" ref="J61:J66" si="37">IF(H$12=0,0,H61/H$12)</f>
        <v>2.0494273658830621E-3</v>
      </c>
      <c r="K61" s="1"/>
      <c r="L61" s="1">
        <f t="shared" ref="L61:L66" si="38">+D61-H61</f>
        <v>-85</v>
      </c>
      <c r="M61" s="1"/>
      <c r="N61" s="5">
        <f t="shared" ref="N61:N66" si="39">IF(H61=0,0,L61/H61)</f>
        <v>-1</v>
      </c>
      <c r="O61" s="14"/>
      <c r="P61" s="1">
        <f>SUM(OSRRefP22_10x_0)</f>
        <v>0</v>
      </c>
      <c r="Q61" s="1"/>
      <c r="R61" s="5">
        <f t="shared" ref="R61:R66" si="40">IF(P$12=0,0,P61/P$12)</f>
        <v>0</v>
      </c>
      <c r="S61" s="1"/>
      <c r="T61" s="1">
        <f>SUM(OSRRefT22_10x_0)</f>
        <v>595</v>
      </c>
      <c r="U61" s="1"/>
      <c r="V61" s="5">
        <f t="shared" ref="V61:V66" si="41">IF(T$12=0,0,T61/T$12)</f>
        <v>1.4601728648346202E-3</v>
      </c>
      <c r="W61" s="1"/>
      <c r="X61" s="1">
        <f t="shared" ref="X61:X66" si="42">+P61-T61</f>
        <v>-595</v>
      </c>
      <c r="Y61" s="1"/>
      <c r="Z61" s="5">
        <f t="shared" ref="Z61:Z66" si="43">IF(T61=0,0,X61/T61)</f>
        <v>-1</v>
      </c>
    </row>
    <row r="62" spans="1:26" s="24" customFormat="1" hidden="1" outlineLevel="2" x14ac:dyDescent="0.3">
      <c r="A62" s="27"/>
      <c r="B62" s="11" t="str">
        <f>CONCATENATE("          ", "6258", " - ", "MEMBERSHIP DUES")</f>
        <v xml:space="preserve">          6258 - MEMBERSHIP DUES</v>
      </c>
      <c r="C62" s="11"/>
      <c r="D62" s="7"/>
      <c r="E62" s="2"/>
      <c r="F62" s="6">
        <f t="shared" si="36"/>
        <v>0</v>
      </c>
      <c r="G62" s="2"/>
      <c r="H62" s="7">
        <v>85</v>
      </c>
      <c r="I62" s="2"/>
      <c r="J62" s="6">
        <f t="shared" si="37"/>
        <v>2.0494273658830621E-3</v>
      </c>
      <c r="K62" s="2"/>
      <c r="L62" s="7">
        <f t="shared" si="38"/>
        <v>-85</v>
      </c>
      <c r="M62" s="2"/>
      <c r="N62" s="6">
        <f t="shared" si="39"/>
        <v>-1</v>
      </c>
      <c r="O62" s="11"/>
      <c r="P62" s="7"/>
      <c r="Q62" s="2"/>
      <c r="R62" s="6">
        <f t="shared" si="40"/>
        <v>0</v>
      </c>
      <c r="S62" s="2"/>
      <c r="T62" s="7">
        <v>595</v>
      </c>
      <c r="U62" s="2"/>
      <c r="V62" s="6">
        <f t="shared" si="41"/>
        <v>1.4601728648346202E-3</v>
      </c>
      <c r="W62" s="2"/>
      <c r="X62" s="7">
        <f t="shared" si="42"/>
        <v>-595</v>
      </c>
      <c r="Y62" s="2"/>
      <c r="Z62" s="6">
        <f t="shared" si="43"/>
        <v>-1</v>
      </c>
    </row>
    <row r="63" spans="1:26" s="28" customFormat="1" outlineLevel="1" collapsed="1" x14ac:dyDescent="0.3">
      <c r="A63" s="29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SUM(OSRRefD22_11x_0)</f>
        <v>2523.12</v>
      </c>
      <c r="E63" s="1"/>
      <c r="F63" s="5">
        <f t="shared" si="36"/>
        <v>0.11414250169644877</v>
      </c>
      <c r="G63" s="1"/>
      <c r="H63" s="1">
        <f>SUM(OSRRefH22_11x_0)</f>
        <v>5800</v>
      </c>
      <c r="I63" s="1"/>
      <c r="J63" s="5">
        <f t="shared" si="37"/>
        <v>0.13984327908378541</v>
      </c>
      <c r="K63" s="1"/>
      <c r="L63" s="1">
        <f t="shared" si="38"/>
        <v>-3276.88</v>
      </c>
      <c r="M63" s="1"/>
      <c r="N63" s="5">
        <f t="shared" si="39"/>
        <v>-0.56497931034482762</v>
      </c>
      <c r="O63" s="14"/>
      <c r="P63" s="1">
        <f>SUM(OSRRefP22_11x_0)</f>
        <v>18078.21</v>
      </c>
      <c r="Q63" s="1"/>
      <c r="R63" s="5">
        <f t="shared" si="40"/>
        <v>5.800749551584615E-2</v>
      </c>
      <c r="S63" s="1"/>
      <c r="T63" s="1">
        <f>SUM(OSRRefT22_11x_0)</f>
        <v>40600</v>
      </c>
      <c r="U63" s="1"/>
      <c r="V63" s="5">
        <f t="shared" si="41"/>
        <v>9.9635324894597602E-2</v>
      </c>
      <c r="W63" s="1"/>
      <c r="X63" s="1">
        <f t="shared" si="42"/>
        <v>-22521.79</v>
      </c>
      <c r="Y63" s="1"/>
      <c r="Z63" s="5">
        <f t="shared" si="43"/>
        <v>-0.55472389162561575</v>
      </c>
    </row>
    <row r="64" spans="1:26" s="24" customFormat="1" hidden="1" outlineLevel="2" x14ac:dyDescent="0.3">
      <c r="A64" s="27"/>
      <c r="B64" s="11" t="str">
        <f>CONCATENATE("          ", "6234", " - ", "EXPENDABLE SUPPLIES &amp; EQUIPMEN")</f>
        <v xml:space="preserve">          6234 - EXPENDABLE SUPPLIES &amp; EQUIPMEN</v>
      </c>
      <c r="C64" s="11"/>
      <c r="D64" s="7"/>
      <c r="E64" s="2"/>
      <c r="F64" s="6">
        <f t="shared" si="36"/>
        <v>0</v>
      </c>
      <c r="G64" s="2"/>
      <c r="H64" s="7">
        <v>5800</v>
      </c>
      <c r="I64" s="2"/>
      <c r="J64" s="6">
        <f t="shared" si="37"/>
        <v>0.13984327908378541</v>
      </c>
      <c r="K64" s="2"/>
      <c r="L64" s="7">
        <f t="shared" si="38"/>
        <v>-5800</v>
      </c>
      <c r="M64" s="2"/>
      <c r="N64" s="6">
        <f t="shared" si="39"/>
        <v>-1</v>
      </c>
      <c r="O64" s="11"/>
      <c r="P64" s="7"/>
      <c r="Q64" s="2"/>
      <c r="R64" s="6">
        <f t="shared" si="40"/>
        <v>0</v>
      </c>
      <c r="S64" s="2"/>
      <c r="T64" s="7">
        <v>40600</v>
      </c>
      <c r="U64" s="2"/>
      <c r="V64" s="6">
        <f t="shared" si="41"/>
        <v>9.9635324894597602E-2</v>
      </c>
      <c r="W64" s="2"/>
      <c r="X64" s="7">
        <f t="shared" si="42"/>
        <v>-40600</v>
      </c>
      <c r="Y64" s="2"/>
      <c r="Z64" s="6">
        <f t="shared" si="43"/>
        <v>-1</v>
      </c>
    </row>
    <row r="65" spans="1:26" s="24" customFormat="1" hidden="1" outlineLevel="2" x14ac:dyDescent="0.3">
      <c r="A65" s="27"/>
      <c r="B65" s="11" t="str">
        <f>CONCATENATE("          ", "6241", " - ", "OFFICE EXPENSE")</f>
        <v xml:space="preserve">          6241 - OFFICE EXPENSE</v>
      </c>
      <c r="C65" s="11"/>
      <c r="D65" s="7">
        <v>2523.12</v>
      </c>
      <c r="E65" s="2"/>
      <c r="F65" s="6">
        <f t="shared" si="36"/>
        <v>0.11414250169644877</v>
      </c>
      <c r="G65" s="2"/>
      <c r="H65" s="7"/>
      <c r="I65" s="2"/>
      <c r="J65" s="6">
        <f t="shared" si="37"/>
        <v>0</v>
      </c>
      <c r="K65" s="2"/>
      <c r="L65" s="7">
        <f t="shared" si="38"/>
        <v>2523.12</v>
      </c>
      <c r="M65" s="2"/>
      <c r="N65" s="6">
        <f t="shared" si="39"/>
        <v>0</v>
      </c>
      <c r="O65" s="11"/>
      <c r="P65" s="7">
        <v>18061.669999999998</v>
      </c>
      <c r="Q65" s="2"/>
      <c r="R65" s="6">
        <f t="shared" si="40"/>
        <v>5.7954423669914934E-2</v>
      </c>
      <c r="S65" s="2"/>
      <c r="T65" s="7"/>
      <c r="U65" s="2"/>
      <c r="V65" s="6">
        <f t="shared" si="41"/>
        <v>0</v>
      </c>
      <c r="W65" s="2"/>
      <c r="X65" s="7">
        <f t="shared" si="42"/>
        <v>18061.669999999998</v>
      </c>
      <c r="Y65" s="2"/>
      <c r="Z65" s="6">
        <f t="shared" si="43"/>
        <v>0</v>
      </c>
    </row>
    <row r="66" spans="1:26" s="24" customFormat="1" hidden="1" outlineLevel="2" x14ac:dyDescent="0.3">
      <c r="A66" s="27"/>
      <c r="B66" s="11" t="str">
        <f>CONCATENATE("          ", "6247", " - ", "STORE SUPPLIES")</f>
        <v xml:space="preserve">          6247 - STORE SUPPLIES</v>
      </c>
      <c r="C66" s="11"/>
      <c r="D66" s="7"/>
      <c r="E66" s="2"/>
      <c r="F66" s="6">
        <f t="shared" si="36"/>
        <v>0</v>
      </c>
      <c r="G66" s="2"/>
      <c r="H66" s="7"/>
      <c r="I66" s="2"/>
      <c r="J66" s="6">
        <f t="shared" si="37"/>
        <v>0</v>
      </c>
      <c r="K66" s="2"/>
      <c r="L66" s="7">
        <f t="shared" si="38"/>
        <v>0</v>
      </c>
      <c r="M66" s="2"/>
      <c r="N66" s="6">
        <f t="shared" si="39"/>
        <v>0</v>
      </c>
      <c r="O66" s="11"/>
      <c r="P66" s="7">
        <v>16.54</v>
      </c>
      <c r="Q66" s="2"/>
      <c r="R66" s="6">
        <f t="shared" si="40"/>
        <v>5.3071845931211954E-5</v>
      </c>
      <c r="S66" s="2"/>
      <c r="T66" s="7"/>
      <c r="U66" s="2"/>
      <c r="V66" s="6">
        <f t="shared" si="41"/>
        <v>0</v>
      </c>
      <c r="W66" s="2"/>
      <c r="X66" s="7">
        <f t="shared" si="42"/>
        <v>16.54</v>
      </c>
      <c r="Y66" s="2"/>
      <c r="Z66" s="6">
        <f t="shared" si="43"/>
        <v>0</v>
      </c>
    </row>
    <row r="67" spans="1:26" s="28" customFormat="1" outlineLevel="1" collapsed="1" x14ac:dyDescent="0.3">
      <c r="A67" s="29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SUM(OSRRefD22_12x_0)</f>
        <v>88</v>
      </c>
      <c r="E67" s="1"/>
      <c r="F67" s="5">
        <f t="shared" ref="F67:F70" si="44">IF(D$12=0,0,D67/D$12)</f>
        <v>3.9809997738068309E-3</v>
      </c>
      <c r="G67" s="1"/>
      <c r="H67" s="1">
        <f>SUM(OSRRefH22_12x_0)</f>
        <v>350</v>
      </c>
      <c r="I67" s="1"/>
      <c r="J67" s="5">
        <f t="shared" ref="J67:J70" si="45">IF(H$12=0,0,H67/H$12)</f>
        <v>8.4388185654008432E-3</v>
      </c>
      <c r="K67" s="1"/>
      <c r="L67" s="1">
        <f t="shared" ref="L67:L70" si="46">+D67-H67</f>
        <v>-262</v>
      </c>
      <c r="M67" s="1"/>
      <c r="N67" s="5">
        <f t="shared" ref="N67:N70" si="47">IF(H67=0,0,L67/H67)</f>
        <v>-0.74857142857142855</v>
      </c>
      <c r="O67" s="14"/>
      <c r="P67" s="1">
        <f>SUM(OSRRefP22_12x_0)</f>
        <v>193</v>
      </c>
      <c r="Q67" s="1"/>
      <c r="R67" s="5">
        <f t="shared" ref="R67:R70" si="48">IF(P$12=0,0,P67/P$12)</f>
        <v>6.1927849242587104E-4</v>
      </c>
      <c r="S67" s="1"/>
      <c r="T67" s="1">
        <f>SUM(OSRRefT22_12x_0)</f>
        <v>2450</v>
      </c>
      <c r="U67" s="1"/>
      <c r="V67" s="5">
        <f t="shared" ref="V67:V70" si="49">IF(T$12=0,0,T67/T$12)</f>
        <v>6.0124765022602005E-3</v>
      </c>
      <c r="W67" s="1"/>
      <c r="X67" s="1">
        <f t="shared" ref="X67:X70" si="50">+P67-T67</f>
        <v>-2257</v>
      </c>
      <c r="Y67" s="1"/>
      <c r="Z67" s="5">
        <f t="shared" ref="Z67:Z70" si="51">IF(T67=0,0,X67/T67)</f>
        <v>-0.92122448979591842</v>
      </c>
    </row>
    <row r="68" spans="1:26" s="24" customFormat="1" hidden="1" outlineLevel="2" x14ac:dyDescent="0.3">
      <c r="A68" s="27"/>
      <c r="B68" s="11" t="str">
        <f>CONCATENATE("          ", "6309", " - ", "TELEPHONE")</f>
        <v xml:space="preserve">          6309 - TELEPHONE</v>
      </c>
      <c r="C68" s="11"/>
      <c r="D68" s="7">
        <v>88</v>
      </c>
      <c r="E68" s="2"/>
      <c r="F68" s="6">
        <f t="shared" si="44"/>
        <v>3.9809997738068309E-3</v>
      </c>
      <c r="G68" s="2"/>
      <c r="H68" s="7">
        <v>350</v>
      </c>
      <c r="I68" s="2"/>
      <c r="J68" s="6">
        <f t="shared" si="45"/>
        <v>8.4388185654008432E-3</v>
      </c>
      <c r="K68" s="2"/>
      <c r="L68" s="7">
        <f t="shared" si="46"/>
        <v>-262</v>
      </c>
      <c r="M68" s="2"/>
      <c r="N68" s="6">
        <f t="shared" si="47"/>
        <v>-0.74857142857142855</v>
      </c>
      <c r="O68" s="11"/>
      <c r="P68" s="7">
        <v>193</v>
      </c>
      <c r="Q68" s="2"/>
      <c r="R68" s="6">
        <f t="shared" si="48"/>
        <v>6.1927849242587104E-4</v>
      </c>
      <c r="S68" s="2"/>
      <c r="T68" s="7">
        <v>2450</v>
      </c>
      <c r="U68" s="2"/>
      <c r="V68" s="6">
        <f t="shared" si="49"/>
        <v>6.0124765022602005E-3</v>
      </c>
      <c r="W68" s="2"/>
      <c r="X68" s="7">
        <f t="shared" si="50"/>
        <v>-2257</v>
      </c>
      <c r="Y68" s="2"/>
      <c r="Z68" s="6">
        <f t="shared" si="51"/>
        <v>-0.92122448979591842</v>
      </c>
    </row>
    <row r="69" spans="1:26" s="28" customFormat="1" outlineLevel="1" collapsed="1" x14ac:dyDescent="0.3">
      <c r="A69" s="29"/>
      <c r="B69" s="14" t="str">
        <f>CONCATENATE("     ","Training                                          ")</f>
        <v xml:space="preserve">     Training                                          </v>
      </c>
      <c r="C69" s="14"/>
      <c r="D69" s="1">
        <f>SUM(OSRRefD22_13x_0)</f>
        <v>0</v>
      </c>
      <c r="E69" s="1"/>
      <c r="F69" s="5">
        <f t="shared" si="44"/>
        <v>0</v>
      </c>
      <c r="G69" s="1"/>
      <c r="H69" s="1">
        <f>SUM(OSRRefH22_13x_0)</f>
        <v>0</v>
      </c>
      <c r="I69" s="1"/>
      <c r="J69" s="5">
        <f t="shared" si="45"/>
        <v>0</v>
      </c>
      <c r="K69" s="1"/>
      <c r="L69" s="1">
        <f t="shared" si="46"/>
        <v>0</v>
      </c>
      <c r="M69" s="1"/>
      <c r="N69" s="5">
        <f t="shared" si="47"/>
        <v>0</v>
      </c>
      <c r="O69" s="14"/>
      <c r="P69" s="1">
        <f>SUM(OSRRefP22_13x_0)</f>
        <v>2000</v>
      </c>
      <c r="Q69" s="1"/>
      <c r="R69" s="5">
        <f t="shared" si="48"/>
        <v>6.4173937038950373E-3</v>
      </c>
      <c r="S69" s="1"/>
      <c r="T69" s="1">
        <f>SUM(OSRRefT22_13x_0)</f>
        <v>0</v>
      </c>
      <c r="U69" s="1"/>
      <c r="V69" s="5">
        <f t="shared" si="49"/>
        <v>0</v>
      </c>
      <c r="W69" s="1"/>
      <c r="X69" s="1">
        <f t="shared" si="50"/>
        <v>2000</v>
      </c>
      <c r="Y69" s="1"/>
      <c r="Z69" s="5">
        <f t="shared" si="51"/>
        <v>0</v>
      </c>
    </row>
    <row r="70" spans="1:26" s="24" customFormat="1" hidden="1" outlineLevel="2" x14ac:dyDescent="0.3">
      <c r="A70" s="27"/>
      <c r="B70" s="11" t="str">
        <f>CONCATENATE("          ", "6376", " - ", "TRAINING")</f>
        <v xml:space="preserve">          6376 - TRAINING</v>
      </c>
      <c r="C70" s="11"/>
      <c r="D70" s="7"/>
      <c r="E70" s="2"/>
      <c r="F70" s="6">
        <f t="shared" si="44"/>
        <v>0</v>
      </c>
      <c r="G70" s="2"/>
      <c r="H70" s="7"/>
      <c r="I70" s="2"/>
      <c r="J70" s="6">
        <f t="shared" si="45"/>
        <v>0</v>
      </c>
      <c r="K70" s="2"/>
      <c r="L70" s="7">
        <f t="shared" si="46"/>
        <v>0</v>
      </c>
      <c r="M70" s="2"/>
      <c r="N70" s="6">
        <f t="shared" si="47"/>
        <v>0</v>
      </c>
      <c r="O70" s="11"/>
      <c r="P70" s="7">
        <v>2000</v>
      </c>
      <c r="Q70" s="2"/>
      <c r="R70" s="6">
        <f t="shared" si="48"/>
        <v>6.4173937038950373E-3</v>
      </c>
      <c r="S70" s="2"/>
      <c r="T70" s="7"/>
      <c r="U70" s="2"/>
      <c r="V70" s="6">
        <f t="shared" si="49"/>
        <v>0</v>
      </c>
      <c r="W70" s="2"/>
      <c r="X70" s="7">
        <f t="shared" si="50"/>
        <v>2000</v>
      </c>
      <c r="Y70" s="2"/>
      <c r="Z70" s="6">
        <f t="shared" si="51"/>
        <v>0</v>
      </c>
    </row>
    <row r="71" spans="1:26" s="55" customFormat="1" x14ac:dyDescent="0.3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collapsed="1" x14ac:dyDescent="0.3">
      <c r="A72" s="10"/>
      <c r="B72" s="25" t="s">
        <v>293</v>
      </c>
      <c r="C72" s="10"/>
      <c r="D72" s="4">
        <f>SUM(OSRRefD25x_0)</f>
        <v>508.14</v>
      </c>
      <c r="E72" s="4"/>
      <c r="F72" s="12">
        <f t="shared" ref="F72:F73" si="52">IF(D$12=0,0,D72/D$12)</f>
        <v>2.2987559375706852E-2</v>
      </c>
      <c r="G72" s="4"/>
      <c r="H72" s="4">
        <f>SUM(OSRRefH25x_0)</f>
        <v>2400</v>
      </c>
      <c r="I72" s="4"/>
      <c r="J72" s="12">
        <f t="shared" ref="J72:J73" si="53">IF(H$12=0,0,H72/H$12)</f>
        <v>5.7866184448462928E-2</v>
      </c>
      <c r="K72" s="4"/>
      <c r="L72" s="4">
        <f t="shared" ref="L72:L73" si="54">+D72-H72</f>
        <v>-1891.8600000000001</v>
      </c>
      <c r="M72" s="4"/>
      <c r="N72" s="12">
        <f t="shared" ref="N72:N73" si="55">IF(H72=0,0,L72/H72)</f>
        <v>-0.78827500000000006</v>
      </c>
      <c r="O72" s="10"/>
      <c r="P72" s="4">
        <f>SUM(OSRRefP25x_0)</f>
        <v>6238.54</v>
      </c>
      <c r="Q72" s="4"/>
      <c r="R72" s="12">
        <f t="shared" ref="R72:R73" si="56">IF(P$12=0,0,P72/P$12)</f>
        <v>2.0017583658748672E-2</v>
      </c>
      <c r="S72" s="4"/>
      <c r="T72" s="4">
        <f>SUM(OSRRefT25x_0)</f>
        <v>16800</v>
      </c>
      <c r="U72" s="4"/>
      <c r="V72" s="12">
        <f t="shared" ref="V72:V73" si="57">IF(T$12=0,0,T72/T$12)</f>
        <v>4.1228410301212805E-2</v>
      </c>
      <c r="W72" s="4"/>
      <c r="X72" s="4">
        <f t="shared" ref="X72:X73" si="58">+P72-T72</f>
        <v>-10561.46</v>
      </c>
      <c r="Y72" s="4"/>
      <c r="Z72" s="12">
        <f t="shared" ref="Z72:Z73" si="59">IF(T72=0,0,X72/T72)</f>
        <v>-0.62865833333333332</v>
      </c>
    </row>
    <row r="73" spans="1:26" s="24" customFormat="1" hidden="1" outlineLevel="1" x14ac:dyDescent="0.3">
      <c r="A73" s="44"/>
      <c r="B73" s="11" t="str">
        <f>CONCATENATE("          ", "9150", " - ", "MISC. INCOME")</f>
        <v xml:space="preserve">          9150 - MISC. INCOME</v>
      </c>
      <c r="C73" s="11"/>
      <c r="D73" s="2">
        <f>--508.14</f>
        <v>508.14</v>
      </c>
      <c r="E73" s="2"/>
      <c r="F73" s="19">
        <f t="shared" si="52"/>
        <v>2.2987559375706852E-2</v>
      </c>
      <c r="G73" s="2"/>
      <c r="H73" s="2">
        <v>2400</v>
      </c>
      <c r="I73" s="2"/>
      <c r="J73" s="19">
        <f t="shared" si="53"/>
        <v>5.7866184448462928E-2</v>
      </c>
      <c r="K73" s="2"/>
      <c r="L73" s="2">
        <f t="shared" si="54"/>
        <v>-1891.8600000000001</v>
      </c>
      <c r="M73" s="2"/>
      <c r="N73" s="19">
        <f t="shared" si="55"/>
        <v>-0.78827500000000006</v>
      </c>
      <c r="O73" s="11"/>
      <c r="P73" s="2">
        <f>--6238.54</f>
        <v>6238.54</v>
      </c>
      <c r="Q73" s="2"/>
      <c r="R73" s="19">
        <f t="shared" si="56"/>
        <v>2.0017583658748672E-2</v>
      </c>
      <c r="S73" s="2"/>
      <c r="T73" s="2">
        <v>16800</v>
      </c>
      <c r="U73" s="2"/>
      <c r="V73" s="19">
        <f t="shared" si="57"/>
        <v>4.1228410301212805E-2</v>
      </c>
      <c r="W73" s="2"/>
      <c r="X73" s="2">
        <f t="shared" si="58"/>
        <v>-10561.46</v>
      </c>
      <c r="Y73" s="2"/>
      <c r="Z73" s="19">
        <f t="shared" si="59"/>
        <v>-0.62865833333333332</v>
      </c>
    </row>
    <row r="74" spans="1:26" x14ac:dyDescent="0.3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3">
      <c r="A75" s="10"/>
      <c r="B75" s="26" t="s">
        <v>277</v>
      </c>
      <c r="C75" s="26"/>
      <c r="D75" s="21">
        <f>+D17-D19+D72</f>
        <v>-1348.2700000000036</v>
      </c>
      <c r="E75" s="13"/>
      <c r="F75" s="22">
        <f>IF(D$12=0,0,D75/D$12)</f>
        <v>-6.0993892784438071E-2</v>
      </c>
      <c r="G75" s="13"/>
      <c r="H75" s="21">
        <f>+H17-H19+H72</f>
        <v>4239.065598527879</v>
      </c>
      <c r="I75" s="13"/>
      <c r="J75" s="22">
        <f>IF(H$12=0,0,H75/H$12)</f>
        <v>0.10220772992231172</v>
      </c>
      <c r="K75" s="15"/>
      <c r="L75" s="21">
        <f>+D75-H75</f>
        <v>-5587.3355985278831</v>
      </c>
      <c r="M75" s="15"/>
      <c r="N75" s="22">
        <f>IF(H75=0,0,L75/H75)</f>
        <v>-1.3180583005057116</v>
      </c>
      <c r="O75" s="25"/>
      <c r="P75" s="21">
        <f>+P17-P19+P72</f>
        <v>34853.230000000061</v>
      </c>
      <c r="Q75" s="13"/>
      <c r="R75" s="22">
        <f>IF(P$12=0,0,P75/P$12)</f>
        <v>0.11183344938120302</v>
      </c>
      <c r="S75" s="13"/>
      <c r="T75" s="21">
        <f>+T17-T19+T72</f>
        <v>41646.487533872889</v>
      </c>
      <c r="U75" s="13"/>
      <c r="V75" s="22">
        <f>IF(T$12=0,0,T75/T$12)</f>
        <v>0.10220348069350331</v>
      </c>
      <c r="W75" s="15"/>
      <c r="X75" s="21">
        <f>+P75-T75</f>
        <v>-6793.2575338728275</v>
      </c>
      <c r="Y75" s="15"/>
      <c r="Z75" s="22">
        <f>IF(T75=0,0,X75/T75)</f>
        <v>-0.16311717832980699</v>
      </c>
    </row>
    <row r="76" spans="1:26" x14ac:dyDescent="0.3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3">
      <c r="A77" s="52"/>
      <c r="B77" s="10" t="s">
        <v>128</v>
      </c>
      <c r="C77" s="10"/>
      <c r="D77" s="4">
        <v>6399.57</v>
      </c>
      <c r="E77" s="4"/>
      <c r="F77" s="12">
        <f>IF(D$12=0,0,D77/D$12)</f>
        <v>0.28950780366432932</v>
      </c>
      <c r="G77" s="4"/>
      <c r="H77" s="4">
        <v>3669</v>
      </c>
      <c r="I77" s="4"/>
      <c r="J77" s="12">
        <f>IF(H$12=0,0,H77/H$12)</f>
        <v>8.8462929475587704E-2</v>
      </c>
      <c r="K77" s="4"/>
      <c r="L77" s="4">
        <f>+D77-H77</f>
        <v>2730.5699999999997</v>
      </c>
      <c r="M77" s="4"/>
      <c r="N77" s="12">
        <f>IF(H77=0,0,L77/H77)</f>
        <v>0.74422730989370389</v>
      </c>
      <c r="O77" s="10"/>
      <c r="P77" s="4">
        <v>41252.69</v>
      </c>
      <c r="Q77" s="4"/>
      <c r="R77" s="12">
        <f>IF(P$12=0,0,P77/P$12)</f>
        <v>0.13236737653736688</v>
      </c>
      <c r="S77" s="4"/>
      <c r="T77" s="4">
        <v>51057</v>
      </c>
      <c r="U77" s="4"/>
      <c r="V77" s="12">
        <f>IF(T$12=0,0,T77/T$12)</f>
        <v>0.12529755623506084</v>
      </c>
      <c r="W77" s="4"/>
      <c r="X77" s="4">
        <f>+P77-T77</f>
        <v>-9804.3099999999977</v>
      </c>
      <c r="Y77" s="4"/>
      <c r="Z77" s="12">
        <f>IF(T77=0,0,X77/T77)</f>
        <v>-0.19202675441173586</v>
      </c>
    </row>
    <row r="78" spans="1:26" x14ac:dyDescent="0.3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" thickBot="1" x14ac:dyDescent="0.35">
      <c r="A79" s="10"/>
      <c r="B79" s="26" t="s">
        <v>126</v>
      </c>
      <c r="C79" s="26"/>
      <c r="D79" s="32">
        <f>+D75-D77</f>
        <v>-7747.8400000000038</v>
      </c>
      <c r="E79" s="13"/>
      <c r="F79" s="31">
        <f>IF(D$12=0,0,D79/D$12)</f>
        <v>-0.35050169644876744</v>
      </c>
      <c r="G79" s="13"/>
      <c r="H79" s="32">
        <f>+H75-H77</f>
        <v>570.06559852787905</v>
      </c>
      <c r="I79" s="13"/>
      <c r="J79" s="31">
        <f>IF(H$12=0,0,H79/H$12)</f>
        <v>1.3744800446724027E-2</v>
      </c>
      <c r="K79" s="15"/>
      <c r="L79" s="32">
        <f>D79-H79</f>
        <v>-8317.9055985278828</v>
      </c>
      <c r="M79" s="15"/>
      <c r="N79" s="31">
        <f>IF(H79=0,0,L79/H79)</f>
        <v>-14.591137616456425</v>
      </c>
      <c r="O79" s="25"/>
      <c r="P79" s="32">
        <f>+P75-P77</f>
        <v>-6399.4599999999409</v>
      </c>
      <c r="Q79" s="13"/>
      <c r="R79" s="31">
        <f>IF(P$12=0,0,P79/P$12)</f>
        <v>-2.0533927156163877E-2</v>
      </c>
      <c r="S79" s="13"/>
      <c r="T79" s="32">
        <f>+T75-T77</f>
        <v>-9410.5124661271111</v>
      </c>
      <c r="U79" s="13"/>
      <c r="V79" s="31">
        <f>IF(T$12=0,0,T79/T$12)</f>
        <v>-2.309407554155753E-2</v>
      </c>
      <c r="W79" s="15"/>
      <c r="X79" s="32">
        <f>P79-T79</f>
        <v>3011.0524661271702</v>
      </c>
      <c r="Y79" s="15"/>
      <c r="Z79" s="31">
        <f>IF(T79=0,0,X79/T79)</f>
        <v>-0.3199668962732235</v>
      </c>
    </row>
    <row r="80" spans="1:26" ht="15" thickTop="1" x14ac:dyDescent="0.3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3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" thickBot="1" x14ac:dyDescent="0.35">
      <c r="A82" s="10"/>
      <c r="B82" s="26" t="s">
        <v>294</v>
      </c>
      <c r="C82" s="26"/>
      <c r="D82" s="34">
        <f>SUM(D79:D81)</f>
        <v>-7747.8400000000038</v>
      </c>
      <c r="E82" s="13"/>
      <c r="F82" s="35">
        <f>IF(D$12=0,0,D82/D$12)</f>
        <v>-0.35050169644876744</v>
      </c>
      <c r="G82" s="13"/>
      <c r="H82" s="34">
        <f>SUM(H79:H81)</f>
        <v>570.06559852787905</v>
      </c>
      <c r="I82" s="13"/>
      <c r="J82" s="35">
        <f>IF(H$12=0,0,H82/H$12)</f>
        <v>1.3744800446724027E-2</v>
      </c>
      <c r="K82" s="15"/>
      <c r="L82" s="34">
        <f>+D82-H82</f>
        <v>-8317.9055985278828</v>
      </c>
      <c r="M82" s="15"/>
      <c r="N82" s="35">
        <f>IF(H82=0,0,L82/H82)</f>
        <v>-14.591137616456425</v>
      </c>
      <c r="O82" s="25"/>
      <c r="P82" s="34">
        <f>SUM(P79:P81)</f>
        <v>-6399.4599999999409</v>
      </c>
      <c r="Q82" s="13"/>
      <c r="R82" s="35">
        <f>IF(P$12=0,0,P82/P$12)</f>
        <v>-2.0533927156163877E-2</v>
      </c>
      <c r="S82" s="13"/>
      <c r="T82" s="34">
        <f>SUM(T79:T81)</f>
        <v>-9410.5124661271111</v>
      </c>
      <c r="U82" s="13"/>
      <c r="V82" s="35">
        <f>IF(T$12=0,0,T82/T$12)</f>
        <v>-2.309407554155753E-2</v>
      </c>
      <c r="W82" s="15"/>
      <c r="X82" s="34">
        <f>+P82-T82</f>
        <v>3011.0524661271702</v>
      </c>
      <c r="Y82" s="15"/>
      <c r="Z82" s="35">
        <f>IF(T82=0,0,X82/T82)</f>
        <v>-0.3199668962732235</v>
      </c>
    </row>
    <row r="83" spans="1:26" ht="15" thickTop="1" x14ac:dyDescent="0.3">
      <c r="A83" s="9"/>
      <c r="C83" s="9"/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6" x14ac:dyDescent="0.3">
      <c r="A84" s="9"/>
      <c r="B84" s="53">
        <v>44604.019995405091</v>
      </c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6" x14ac:dyDescent="0.3">
      <c r="A85" s="9"/>
      <c r="B85" s="63" t="s">
        <v>56</v>
      </c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3">
      <c r="A86" s="9"/>
      <c r="B86" s="58"/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3"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7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7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59" t="s">
        <v>23</v>
      </c>
    </row>
    <row r="3" spans="1:26" x14ac:dyDescent="0.3">
      <c r="D3" s="59" t="s">
        <v>237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60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60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60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50"/>
      <c r="C6" s="50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62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7"/>
    </row>
    <row r="8" spans="1:26" x14ac:dyDescent="0.3">
      <c r="B8" s="57"/>
    </row>
    <row r="9" spans="1:26" x14ac:dyDescent="0.3">
      <c r="B9" s="9"/>
      <c r="C9" s="9"/>
      <c r="D9" s="16" t="s">
        <v>292</v>
      </c>
      <c r="E9" s="16"/>
      <c r="F9" s="37"/>
      <c r="G9" s="16"/>
      <c r="H9" s="16"/>
      <c r="I9" s="16"/>
      <c r="J9" s="51"/>
      <c r="K9" s="16"/>
      <c r="L9" s="16"/>
      <c r="M9" s="16"/>
      <c r="N9" s="37"/>
      <c r="P9" s="16" t="s">
        <v>39</v>
      </c>
      <c r="Q9" s="16"/>
      <c r="R9" s="37"/>
      <c r="S9" s="16"/>
      <c r="T9" s="16"/>
      <c r="U9" s="16"/>
      <c r="V9" s="51"/>
      <c r="W9" s="16"/>
      <c r="X9" s="16"/>
      <c r="Y9" s="16"/>
      <c r="Z9" s="37"/>
    </row>
    <row r="10" spans="1:26" x14ac:dyDescent="0.3">
      <c r="A10" s="10"/>
      <c r="B10" s="61"/>
      <c r="C10" s="10"/>
      <c r="D10" s="42" t="s">
        <v>57</v>
      </c>
      <c r="E10" s="30"/>
      <c r="F10" s="40" t="s">
        <v>40</v>
      </c>
      <c r="G10" s="30"/>
      <c r="H10" s="48" t="s">
        <v>238</v>
      </c>
      <c r="I10" s="30"/>
      <c r="J10" s="45" t="s">
        <v>58</v>
      </c>
      <c r="K10" s="10"/>
      <c r="L10" s="42" t="s">
        <v>127</v>
      </c>
      <c r="M10" s="10"/>
      <c r="N10" s="40" t="s">
        <v>258</v>
      </c>
      <c r="O10" s="10"/>
      <c r="P10" s="56" t="s">
        <v>57</v>
      </c>
      <c r="Q10" s="30"/>
      <c r="R10" s="40" t="s">
        <v>40</v>
      </c>
      <c r="S10" s="30"/>
      <c r="T10" s="48" t="s">
        <v>238</v>
      </c>
      <c r="U10" s="30"/>
      <c r="V10" s="45" t="s">
        <v>58</v>
      </c>
      <c r="W10" s="10"/>
      <c r="X10" s="42" t="s">
        <v>127</v>
      </c>
      <c r="Y10" s="10"/>
      <c r="Z10" s="40" t="s">
        <v>258</v>
      </c>
    </row>
    <row r="11" spans="1:26" ht="15.6" x14ac:dyDescent="0.3">
      <c r="A11" s="9"/>
      <c r="B11" s="54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3">
      <c r="A12" s="10"/>
      <c r="B12" s="25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5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6" t="s">
        <v>108</v>
      </c>
      <c r="C18" s="26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5"/>
      <c r="L18" s="21" t="e">
        <f ca="1">+D18-H18</f>
        <v>#NAME?</v>
      </c>
      <c r="M18" s="15"/>
      <c r="N18" s="22" t="e">
        <f ca="1">IF(H18=0,0,L18/H18)</f>
        <v>#NAME?</v>
      </c>
      <c r="O18" s="25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5"/>
      <c r="X18" s="21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5" t="s">
        <v>295</v>
      </c>
      <c r="C20" s="10"/>
      <c r="D20" s="20" t="e">
        <f ca="1">SUM(_xll.OneStop.ReportPlayer.OSRFunctions.OSRRef(D22))</f>
        <v>#NAME?</v>
      </c>
      <c r="E20" s="20"/>
      <c r="F20" s="33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3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3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3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5" customFormat="1" x14ac:dyDescent="0.3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5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6" t="s">
        <v>277</v>
      </c>
      <c r="C27" s="26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5"/>
      <c r="L27" s="21" t="e">
        <f ca="1">+D27-H27</f>
        <v>#NAME?</v>
      </c>
      <c r="M27" s="15"/>
      <c r="N27" s="22" t="e">
        <f ca="1">IF(H27=0,0,L27/H27)</f>
        <v>#NAME?</v>
      </c>
      <c r="O27" s="25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5"/>
      <c r="X27" s="21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6" t="s">
        <v>126</v>
      </c>
      <c r="C31" s="26"/>
      <c r="D31" s="32" t="e">
        <f ca="1">+D27-D29</f>
        <v>#NAME?</v>
      </c>
      <c r="E31" s="13"/>
      <c r="F31" s="31" t="e">
        <f ca="1">IF(D$12=0,0,D31/D$12)</f>
        <v>#NAME?</v>
      </c>
      <c r="G31" s="13"/>
      <c r="H31" s="32" t="e">
        <f ca="1">+H27-H29</f>
        <v>#NAME?</v>
      </c>
      <c r="I31" s="13"/>
      <c r="J31" s="31" t="e">
        <f ca="1">IF(H$12=0,0,H31/H$12)</f>
        <v>#NAME?</v>
      </c>
      <c r="K31" s="15"/>
      <c r="L31" s="32" t="e">
        <f ca="1">D31-H31</f>
        <v>#NAME?</v>
      </c>
      <c r="M31" s="15"/>
      <c r="N31" s="31" t="e">
        <f ca="1">IF(H31=0,0,L31/H31)</f>
        <v>#NAME?</v>
      </c>
      <c r="O31" s="25"/>
      <c r="P31" s="32" t="e">
        <f ca="1">+P27-P29</f>
        <v>#NAME?</v>
      </c>
      <c r="Q31" s="13"/>
      <c r="R31" s="31" t="e">
        <f ca="1">IF(P$12=0,0,P31/P$12)</f>
        <v>#NAME?</v>
      </c>
      <c r="S31" s="13"/>
      <c r="T31" s="32" t="e">
        <f ca="1">+T27-T29</f>
        <v>#NAME?</v>
      </c>
      <c r="U31" s="13"/>
      <c r="V31" s="31" t="e">
        <f ca="1">IF(T$12=0,0,T31/T$12)</f>
        <v>#NAME?</v>
      </c>
      <c r="W31" s="15"/>
      <c r="X31" s="32" t="e">
        <f ca="1">P31-T31</f>
        <v>#NAME?</v>
      </c>
      <c r="Y31" s="15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6" t="s">
        <v>294</v>
      </c>
      <c r="C36" s="26"/>
      <c r="D36" s="34" t="e">
        <f ca="1">SUM(D31:D35)</f>
        <v>#NAME?</v>
      </c>
      <c r="E36" s="13"/>
      <c r="F36" s="35" t="e">
        <f ca="1">IF(D$12=0,0,D36/D$12)</f>
        <v>#NAME?</v>
      </c>
      <c r="G36" s="13"/>
      <c r="H36" s="34" t="e">
        <f ca="1">SUM(H31:H35)</f>
        <v>#NAME?</v>
      </c>
      <c r="I36" s="13"/>
      <c r="J36" s="35" t="e">
        <f ca="1">IF(H$12=0,0,H36/H$12)</f>
        <v>#NAME?</v>
      </c>
      <c r="K36" s="15"/>
      <c r="L36" s="34" t="e">
        <f ca="1">+D36-H36</f>
        <v>#NAME?</v>
      </c>
      <c r="M36" s="15"/>
      <c r="N36" s="35" t="e">
        <f ca="1">IF(H36=0,0,L36/H36)</f>
        <v>#NAME?</v>
      </c>
      <c r="O36" s="25"/>
      <c r="P36" s="34" t="e">
        <f ca="1">SUM(P31:P35)</f>
        <v>#NAME?</v>
      </c>
      <c r="Q36" s="13"/>
      <c r="R36" s="35" t="e">
        <f ca="1">IF(P$12=0,0,P36/P$12)</f>
        <v>#NAME?</v>
      </c>
      <c r="S36" s="13"/>
      <c r="T36" s="34" t="e">
        <f ca="1">SUM(T31:T35)</f>
        <v>#NAME?</v>
      </c>
      <c r="U36" s="13"/>
      <c r="V36" s="35" t="e">
        <f ca="1">IF(T$12=0,0,T36/T$12)</f>
        <v>#NAME?</v>
      </c>
      <c r="W36" s="15"/>
      <c r="X36" s="34" t="e">
        <f ca="1">+P36-T36</f>
        <v>#NAME?</v>
      </c>
      <c r="Y36" s="15"/>
      <c r="Z36" s="35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93</vt:i4>
      </vt:variant>
      <vt:variant>
        <vt:lpstr>Named Ranges</vt:lpstr>
      </vt:variant>
      <vt:variant>
        <vt:i4>3562</vt:i4>
      </vt:variant>
    </vt:vector>
  </HeadingPairs>
  <TitlesOfParts>
    <vt:vector size="3655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OSR_333_69UF5U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308</vt:lpstr>
      <vt:lpstr>311</vt:lpstr>
      <vt:lpstr>324</vt:lpstr>
      <vt:lpstr>333</vt:lpstr>
      <vt:lpstr>307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321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423</vt:lpstr>
      <vt:lpstr>424</vt:lpstr>
      <vt:lpstr>425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'310'!OSRRefD13x_0</vt:lpstr>
      <vt:lpstr>'310 &amp; 491'!OSRRefD13x_0</vt:lpstr>
      <vt:lpstr>'311'!OSRRefD13x_0</vt:lpstr>
      <vt:lpstr>'315'!OSRRefD13x_0</vt:lpstr>
      <vt:lpstr>'316'!OSRRefD13x_0</vt:lpstr>
      <vt:lpstr>'317'!OSRRefD13x_0</vt:lpstr>
      <vt:lpstr>'321'!OSRRefD13x_0</vt:lpstr>
      <vt:lpstr>'324'!OSRRefD13x_0</vt:lpstr>
      <vt:lpstr>'325'!OSRRefD13x_0</vt:lpstr>
      <vt:lpstr>'326'!OSRRefD13x_0</vt:lpstr>
      <vt:lpstr>'327'!OSRRefD13x_0</vt:lpstr>
      <vt:lpstr>'331'!OSRRefD13x_0</vt:lpstr>
      <vt:lpstr>'332'!OSRRefD13x_0</vt:lpstr>
      <vt:lpstr>'333'!OSRRefD13x_0</vt:lpstr>
      <vt:lpstr>'405'!OSRRefD13x_0</vt:lpstr>
      <vt:lpstr>'415'!OSRRefD13x_0</vt:lpstr>
      <vt:lpstr>'418'!OSRRefD13x_0</vt:lpstr>
      <vt:lpstr>'425'!OSRRefD13x_0</vt:lpstr>
      <vt:lpstr>'433'!OSRRefD13x_0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'301'!OSRRefD16x_0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'315'!OSRRefD16x_0</vt:lpstr>
      <vt:lpstr>'316'!OSRRefD16x_0</vt:lpstr>
      <vt:lpstr>'317'!OSRRefD16x_0</vt:lpstr>
      <vt:lpstr>'321'!OSRRefD16x_0</vt:lpstr>
      <vt:lpstr>'324'!OSRRefD16x_0</vt:lpstr>
      <vt:lpstr>'325'!OSRRefD16x_0</vt:lpstr>
      <vt:lpstr>'326'!OSRRefD16x_0</vt:lpstr>
      <vt:lpstr>'327'!OSRRefD16x_0</vt:lpstr>
      <vt:lpstr>'331'!OSRRefD16x_0</vt:lpstr>
      <vt:lpstr>'332'!OSRRefD16x_0</vt:lpstr>
      <vt:lpstr>'333'!OSRRefD16x_0</vt:lpstr>
      <vt:lpstr>'405'!OSRRefD16x_0</vt:lpstr>
      <vt:lpstr>'415'!OSRRefD16x_0</vt:lpstr>
      <vt:lpstr>'418'!OSRRefD16x_0</vt:lpstr>
      <vt:lpstr>'425'!OSRRefD16x_0</vt:lpstr>
      <vt:lpstr>'433'!OSRRefD16x_0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'315'!OSRRefD22_0x_0</vt:lpstr>
      <vt:lpstr>'316'!OSRRefD22_0x_0</vt:lpstr>
      <vt:lpstr>'317'!OSRRefD22_0x_0</vt:lpstr>
      <vt:lpstr>'321'!OSRRefD22_0x_0</vt:lpstr>
      <vt:lpstr>'325'!OSRRefD22_0x_0</vt:lpstr>
      <vt:lpstr>'326'!OSRRefD22_0x_0</vt:lpstr>
      <vt:lpstr>'327'!OSRRefD22_0x_0</vt:lpstr>
      <vt:lpstr>'331'!OSRRefD22_0x_0</vt:lpstr>
      <vt:lpstr>'332'!OSRRefD22_0x_0</vt:lpstr>
      <vt:lpstr>'333'!OSRRefD22_0x_0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'310'!OSRRefD22_10x_0</vt:lpstr>
      <vt:lpstr>'310 &amp; 491'!OSRRefD22_10x_0</vt:lpstr>
      <vt:lpstr>'311'!OSRRefD22_10x_0</vt:lpstr>
      <vt:lpstr>'315'!OSRRefD22_10x_0</vt:lpstr>
      <vt:lpstr>'316'!OSRRefD22_10x_0</vt:lpstr>
      <vt:lpstr>'321'!OSRRefD22_10x_0</vt:lpstr>
      <vt:lpstr>'325'!OSRRefD22_10x_0</vt:lpstr>
      <vt:lpstr>'326'!OSRRefD22_10x_0</vt:lpstr>
      <vt:lpstr>'331'!OSRRefD22_10x_0</vt:lpstr>
      <vt:lpstr>'332'!OSRRefD22_10x_0</vt:lpstr>
      <vt:lpstr>'333'!OSRRefD22_10x_0</vt:lpstr>
      <vt:lpstr>'405'!OSRRefD22_10x_0</vt:lpstr>
      <vt:lpstr>'411'!OSRRefD22_10x_0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'310'!OSRRefD22_11x_0</vt:lpstr>
      <vt:lpstr>'310 &amp; 491'!OSRRefD22_11x_0</vt:lpstr>
      <vt:lpstr>'311'!OSRRefD22_11x_0</vt:lpstr>
      <vt:lpstr>'315'!OSRRefD22_11x_0</vt:lpstr>
      <vt:lpstr>'321'!OSRRefD22_11x_0</vt:lpstr>
      <vt:lpstr>'325'!OSRRefD22_11x_0</vt:lpstr>
      <vt:lpstr>'326'!OSRRefD22_11x_0</vt:lpstr>
      <vt:lpstr>'331'!OSRRefD22_11x_0</vt:lpstr>
      <vt:lpstr>'333'!OSRRefD22_11x_0</vt:lpstr>
      <vt:lpstr>'405'!OSRRefD22_11x_0</vt:lpstr>
      <vt:lpstr>'411'!OSRRefD22_11x_0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'310'!OSRRefD22_12x_0</vt:lpstr>
      <vt:lpstr>'310 &amp; 491'!OSRRefD22_12x_0</vt:lpstr>
      <vt:lpstr>'311'!OSRRefD22_12x_0</vt:lpstr>
      <vt:lpstr>'315'!OSRRefD22_12x_0</vt:lpstr>
      <vt:lpstr>'325'!OSRRefD22_12x_0</vt:lpstr>
      <vt:lpstr>'326'!OSRRefD22_12x_0</vt:lpstr>
      <vt:lpstr>'331'!OSRRefD22_12x_0</vt:lpstr>
      <vt:lpstr>'333'!OSRRefD22_12x_0</vt:lpstr>
      <vt:lpstr>'405'!OSRRefD22_12x_0</vt:lpstr>
      <vt:lpstr>'411'!OSRRefD22_12x_0</vt:lpstr>
      <vt:lpstr>'415'!OSRRefD22_12x_0</vt:lpstr>
      <vt:lpstr>'418'!OSRRefD22_12x_0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Summary!OSRRefD22_12x_0</vt:lpstr>
      <vt:lpstr>'201'!OSRRefD22_13x_0</vt:lpstr>
      <vt:lpstr>'203'!OSRRefD22_13x_0</vt:lpstr>
      <vt:lpstr>'300'!OSRRefD22_13x_0</vt:lpstr>
      <vt:lpstr>'300 &amp; 317'!OSRRefD22_13x_0</vt:lpstr>
      <vt:lpstr>'301'!OSRRefD22_13x_0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'325'!OSRRefD22_13x_0</vt:lpstr>
      <vt:lpstr>'326'!OSRRefD22_13x_0</vt:lpstr>
      <vt:lpstr>'331'!OSRRefD22_13x_0</vt:lpstr>
      <vt:lpstr>'333'!OSRRefD22_13x_0</vt:lpstr>
      <vt:lpstr>'405'!OSRRefD22_13x_0</vt:lpstr>
      <vt:lpstr>'411'!OSRRefD22_13x_0</vt:lpstr>
      <vt:lpstr>'415'!OSRRefD22_13x_0</vt:lpstr>
      <vt:lpstr>'418'!OSRRefD22_13x_0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'501'!OSRRefD22_13x_0</vt:lpstr>
      <vt:lpstr>'Div 2'!OSRRefD22_13x_0</vt:lpstr>
      <vt:lpstr>'Div 3'!OSRRefD22_13x_0</vt:lpstr>
      <vt:lpstr>'Div 4'!OSRRefD22_13x_0</vt:lpstr>
      <vt:lpstr>'Div 5'!OSRRefD22_13x_0</vt:lpstr>
      <vt:lpstr>Summary!OSRRefD22_13x_0</vt:lpstr>
      <vt:lpstr>'201'!OSRRefD22_14x_0</vt:lpstr>
      <vt:lpstr>'203'!OSRRefD22_14x_0</vt:lpstr>
      <vt:lpstr>'300'!OSRRefD22_14x_0</vt:lpstr>
      <vt:lpstr>'300 &amp; 317'!OSRRefD22_14x_0</vt:lpstr>
      <vt:lpstr>'301'!OSRRefD22_14x_0</vt:lpstr>
      <vt:lpstr>'310'!OSRRefD22_14x_0</vt:lpstr>
      <vt:lpstr>'310 &amp; 491'!OSRRefD22_14x_0</vt:lpstr>
      <vt:lpstr>'315'!OSRRefD22_14x_0</vt:lpstr>
      <vt:lpstr>'325'!OSRRefD22_14x_0</vt:lpstr>
      <vt:lpstr>'326'!OSRRefD22_14x_0</vt:lpstr>
      <vt:lpstr>'331'!OSRRefD22_14x_0</vt:lpstr>
      <vt:lpstr>'333'!OSRRefD22_14x_0</vt:lpstr>
      <vt:lpstr>'405'!OSRRefD22_14x_0</vt:lpstr>
      <vt:lpstr>'411'!OSRRefD22_14x_0</vt:lpstr>
      <vt:lpstr>'415'!OSRRefD22_14x_0</vt:lpstr>
      <vt:lpstr>'418'!OSRRefD22_14x_0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'325'!OSRRefD22_15x_0</vt:lpstr>
      <vt:lpstr>'326'!OSRRefD22_15x_0</vt:lpstr>
      <vt:lpstr>'331'!OSRRefD22_15x_0</vt:lpstr>
      <vt:lpstr>'333'!OSRRefD22_15x_0</vt:lpstr>
      <vt:lpstr>'405'!OSRRefD22_15x_0</vt:lpstr>
      <vt:lpstr>'415'!OSRRefD22_15x_0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'315'!OSRRefD22_16x_0</vt:lpstr>
      <vt:lpstr>'326'!OSRRefD22_16x_0</vt:lpstr>
      <vt:lpstr>'331'!OSRRefD22_16x_0</vt:lpstr>
      <vt:lpstr>'333'!OSRRefD22_16x_0</vt:lpstr>
      <vt:lpstr>'415'!OSRRefD22_16x_0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'315'!OSRRefD22_17x_0</vt:lpstr>
      <vt:lpstr>'326'!OSRRefD22_17x_0</vt:lpstr>
      <vt:lpstr>'331'!OSRRefD22_17x_0</vt:lpstr>
      <vt:lpstr>'333'!OSRRefD22_17x_0</vt:lpstr>
      <vt:lpstr>'415'!OSRRefD22_17x_0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 &amp; 491'!OSRRefD22_18x_0</vt:lpstr>
      <vt:lpstr>'331'!OSRRefD22_18x_0</vt:lpstr>
      <vt:lpstr>'333'!OSRRefD22_18x_0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 &amp; 491'!OSRRefD22_19x_0</vt:lpstr>
      <vt:lpstr>'331'!OSRRefD22_19x_0</vt:lpstr>
      <vt:lpstr>'333'!OSRRefD22_19x_0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'315'!OSRRefD22_1x_0</vt:lpstr>
      <vt:lpstr>'316'!OSRRefD22_1x_0</vt:lpstr>
      <vt:lpstr>'317'!OSRRefD22_1x_0</vt:lpstr>
      <vt:lpstr>'321'!OSRRefD22_1x_0</vt:lpstr>
      <vt:lpstr>'325'!OSRRefD22_1x_0</vt:lpstr>
      <vt:lpstr>'326'!OSRRefD22_1x_0</vt:lpstr>
      <vt:lpstr>'327'!OSRRefD22_1x_0</vt:lpstr>
      <vt:lpstr>'331'!OSRRefD22_1x_0</vt:lpstr>
      <vt:lpstr>'332'!OSRRefD22_1x_0</vt:lpstr>
      <vt:lpstr>'333'!OSRRefD22_1x_0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 &amp; 491'!OSRRefD22_20x_0</vt:lpstr>
      <vt:lpstr>'331'!OSRRefD22_20x_0</vt:lpstr>
      <vt:lpstr>'333'!OSRRefD22_20x_0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'331'!OSRRefD22_21x_0</vt:lpstr>
      <vt:lpstr>'333'!OSRRefD22_21x_0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'Div 3'!OSRRefD22_23x_0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'315'!OSRRefD22_2x_0</vt:lpstr>
      <vt:lpstr>'316'!OSRRefD22_2x_0</vt:lpstr>
      <vt:lpstr>'317'!OSRRefD22_2x_0</vt:lpstr>
      <vt:lpstr>'321'!OSRRefD22_2x_0</vt:lpstr>
      <vt:lpstr>'325'!OSRRefD22_2x_0</vt:lpstr>
      <vt:lpstr>'326'!OSRRefD22_2x_0</vt:lpstr>
      <vt:lpstr>'331'!OSRRefD22_2x_0</vt:lpstr>
      <vt:lpstr>'332'!OSRRefD22_2x_0</vt:lpstr>
      <vt:lpstr>'333'!OSRRefD22_2x_0</vt:lpstr>
      <vt:lpstr>'405'!OSRRefD22_2x_0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'315'!OSRRefD22_3x_0</vt:lpstr>
      <vt:lpstr>'316'!OSRRefD22_3x_0</vt:lpstr>
      <vt:lpstr>'317'!OSRRefD22_3x_0</vt:lpstr>
      <vt:lpstr>'321'!OSRRefD22_3x_0</vt:lpstr>
      <vt:lpstr>'325'!OSRRefD22_3x_0</vt:lpstr>
      <vt:lpstr>'326'!OSRRefD22_3x_0</vt:lpstr>
      <vt:lpstr>'331'!OSRRefD22_3x_0</vt:lpstr>
      <vt:lpstr>'332'!OSRRefD22_3x_0</vt:lpstr>
      <vt:lpstr>'333'!OSRRefD22_3x_0</vt:lpstr>
      <vt:lpstr>'405'!OSRRefD22_3x_0</vt:lpstr>
      <vt:lpstr>'411'!OSRRefD22_3x_0</vt:lpstr>
      <vt:lpstr>'412'!OSRRefD22_3x_0</vt:lpstr>
      <vt:lpstr>'415'!OSRRefD22_3x_0</vt:lpstr>
      <vt:lpstr>'418'!OSRRefD22_3x_0</vt:lpstr>
      <vt:lpstr>'423'!OSRRefD22_3x_0</vt:lpstr>
      <vt:lpstr>'425'!OSRRefD22_3x_0</vt:lpstr>
      <vt:lpstr>'430'!OSRRefD22_3x_0</vt:lpstr>
      <vt:lpstr>'433'!OSRRefD22_3x_0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'315'!OSRRefD22_4x_0</vt:lpstr>
      <vt:lpstr>'316'!OSRRefD22_4x_0</vt:lpstr>
      <vt:lpstr>'317'!OSRRefD22_4x_0</vt:lpstr>
      <vt:lpstr>'321'!OSRRefD22_4x_0</vt:lpstr>
      <vt:lpstr>'325'!OSRRefD22_4x_0</vt:lpstr>
      <vt:lpstr>'326'!OSRRefD22_4x_0</vt:lpstr>
      <vt:lpstr>'331'!OSRRefD22_4x_0</vt:lpstr>
      <vt:lpstr>'332'!OSRRefD22_4x_0</vt:lpstr>
      <vt:lpstr>'333'!OSRRefD22_4x_0</vt:lpstr>
      <vt:lpstr>'405'!OSRRefD22_4x_0</vt:lpstr>
      <vt:lpstr>'411'!OSRRefD22_4x_0</vt:lpstr>
      <vt:lpstr>'415'!OSRRefD22_4x_0</vt:lpstr>
      <vt:lpstr>'418'!OSRRefD22_4x_0</vt:lpstr>
      <vt:lpstr>'423'!OSRRefD22_4x_0</vt:lpstr>
      <vt:lpstr>'425'!OSRRefD22_4x_0</vt:lpstr>
      <vt:lpstr>'430'!OSRRefD22_4x_0</vt:lpstr>
      <vt:lpstr>'433'!OSRRefD22_4x_0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'315'!OSRRefD22_5x_0</vt:lpstr>
      <vt:lpstr>'316'!OSRRefD22_5x_0</vt:lpstr>
      <vt:lpstr>'317'!OSRRefD22_5x_0</vt:lpstr>
      <vt:lpstr>'321'!OSRRefD22_5x_0</vt:lpstr>
      <vt:lpstr>'325'!OSRRefD22_5x_0</vt:lpstr>
      <vt:lpstr>'326'!OSRRefD22_5x_0</vt:lpstr>
      <vt:lpstr>'331'!OSRRefD22_5x_0</vt:lpstr>
      <vt:lpstr>'332'!OSRRefD22_5x_0</vt:lpstr>
      <vt:lpstr>'333'!OSRRefD22_5x_0</vt:lpstr>
      <vt:lpstr>'405'!OSRRefD22_5x_0</vt:lpstr>
      <vt:lpstr>'411'!OSRRefD22_5x_0</vt:lpstr>
      <vt:lpstr>'415'!OSRRefD22_5x_0</vt:lpstr>
      <vt:lpstr>'418'!OSRRefD22_5x_0</vt:lpstr>
      <vt:lpstr>'423'!OSRRefD22_5x_0</vt:lpstr>
      <vt:lpstr>'425'!OSRRefD22_5x_0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'315'!OSRRefD22_6x_0</vt:lpstr>
      <vt:lpstr>'316'!OSRRefD22_6x_0</vt:lpstr>
      <vt:lpstr>'317'!OSRRefD22_6x_0</vt:lpstr>
      <vt:lpstr>'321'!OSRRefD22_6x_0</vt:lpstr>
      <vt:lpstr>'325'!OSRRefD22_6x_0</vt:lpstr>
      <vt:lpstr>'326'!OSRRefD22_6x_0</vt:lpstr>
      <vt:lpstr>'331'!OSRRefD22_6x_0</vt:lpstr>
      <vt:lpstr>'332'!OSRRefD22_6x_0</vt:lpstr>
      <vt:lpstr>'333'!OSRRefD22_6x_0</vt:lpstr>
      <vt:lpstr>'405'!OSRRefD22_6x_0</vt:lpstr>
      <vt:lpstr>'411'!OSRRefD22_6x_0</vt:lpstr>
      <vt:lpstr>'415'!OSRRefD22_6x_0</vt:lpstr>
      <vt:lpstr>'418'!OSRRefD22_6x_0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'315'!OSRRefD22_7x_0</vt:lpstr>
      <vt:lpstr>'316'!OSRRefD22_7x_0</vt:lpstr>
      <vt:lpstr>'317'!OSRRefD22_7x_0</vt:lpstr>
      <vt:lpstr>'321'!OSRRefD22_7x_0</vt:lpstr>
      <vt:lpstr>'325'!OSRRefD22_7x_0</vt:lpstr>
      <vt:lpstr>'326'!OSRRefD22_7x_0</vt:lpstr>
      <vt:lpstr>'331'!OSRRefD22_7x_0</vt:lpstr>
      <vt:lpstr>'332'!OSRRefD22_7x_0</vt:lpstr>
      <vt:lpstr>'333'!OSRRefD22_7x_0</vt:lpstr>
      <vt:lpstr>'405'!OSRRefD22_7x_0</vt:lpstr>
      <vt:lpstr>'411'!OSRRefD22_7x_0</vt:lpstr>
      <vt:lpstr>'415'!OSRRefD22_7x_0</vt:lpstr>
      <vt:lpstr>'418'!OSRRefD22_7x_0</vt:lpstr>
      <vt:lpstr>'430'!OSRRefD22_7x_0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'315'!OSRRefD22_8x_0</vt:lpstr>
      <vt:lpstr>'316'!OSRRefD22_8x_0</vt:lpstr>
      <vt:lpstr>'317'!OSRRefD22_8x_0</vt:lpstr>
      <vt:lpstr>'321'!OSRRefD22_8x_0</vt:lpstr>
      <vt:lpstr>'325'!OSRRefD22_8x_0</vt:lpstr>
      <vt:lpstr>'326'!OSRRefD22_8x_0</vt:lpstr>
      <vt:lpstr>'331'!OSRRefD22_8x_0</vt:lpstr>
      <vt:lpstr>'332'!OSRRefD22_8x_0</vt:lpstr>
      <vt:lpstr>'333'!OSRRefD22_8x_0</vt:lpstr>
      <vt:lpstr>'405'!OSRRefD22_8x_0</vt:lpstr>
      <vt:lpstr>'411'!OSRRefD22_8x_0</vt:lpstr>
      <vt:lpstr>'415'!OSRRefD22_8x_0</vt:lpstr>
      <vt:lpstr>'418'!OSRRefD22_8x_0</vt:lpstr>
      <vt:lpstr>'430'!OSRRefD22_8x_0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'310'!OSRRefD22_9x_0</vt:lpstr>
      <vt:lpstr>'310 &amp; 491'!OSRRefD22_9x_0</vt:lpstr>
      <vt:lpstr>'311'!OSRRefD22_9x_0</vt:lpstr>
      <vt:lpstr>'315'!OSRRefD22_9x_0</vt:lpstr>
      <vt:lpstr>'316'!OSRRefD22_9x_0</vt:lpstr>
      <vt:lpstr>'317'!OSRRefD22_9x_0</vt:lpstr>
      <vt:lpstr>'321'!OSRRefD22_9x_0</vt:lpstr>
      <vt:lpstr>'325'!OSRRefD22_9x_0</vt:lpstr>
      <vt:lpstr>'326'!OSRRefD22_9x_0</vt:lpstr>
      <vt:lpstr>'331'!OSRRefD22_9x_0</vt:lpstr>
      <vt:lpstr>'332'!OSRRefD22_9x_0</vt:lpstr>
      <vt:lpstr>'333'!OSRRefD22_9x_0</vt:lpstr>
      <vt:lpstr>'405'!OSRRefD22_9x_0</vt:lpstr>
      <vt:lpstr>'411'!OSRRefD22_9x_0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'315'!OSRRefD22x_0</vt:lpstr>
      <vt:lpstr>'316'!OSRRefD22x_0</vt:lpstr>
      <vt:lpstr>'317'!OSRRefD22x_0</vt:lpstr>
      <vt:lpstr>'321'!OSRRefD22x_0</vt:lpstr>
      <vt:lpstr>'325'!OSRRefD22x_0</vt:lpstr>
      <vt:lpstr>'326'!OSRRefD22x_0</vt:lpstr>
      <vt:lpstr>'327'!OSRRefD22x_0</vt:lpstr>
      <vt:lpstr>'331'!OSRRefD22x_0</vt:lpstr>
      <vt:lpstr>'332'!OSRRefD22x_0</vt:lpstr>
      <vt:lpstr>'333'!OSRRefD22x_0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'331'!OSRRefD25x_0</vt:lpstr>
      <vt:lpstr>'332'!OSRRefD25x_0</vt:lpstr>
      <vt:lpstr>'333'!OSRRefD25x_0</vt:lpstr>
      <vt:lpstr>'405'!OSRRefD25x_0</vt:lpstr>
      <vt:lpstr>'411'!OSRRefD25x_0</vt:lpstr>
      <vt:lpstr>'415'!OSRRefD25x_0</vt:lpstr>
      <vt:lpstr>'418'!OSRRefD25x_0</vt:lpstr>
      <vt:lpstr>'423'!OSRRefD25x_0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'310'!OSRRefH13x_0</vt:lpstr>
      <vt:lpstr>'310 &amp; 491'!OSRRefH13x_0</vt:lpstr>
      <vt:lpstr>'311'!OSRRefH13x_0</vt:lpstr>
      <vt:lpstr>'315'!OSRRefH13x_0</vt:lpstr>
      <vt:lpstr>'316'!OSRRefH13x_0</vt:lpstr>
      <vt:lpstr>'317'!OSRRefH13x_0</vt:lpstr>
      <vt:lpstr>'321'!OSRRefH13x_0</vt:lpstr>
      <vt:lpstr>'324'!OSRRefH13x_0</vt:lpstr>
      <vt:lpstr>'325'!OSRRefH13x_0</vt:lpstr>
      <vt:lpstr>'326'!OSRRefH13x_0</vt:lpstr>
      <vt:lpstr>'327'!OSRRefH13x_0</vt:lpstr>
      <vt:lpstr>'331'!OSRRefH13x_0</vt:lpstr>
      <vt:lpstr>'332'!OSRRefH13x_0</vt:lpstr>
      <vt:lpstr>'333'!OSRRefH13x_0</vt:lpstr>
      <vt:lpstr>'405'!OSRRefH13x_0</vt:lpstr>
      <vt:lpstr>'415'!OSRRefH13x_0</vt:lpstr>
      <vt:lpstr>'418'!OSRRefH13x_0</vt:lpstr>
      <vt:lpstr>'425'!OSRRefH13x_0</vt:lpstr>
      <vt:lpstr>'433'!OSRRefH13x_0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'301'!OSRRefH16x_0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'315'!OSRRefH16x_0</vt:lpstr>
      <vt:lpstr>'316'!OSRRefH16x_0</vt:lpstr>
      <vt:lpstr>'317'!OSRRefH16x_0</vt:lpstr>
      <vt:lpstr>'321'!OSRRefH16x_0</vt:lpstr>
      <vt:lpstr>'324'!OSRRefH16x_0</vt:lpstr>
      <vt:lpstr>'325'!OSRRefH16x_0</vt:lpstr>
      <vt:lpstr>'326'!OSRRefH16x_0</vt:lpstr>
      <vt:lpstr>'327'!OSRRefH16x_0</vt:lpstr>
      <vt:lpstr>'331'!OSRRefH16x_0</vt:lpstr>
      <vt:lpstr>'332'!OSRRefH16x_0</vt:lpstr>
      <vt:lpstr>'333'!OSRRefH16x_0</vt:lpstr>
      <vt:lpstr>'405'!OSRRefH16x_0</vt:lpstr>
      <vt:lpstr>'415'!OSRRefH16x_0</vt:lpstr>
      <vt:lpstr>'418'!OSRRefH16x_0</vt:lpstr>
      <vt:lpstr>'425'!OSRRefH16x_0</vt:lpstr>
      <vt:lpstr>'433'!OSRRefH16x_0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'315'!OSRRefH22_0x_0</vt:lpstr>
      <vt:lpstr>'316'!OSRRefH22_0x_0</vt:lpstr>
      <vt:lpstr>'317'!OSRRefH22_0x_0</vt:lpstr>
      <vt:lpstr>'321'!OSRRefH22_0x_0</vt:lpstr>
      <vt:lpstr>'325'!OSRRefH22_0x_0</vt:lpstr>
      <vt:lpstr>'326'!OSRRefH22_0x_0</vt:lpstr>
      <vt:lpstr>'327'!OSRRefH22_0x_0</vt:lpstr>
      <vt:lpstr>'331'!OSRRefH22_0x_0</vt:lpstr>
      <vt:lpstr>'332'!OSRRefH22_0x_0</vt:lpstr>
      <vt:lpstr>'333'!OSRRefH22_0x_0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'310'!OSRRefH22_10x_0</vt:lpstr>
      <vt:lpstr>'310 &amp; 491'!OSRRefH22_10x_0</vt:lpstr>
      <vt:lpstr>'311'!OSRRefH22_10x_0</vt:lpstr>
      <vt:lpstr>'315'!OSRRefH22_10x_0</vt:lpstr>
      <vt:lpstr>'316'!OSRRefH22_10x_0</vt:lpstr>
      <vt:lpstr>'321'!OSRRefH22_10x_0</vt:lpstr>
      <vt:lpstr>'325'!OSRRefH22_10x_0</vt:lpstr>
      <vt:lpstr>'326'!OSRRefH22_10x_0</vt:lpstr>
      <vt:lpstr>'331'!OSRRefH22_10x_0</vt:lpstr>
      <vt:lpstr>'332'!OSRRefH22_10x_0</vt:lpstr>
      <vt:lpstr>'333'!OSRRefH22_10x_0</vt:lpstr>
      <vt:lpstr>'405'!OSRRefH22_10x_0</vt:lpstr>
      <vt:lpstr>'411'!OSRRefH22_10x_0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'310'!OSRRefH22_11x_0</vt:lpstr>
      <vt:lpstr>'310 &amp; 491'!OSRRefH22_11x_0</vt:lpstr>
      <vt:lpstr>'311'!OSRRefH22_11x_0</vt:lpstr>
      <vt:lpstr>'315'!OSRRefH22_11x_0</vt:lpstr>
      <vt:lpstr>'321'!OSRRefH22_11x_0</vt:lpstr>
      <vt:lpstr>'325'!OSRRefH22_11x_0</vt:lpstr>
      <vt:lpstr>'326'!OSRRefH22_11x_0</vt:lpstr>
      <vt:lpstr>'331'!OSRRefH22_11x_0</vt:lpstr>
      <vt:lpstr>'333'!OSRRefH22_11x_0</vt:lpstr>
      <vt:lpstr>'405'!OSRRefH22_11x_0</vt:lpstr>
      <vt:lpstr>'411'!OSRRefH22_11x_0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'310'!OSRRefH22_12x_0</vt:lpstr>
      <vt:lpstr>'310 &amp; 491'!OSRRefH22_12x_0</vt:lpstr>
      <vt:lpstr>'311'!OSRRefH22_12x_0</vt:lpstr>
      <vt:lpstr>'315'!OSRRefH22_12x_0</vt:lpstr>
      <vt:lpstr>'325'!OSRRefH22_12x_0</vt:lpstr>
      <vt:lpstr>'326'!OSRRefH22_12x_0</vt:lpstr>
      <vt:lpstr>'331'!OSRRefH22_12x_0</vt:lpstr>
      <vt:lpstr>'333'!OSRRefH22_12x_0</vt:lpstr>
      <vt:lpstr>'405'!OSRRefH22_12x_0</vt:lpstr>
      <vt:lpstr>'411'!OSRRefH22_12x_0</vt:lpstr>
      <vt:lpstr>'415'!OSRRefH22_12x_0</vt:lpstr>
      <vt:lpstr>'418'!OSRRefH22_12x_0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Summary!OSRRefH22_12x_0</vt:lpstr>
      <vt:lpstr>'201'!OSRRefH22_13x_0</vt:lpstr>
      <vt:lpstr>'203'!OSRRefH22_13x_0</vt:lpstr>
      <vt:lpstr>'300'!OSRRefH22_13x_0</vt:lpstr>
      <vt:lpstr>'300 &amp; 317'!OSRRefH22_13x_0</vt:lpstr>
      <vt:lpstr>'301'!OSRRefH22_13x_0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'325'!OSRRefH22_13x_0</vt:lpstr>
      <vt:lpstr>'326'!OSRRefH22_13x_0</vt:lpstr>
      <vt:lpstr>'331'!OSRRefH22_13x_0</vt:lpstr>
      <vt:lpstr>'333'!OSRRefH22_13x_0</vt:lpstr>
      <vt:lpstr>'405'!OSRRefH22_13x_0</vt:lpstr>
      <vt:lpstr>'411'!OSRRefH22_13x_0</vt:lpstr>
      <vt:lpstr>'415'!OSRRefH22_13x_0</vt:lpstr>
      <vt:lpstr>'418'!OSRRefH22_13x_0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'501'!OSRRefH22_13x_0</vt:lpstr>
      <vt:lpstr>'Div 2'!OSRRefH22_13x_0</vt:lpstr>
      <vt:lpstr>'Div 3'!OSRRefH22_13x_0</vt:lpstr>
      <vt:lpstr>'Div 4'!OSRRefH22_13x_0</vt:lpstr>
      <vt:lpstr>'Div 5'!OSRRefH22_13x_0</vt:lpstr>
      <vt:lpstr>Summary!OSRRefH22_13x_0</vt:lpstr>
      <vt:lpstr>'201'!OSRRefH22_14x_0</vt:lpstr>
      <vt:lpstr>'203'!OSRRefH22_14x_0</vt:lpstr>
      <vt:lpstr>'300'!OSRRefH22_14x_0</vt:lpstr>
      <vt:lpstr>'300 &amp; 317'!OSRRefH22_14x_0</vt:lpstr>
      <vt:lpstr>'301'!OSRRefH22_14x_0</vt:lpstr>
      <vt:lpstr>'310'!OSRRefH22_14x_0</vt:lpstr>
      <vt:lpstr>'310 &amp; 491'!OSRRefH22_14x_0</vt:lpstr>
      <vt:lpstr>'315'!OSRRefH22_14x_0</vt:lpstr>
      <vt:lpstr>'325'!OSRRefH22_14x_0</vt:lpstr>
      <vt:lpstr>'326'!OSRRefH22_14x_0</vt:lpstr>
      <vt:lpstr>'331'!OSRRefH22_14x_0</vt:lpstr>
      <vt:lpstr>'333'!OSRRefH22_14x_0</vt:lpstr>
      <vt:lpstr>'405'!OSRRefH22_14x_0</vt:lpstr>
      <vt:lpstr>'411'!OSRRefH22_14x_0</vt:lpstr>
      <vt:lpstr>'415'!OSRRefH22_14x_0</vt:lpstr>
      <vt:lpstr>'418'!OSRRefH22_14x_0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'325'!OSRRefH22_15x_0</vt:lpstr>
      <vt:lpstr>'326'!OSRRefH22_15x_0</vt:lpstr>
      <vt:lpstr>'331'!OSRRefH22_15x_0</vt:lpstr>
      <vt:lpstr>'333'!OSRRefH22_15x_0</vt:lpstr>
      <vt:lpstr>'405'!OSRRefH22_15x_0</vt:lpstr>
      <vt:lpstr>'415'!OSRRefH22_15x_0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'315'!OSRRefH22_16x_0</vt:lpstr>
      <vt:lpstr>'326'!OSRRefH22_16x_0</vt:lpstr>
      <vt:lpstr>'331'!OSRRefH22_16x_0</vt:lpstr>
      <vt:lpstr>'333'!OSRRefH22_16x_0</vt:lpstr>
      <vt:lpstr>'415'!OSRRefH22_16x_0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'315'!OSRRefH22_17x_0</vt:lpstr>
      <vt:lpstr>'326'!OSRRefH22_17x_0</vt:lpstr>
      <vt:lpstr>'331'!OSRRefH22_17x_0</vt:lpstr>
      <vt:lpstr>'333'!OSRRefH22_17x_0</vt:lpstr>
      <vt:lpstr>'415'!OSRRefH22_17x_0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 &amp; 491'!OSRRefH22_18x_0</vt:lpstr>
      <vt:lpstr>'331'!OSRRefH22_18x_0</vt:lpstr>
      <vt:lpstr>'333'!OSRRefH22_18x_0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 &amp; 491'!OSRRefH22_19x_0</vt:lpstr>
      <vt:lpstr>'331'!OSRRefH22_19x_0</vt:lpstr>
      <vt:lpstr>'333'!OSRRefH22_19x_0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'315'!OSRRefH22_1x_0</vt:lpstr>
      <vt:lpstr>'316'!OSRRefH22_1x_0</vt:lpstr>
      <vt:lpstr>'317'!OSRRefH22_1x_0</vt:lpstr>
      <vt:lpstr>'321'!OSRRefH22_1x_0</vt:lpstr>
      <vt:lpstr>'325'!OSRRefH22_1x_0</vt:lpstr>
      <vt:lpstr>'326'!OSRRefH22_1x_0</vt:lpstr>
      <vt:lpstr>'327'!OSRRefH22_1x_0</vt:lpstr>
      <vt:lpstr>'331'!OSRRefH22_1x_0</vt:lpstr>
      <vt:lpstr>'332'!OSRRefH22_1x_0</vt:lpstr>
      <vt:lpstr>'333'!OSRRefH22_1x_0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 &amp; 491'!OSRRefH22_20x_0</vt:lpstr>
      <vt:lpstr>'331'!OSRRefH22_20x_0</vt:lpstr>
      <vt:lpstr>'333'!OSRRefH22_20x_0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'331'!OSRRefH22_21x_0</vt:lpstr>
      <vt:lpstr>'333'!OSRRefH22_21x_0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'Div 3'!OSRRefH22_23x_0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'315'!OSRRefH22_2x_0</vt:lpstr>
      <vt:lpstr>'316'!OSRRefH22_2x_0</vt:lpstr>
      <vt:lpstr>'317'!OSRRefH22_2x_0</vt:lpstr>
      <vt:lpstr>'321'!OSRRefH22_2x_0</vt:lpstr>
      <vt:lpstr>'325'!OSRRefH22_2x_0</vt:lpstr>
      <vt:lpstr>'326'!OSRRefH22_2x_0</vt:lpstr>
      <vt:lpstr>'331'!OSRRefH22_2x_0</vt:lpstr>
      <vt:lpstr>'332'!OSRRefH22_2x_0</vt:lpstr>
      <vt:lpstr>'333'!OSRRefH22_2x_0</vt:lpstr>
      <vt:lpstr>'405'!OSRRefH22_2x_0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'315'!OSRRefH22_3x_0</vt:lpstr>
      <vt:lpstr>'316'!OSRRefH22_3x_0</vt:lpstr>
      <vt:lpstr>'317'!OSRRefH22_3x_0</vt:lpstr>
      <vt:lpstr>'321'!OSRRefH22_3x_0</vt:lpstr>
      <vt:lpstr>'325'!OSRRefH22_3x_0</vt:lpstr>
      <vt:lpstr>'326'!OSRRefH22_3x_0</vt:lpstr>
      <vt:lpstr>'331'!OSRRefH22_3x_0</vt:lpstr>
      <vt:lpstr>'332'!OSRRefH22_3x_0</vt:lpstr>
      <vt:lpstr>'333'!OSRRefH22_3x_0</vt:lpstr>
      <vt:lpstr>'405'!OSRRefH22_3x_0</vt:lpstr>
      <vt:lpstr>'411'!OSRRefH22_3x_0</vt:lpstr>
      <vt:lpstr>'412'!OSRRefH22_3x_0</vt:lpstr>
      <vt:lpstr>'415'!OSRRefH22_3x_0</vt:lpstr>
      <vt:lpstr>'418'!OSRRefH22_3x_0</vt:lpstr>
      <vt:lpstr>'423'!OSRRefH22_3x_0</vt:lpstr>
      <vt:lpstr>'425'!OSRRefH22_3x_0</vt:lpstr>
      <vt:lpstr>'430'!OSRRefH22_3x_0</vt:lpstr>
      <vt:lpstr>'433'!OSRRefH22_3x_0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'315'!OSRRefH22_4x_0</vt:lpstr>
      <vt:lpstr>'316'!OSRRefH22_4x_0</vt:lpstr>
      <vt:lpstr>'317'!OSRRefH22_4x_0</vt:lpstr>
      <vt:lpstr>'321'!OSRRefH22_4x_0</vt:lpstr>
      <vt:lpstr>'325'!OSRRefH22_4x_0</vt:lpstr>
      <vt:lpstr>'326'!OSRRefH22_4x_0</vt:lpstr>
      <vt:lpstr>'331'!OSRRefH22_4x_0</vt:lpstr>
      <vt:lpstr>'332'!OSRRefH22_4x_0</vt:lpstr>
      <vt:lpstr>'333'!OSRRefH22_4x_0</vt:lpstr>
      <vt:lpstr>'405'!OSRRefH22_4x_0</vt:lpstr>
      <vt:lpstr>'411'!OSRRefH22_4x_0</vt:lpstr>
      <vt:lpstr>'415'!OSRRefH22_4x_0</vt:lpstr>
      <vt:lpstr>'418'!OSRRefH22_4x_0</vt:lpstr>
      <vt:lpstr>'423'!OSRRefH22_4x_0</vt:lpstr>
      <vt:lpstr>'425'!OSRRefH22_4x_0</vt:lpstr>
      <vt:lpstr>'430'!OSRRefH22_4x_0</vt:lpstr>
      <vt:lpstr>'433'!OSRRefH22_4x_0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'315'!OSRRefH22_5x_0</vt:lpstr>
      <vt:lpstr>'316'!OSRRefH22_5x_0</vt:lpstr>
      <vt:lpstr>'317'!OSRRefH22_5x_0</vt:lpstr>
      <vt:lpstr>'321'!OSRRefH22_5x_0</vt:lpstr>
      <vt:lpstr>'325'!OSRRefH22_5x_0</vt:lpstr>
      <vt:lpstr>'326'!OSRRefH22_5x_0</vt:lpstr>
      <vt:lpstr>'331'!OSRRefH22_5x_0</vt:lpstr>
      <vt:lpstr>'332'!OSRRefH22_5x_0</vt:lpstr>
      <vt:lpstr>'333'!OSRRefH22_5x_0</vt:lpstr>
      <vt:lpstr>'405'!OSRRefH22_5x_0</vt:lpstr>
      <vt:lpstr>'411'!OSRRefH22_5x_0</vt:lpstr>
      <vt:lpstr>'415'!OSRRefH22_5x_0</vt:lpstr>
      <vt:lpstr>'418'!OSRRefH22_5x_0</vt:lpstr>
      <vt:lpstr>'423'!OSRRefH22_5x_0</vt:lpstr>
      <vt:lpstr>'425'!OSRRefH22_5x_0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'315'!OSRRefH22_6x_0</vt:lpstr>
      <vt:lpstr>'316'!OSRRefH22_6x_0</vt:lpstr>
      <vt:lpstr>'317'!OSRRefH22_6x_0</vt:lpstr>
      <vt:lpstr>'321'!OSRRefH22_6x_0</vt:lpstr>
      <vt:lpstr>'325'!OSRRefH22_6x_0</vt:lpstr>
      <vt:lpstr>'326'!OSRRefH22_6x_0</vt:lpstr>
      <vt:lpstr>'331'!OSRRefH22_6x_0</vt:lpstr>
      <vt:lpstr>'332'!OSRRefH22_6x_0</vt:lpstr>
      <vt:lpstr>'333'!OSRRefH22_6x_0</vt:lpstr>
      <vt:lpstr>'405'!OSRRefH22_6x_0</vt:lpstr>
      <vt:lpstr>'411'!OSRRefH22_6x_0</vt:lpstr>
      <vt:lpstr>'415'!OSRRefH22_6x_0</vt:lpstr>
      <vt:lpstr>'418'!OSRRefH22_6x_0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'315'!OSRRefH22_7x_0</vt:lpstr>
      <vt:lpstr>'316'!OSRRefH22_7x_0</vt:lpstr>
      <vt:lpstr>'317'!OSRRefH22_7x_0</vt:lpstr>
      <vt:lpstr>'321'!OSRRefH22_7x_0</vt:lpstr>
      <vt:lpstr>'325'!OSRRefH22_7x_0</vt:lpstr>
      <vt:lpstr>'326'!OSRRefH22_7x_0</vt:lpstr>
      <vt:lpstr>'331'!OSRRefH22_7x_0</vt:lpstr>
      <vt:lpstr>'332'!OSRRefH22_7x_0</vt:lpstr>
      <vt:lpstr>'333'!OSRRefH22_7x_0</vt:lpstr>
      <vt:lpstr>'405'!OSRRefH22_7x_0</vt:lpstr>
      <vt:lpstr>'411'!OSRRefH22_7x_0</vt:lpstr>
      <vt:lpstr>'415'!OSRRefH22_7x_0</vt:lpstr>
      <vt:lpstr>'418'!OSRRefH22_7x_0</vt:lpstr>
      <vt:lpstr>'430'!OSRRefH22_7x_0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'315'!OSRRefH22_8x_0</vt:lpstr>
      <vt:lpstr>'316'!OSRRefH22_8x_0</vt:lpstr>
      <vt:lpstr>'317'!OSRRefH22_8x_0</vt:lpstr>
      <vt:lpstr>'321'!OSRRefH22_8x_0</vt:lpstr>
      <vt:lpstr>'325'!OSRRefH22_8x_0</vt:lpstr>
      <vt:lpstr>'326'!OSRRefH22_8x_0</vt:lpstr>
      <vt:lpstr>'331'!OSRRefH22_8x_0</vt:lpstr>
      <vt:lpstr>'332'!OSRRefH22_8x_0</vt:lpstr>
      <vt:lpstr>'333'!OSRRefH22_8x_0</vt:lpstr>
      <vt:lpstr>'405'!OSRRefH22_8x_0</vt:lpstr>
      <vt:lpstr>'411'!OSRRefH22_8x_0</vt:lpstr>
      <vt:lpstr>'415'!OSRRefH22_8x_0</vt:lpstr>
      <vt:lpstr>'418'!OSRRefH22_8x_0</vt:lpstr>
      <vt:lpstr>'430'!OSRRefH22_8x_0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'310'!OSRRefH22_9x_0</vt:lpstr>
      <vt:lpstr>'310 &amp; 491'!OSRRefH22_9x_0</vt:lpstr>
      <vt:lpstr>'311'!OSRRefH22_9x_0</vt:lpstr>
      <vt:lpstr>'315'!OSRRefH22_9x_0</vt:lpstr>
      <vt:lpstr>'316'!OSRRefH22_9x_0</vt:lpstr>
      <vt:lpstr>'317'!OSRRefH22_9x_0</vt:lpstr>
      <vt:lpstr>'321'!OSRRefH22_9x_0</vt:lpstr>
      <vt:lpstr>'325'!OSRRefH22_9x_0</vt:lpstr>
      <vt:lpstr>'326'!OSRRefH22_9x_0</vt:lpstr>
      <vt:lpstr>'331'!OSRRefH22_9x_0</vt:lpstr>
      <vt:lpstr>'332'!OSRRefH22_9x_0</vt:lpstr>
      <vt:lpstr>'333'!OSRRefH22_9x_0</vt:lpstr>
      <vt:lpstr>'405'!OSRRefH22_9x_0</vt:lpstr>
      <vt:lpstr>'411'!OSRRefH22_9x_0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'315'!OSRRefH22x_0</vt:lpstr>
      <vt:lpstr>'316'!OSRRefH22x_0</vt:lpstr>
      <vt:lpstr>'317'!OSRRefH22x_0</vt:lpstr>
      <vt:lpstr>'321'!OSRRefH22x_0</vt:lpstr>
      <vt:lpstr>'325'!OSRRefH22x_0</vt:lpstr>
      <vt:lpstr>'326'!OSRRefH22x_0</vt:lpstr>
      <vt:lpstr>'327'!OSRRefH22x_0</vt:lpstr>
      <vt:lpstr>'331'!OSRRefH22x_0</vt:lpstr>
      <vt:lpstr>'332'!OSRRefH22x_0</vt:lpstr>
      <vt:lpstr>'333'!OSRRefH22x_0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'331'!OSRRefH25x_0</vt:lpstr>
      <vt:lpstr>'332'!OSRRefH25x_0</vt:lpstr>
      <vt:lpstr>'333'!OSRRefH25x_0</vt:lpstr>
      <vt:lpstr>'405'!OSRRefH25x_0</vt:lpstr>
      <vt:lpstr>'411'!OSRRefH25x_0</vt:lpstr>
      <vt:lpstr>'415'!OSRRefH25x_0</vt:lpstr>
      <vt:lpstr>'418'!OSRRefH25x_0</vt:lpstr>
      <vt:lpstr>'423'!OSRRefH25x_0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'310'!OSRRefP13x_0</vt:lpstr>
      <vt:lpstr>'310 &amp; 491'!OSRRefP13x_0</vt:lpstr>
      <vt:lpstr>'311'!OSRRefP13x_0</vt:lpstr>
      <vt:lpstr>'315'!OSRRefP13x_0</vt:lpstr>
      <vt:lpstr>'316'!OSRRefP13x_0</vt:lpstr>
      <vt:lpstr>'317'!OSRRefP13x_0</vt:lpstr>
      <vt:lpstr>'321'!OSRRefP13x_0</vt:lpstr>
      <vt:lpstr>'324'!OSRRefP13x_0</vt:lpstr>
      <vt:lpstr>'325'!OSRRefP13x_0</vt:lpstr>
      <vt:lpstr>'326'!OSRRefP13x_0</vt:lpstr>
      <vt:lpstr>'327'!OSRRefP13x_0</vt:lpstr>
      <vt:lpstr>'331'!OSRRefP13x_0</vt:lpstr>
      <vt:lpstr>'332'!OSRRefP13x_0</vt:lpstr>
      <vt:lpstr>'333'!OSRRefP13x_0</vt:lpstr>
      <vt:lpstr>'405'!OSRRefP13x_0</vt:lpstr>
      <vt:lpstr>'415'!OSRRefP13x_0</vt:lpstr>
      <vt:lpstr>'418'!OSRRefP13x_0</vt:lpstr>
      <vt:lpstr>'425'!OSRRefP13x_0</vt:lpstr>
      <vt:lpstr>'433'!OSRRefP13x_0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'301'!OSRRefP16x_0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'315'!OSRRefP16x_0</vt:lpstr>
      <vt:lpstr>'316'!OSRRefP16x_0</vt:lpstr>
      <vt:lpstr>'317'!OSRRefP16x_0</vt:lpstr>
      <vt:lpstr>'321'!OSRRefP16x_0</vt:lpstr>
      <vt:lpstr>'324'!OSRRefP16x_0</vt:lpstr>
      <vt:lpstr>'325'!OSRRefP16x_0</vt:lpstr>
      <vt:lpstr>'326'!OSRRefP16x_0</vt:lpstr>
      <vt:lpstr>'327'!OSRRefP16x_0</vt:lpstr>
      <vt:lpstr>'331'!OSRRefP16x_0</vt:lpstr>
      <vt:lpstr>'332'!OSRRefP16x_0</vt:lpstr>
      <vt:lpstr>'333'!OSRRefP16x_0</vt:lpstr>
      <vt:lpstr>'405'!OSRRefP16x_0</vt:lpstr>
      <vt:lpstr>'415'!OSRRefP16x_0</vt:lpstr>
      <vt:lpstr>'418'!OSRRefP16x_0</vt:lpstr>
      <vt:lpstr>'425'!OSRRefP16x_0</vt:lpstr>
      <vt:lpstr>'433'!OSRRefP16x_0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'315'!OSRRefP22_0x_0</vt:lpstr>
      <vt:lpstr>'316'!OSRRefP22_0x_0</vt:lpstr>
      <vt:lpstr>'317'!OSRRefP22_0x_0</vt:lpstr>
      <vt:lpstr>'321'!OSRRefP22_0x_0</vt:lpstr>
      <vt:lpstr>'325'!OSRRefP22_0x_0</vt:lpstr>
      <vt:lpstr>'326'!OSRRefP22_0x_0</vt:lpstr>
      <vt:lpstr>'327'!OSRRefP22_0x_0</vt:lpstr>
      <vt:lpstr>'331'!OSRRefP22_0x_0</vt:lpstr>
      <vt:lpstr>'332'!OSRRefP22_0x_0</vt:lpstr>
      <vt:lpstr>'333'!OSRRefP22_0x_0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'310'!OSRRefP22_10x_0</vt:lpstr>
      <vt:lpstr>'310 &amp; 491'!OSRRefP22_10x_0</vt:lpstr>
      <vt:lpstr>'311'!OSRRefP22_10x_0</vt:lpstr>
      <vt:lpstr>'315'!OSRRefP22_10x_0</vt:lpstr>
      <vt:lpstr>'316'!OSRRefP22_10x_0</vt:lpstr>
      <vt:lpstr>'321'!OSRRefP22_10x_0</vt:lpstr>
      <vt:lpstr>'325'!OSRRefP22_10x_0</vt:lpstr>
      <vt:lpstr>'326'!OSRRefP22_10x_0</vt:lpstr>
      <vt:lpstr>'331'!OSRRefP22_10x_0</vt:lpstr>
      <vt:lpstr>'332'!OSRRefP22_10x_0</vt:lpstr>
      <vt:lpstr>'333'!OSRRefP22_10x_0</vt:lpstr>
      <vt:lpstr>'405'!OSRRefP22_10x_0</vt:lpstr>
      <vt:lpstr>'411'!OSRRefP22_10x_0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'310'!OSRRefP22_11x_0</vt:lpstr>
      <vt:lpstr>'310 &amp; 491'!OSRRefP22_11x_0</vt:lpstr>
      <vt:lpstr>'311'!OSRRefP22_11x_0</vt:lpstr>
      <vt:lpstr>'315'!OSRRefP22_11x_0</vt:lpstr>
      <vt:lpstr>'321'!OSRRefP22_11x_0</vt:lpstr>
      <vt:lpstr>'325'!OSRRefP22_11x_0</vt:lpstr>
      <vt:lpstr>'326'!OSRRefP22_11x_0</vt:lpstr>
      <vt:lpstr>'331'!OSRRefP22_11x_0</vt:lpstr>
      <vt:lpstr>'333'!OSRRefP22_11x_0</vt:lpstr>
      <vt:lpstr>'405'!OSRRefP22_11x_0</vt:lpstr>
      <vt:lpstr>'411'!OSRRefP22_11x_0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'310'!OSRRefP22_12x_0</vt:lpstr>
      <vt:lpstr>'310 &amp; 491'!OSRRefP22_12x_0</vt:lpstr>
      <vt:lpstr>'311'!OSRRefP22_12x_0</vt:lpstr>
      <vt:lpstr>'315'!OSRRefP22_12x_0</vt:lpstr>
      <vt:lpstr>'325'!OSRRefP22_12x_0</vt:lpstr>
      <vt:lpstr>'326'!OSRRefP22_12x_0</vt:lpstr>
      <vt:lpstr>'331'!OSRRefP22_12x_0</vt:lpstr>
      <vt:lpstr>'333'!OSRRefP22_12x_0</vt:lpstr>
      <vt:lpstr>'405'!OSRRefP22_12x_0</vt:lpstr>
      <vt:lpstr>'411'!OSRRefP22_12x_0</vt:lpstr>
      <vt:lpstr>'415'!OSRRefP22_12x_0</vt:lpstr>
      <vt:lpstr>'418'!OSRRefP22_12x_0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Summary!OSRRefP22_12x_0</vt:lpstr>
      <vt:lpstr>'201'!OSRRefP22_13x_0</vt:lpstr>
      <vt:lpstr>'203'!OSRRefP22_13x_0</vt:lpstr>
      <vt:lpstr>'300'!OSRRefP22_13x_0</vt:lpstr>
      <vt:lpstr>'300 &amp; 317'!OSRRefP22_13x_0</vt:lpstr>
      <vt:lpstr>'301'!OSRRefP22_13x_0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'325'!OSRRefP22_13x_0</vt:lpstr>
      <vt:lpstr>'326'!OSRRefP22_13x_0</vt:lpstr>
      <vt:lpstr>'331'!OSRRefP22_13x_0</vt:lpstr>
      <vt:lpstr>'333'!OSRRefP22_13x_0</vt:lpstr>
      <vt:lpstr>'405'!OSRRefP22_13x_0</vt:lpstr>
      <vt:lpstr>'411'!OSRRefP22_13x_0</vt:lpstr>
      <vt:lpstr>'415'!OSRRefP22_13x_0</vt:lpstr>
      <vt:lpstr>'418'!OSRRefP22_13x_0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'501'!OSRRefP22_13x_0</vt:lpstr>
      <vt:lpstr>'Div 2'!OSRRefP22_13x_0</vt:lpstr>
      <vt:lpstr>'Div 3'!OSRRefP22_13x_0</vt:lpstr>
      <vt:lpstr>'Div 4'!OSRRefP22_13x_0</vt:lpstr>
      <vt:lpstr>'Div 5'!OSRRefP22_13x_0</vt:lpstr>
      <vt:lpstr>Summary!OSRRefP22_13x_0</vt:lpstr>
      <vt:lpstr>'201'!OSRRefP22_14x_0</vt:lpstr>
      <vt:lpstr>'203'!OSRRefP22_14x_0</vt:lpstr>
      <vt:lpstr>'300'!OSRRefP22_14x_0</vt:lpstr>
      <vt:lpstr>'300 &amp; 317'!OSRRefP22_14x_0</vt:lpstr>
      <vt:lpstr>'301'!OSRRefP22_14x_0</vt:lpstr>
      <vt:lpstr>'310'!OSRRefP22_14x_0</vt:lpstr>
      <vt:lpstr>'310 &amp; 491'!OSRRefP22_14x_0</vt:lpstr>
      <vt:lpstr>'315'!OSRRefP22_14x_0</vt:lpstr>
      <vt:lpstr>'325'!OSRRefP22_14x_0</vt:lpstr>
      <vt:lpstr>'326'!OSRRefP22_14x_0</vt:lpstr>
      <vt:lpstr>'331'!OSRRefP22_14x_0</vt:lpstr>
      <vt:lpstr>'333'!OSRRefP22_14x_0</vt:lpstr>
      <vt:lpstr>'405'!OSRRefP22_14x_0</vt:lpstr>
      <vt:lpstr>'411'!OSRRefP22_14x_0</vt:lpstr>
      <vt:lpstr>'415'!OSRRefP22_14x_0</vt:lpstr>
      <vt:lpstr>'418'!OSRRefP22_14x_0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'325'!OSRRefP22_15x_0</vt:lpstr>
      <vt:lpstr>'326'!OSRRefP22_15x_0</vt:lpstr>
      <vt:lpstr>'331'!OSRRefP22_15x_0</vt:lpstr>
      <vt:lpstr>'333'!OSRRefP22_15x_0</vt:lpstr>
      <vt:lpstr>'405'!OSRRefP22_15x_0</vt:lpstr>
      <vt:lpstr>'415'!OSRRefP22_15x_0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'315'!OSRRefP22_16x_0</vt:lpstr>
      <vt:lpstr>'326'!OSRRefP22_16x_0</vt:lpstr>
      <vt:lpstr>'331'!OSRRefP22_16x_0</vt:lpstr>
      <vt:lpstr>'333'!OSRRefP22_16x_0</vt:lpstr>
      <vt:lpstr>'415'!OSRRefP22_16x_0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'315'!OSRRefP22_17x_0</vt:lpstr>
      <vt:lpstr>'326'!OSRRefP22_17x_0</vt:lpstr>
      <vt:lpstr>'331'!OSRRefP22_17x_0</vt:lpstr>
      <vt:lpstr>'333'!OSRRefP22_17x_0</vt:lpstr>
      <vt:lpstr>'415'!OSRRefP22_17x_0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 &amp; 491'!OSRRefP22_18x_0</vt:lpstr>
      <vt:lpstr>'331'!OSRRefP22_18x_0</vt:lpstr>
      <vt:lpstr>'333'!OSRRefP22_18x_0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 &amp; 491'!OSRRefP22_19x_0</vt:lpstr>
      <vt:lpstr>'331'!OSRRefP22_19x_0</vt:lpstr>
      <vt:lpstr>'333'!OSRRefP22_19x_0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'315'!OSRRefP22_1x_0</vt:lpstr>
      <vt:lpstr>'316'!OSRRefP22_1x_0</vt:lpstr>
      <vt:lpstr>'317'!OSRRefP22_1x_0</vt:lpstr>
      <vt:lpstr>'321'!OSRRefP22_1x_0</vt:lpstr>
      <vt:lpstr>'325'!OSRRefP22_1x_0</vt:lpstr>
      <vt:lpstr>'326'!OSRRefP22_1x_0</vt:lpstr>
      <vt:lpstr>'327'!OSRRefP22_1x_0</vt:lpstr>
      <vt:lpstr>'331'!OSRRefP22_1x_0</vt:lpstr>
      <vt:lpstr>'332'!OSRRefP22_1x_0</vt:lpstr>
      <vt:lpstr>'333'!OSRRefP22_1x_0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 &amp; 491'!OSRRefP22_20x_0</vt:lpstr>
      <vt:lpstr>'331'!OSRRefP22_20x_0</vt:lpstr>
      <vt:lpstr>'333'!OSRRefP22_20x_0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'331'!OSRRefP22_21x_0</vt:lpstr>
      <vt:lpstr>'333'!OSRRefP22_21x_0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'Div 3'!OSRRefP22_23x_0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'315'!OSRRefP22_2x_0</vt:lpstr>
      <vt:lpstr>'316'!OSRRefP22_2x_0</vt:lpstr>
      <vt:lpstr>'317'!OSRRefP22_2x_0</vt:lpstr>
      <vt:lpstr>'321'!OSRRefP22_2x_0</vt:lpstr>
      <vt:lpstr>'325'!OSRRefP22_2x_0</vt:lpstr>
      <vt:lpstr>'326'!OSRRefP22_2x_0</vt:lpstr>
      <vt:lpstr>'331'!OSRRefP22_2x_0</vt:lpstr>
      <vt:lpstr>'332'!OSRRefP22_2x_0</vt:lpstr>
      <vt:lpstr>'333'!OSRRefP22_2x_0</vt:lpstr>
      <vt:lpstr>'405'!OSRRefP22_2x_0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'315'!OSRRefP22_3x_0</vt:lpstr>
      <vt:lpstr>'316'!OSRRefP22_3x_0</vt:lpstr>
      <vt:lpstr>'317'!OSRRefP22_3x_0</vt:lpstr>
      <vt:lpstr>'321'!OSRRefP22_3x_0</vt:lpstr>
      <vt:lpstr>'325'!OSRRefP22_3x_0</vt:lpstr>
      <vt:lpstr>'326'!OSRRefP22_3x_0</vt:lpstr>
      <vt:lpstr>'331'!OSRRefP22_3x_0</vt:lpstr>
      <vt:lpstr>'332'!OSRRefP22_3x_0</vt:lpstr>
      <vt:lpstr>'333'!OSRRefP22_3x_0</vt:lpstr>
      <vt:lpstr>'405'!OSRRefP22_3x_0</vt:lpstr>
      <vt:lpstr>'411'!OSRRefP22_3x_0</vt:lpstr>
      <vt:lpstr>'412'!OSRRefP22_3x_0</vt:lpstr>
      <vt:lpstr>'415'!OSRRefP22_3x_0</vt:lpstr>
      <vt:lpstr>'418'!OSRRefP22_3x_0</vt:lpstr>
      <vt:lpstr>'423'!OSRRefP22_3x_0</vt:lpstr>
      <vt:lpstr>'425'!OSRRefP22_3x_0</vt:lpstr>
      <vt:lpstr>'430'!OSRRefP22_3x_0</vt:lpstr>
      <vt:lpstr>'433'!OSRRefP22_3x_0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'315'!OSRRefP22_4x_0</vt:lpstr>
      <vt:lpstr>'316'!OSRRefP22_4x_0</vt:lpstr>
      <vt:lpstr>'317'!OSRRefP22_4x_0</vt:lpstr>
      <vt:lpstr>'321'!OSRRefP22_4x_0</vt:lpstr>
      <vt:lpstr>'325'!OSRRefP22_4x_0</vt:lpstr>
      <vt:lpstr>'326'!OSRRefP22_4x_0</vt:lpstr>
      <vt:lpstr>'331'!OSRRefP22_4x_0</vt:lpstr>
      <vt:lpstr>'332'!OSRRefP22_4x_0</vt:lpstr>
      <vt:lpstr>'333'!OSRRefP22_4x_0</vt:lpstr>
      <vt:lpstr>'405'!OSRRefP22_4x_0</vt:lpstr>
      <vt:lpstr>'411'!OSRRefP22_4x_0</vt:lpstr>
      <vt:lpstr>'415'!OSRRefP22_4x_0</vt:lpstr>
      <vt:lpstr>'418'!OSRRefP22_4x_0</vt:lpstr>
      <vt:lpstr>'423'!OSRRefP22_4x_0</vt:lpstr>
      <vt:lpstr>'425'!OSRRefP22_4x_0</vt:lpstr>
      <vt:lpstr>'430'!OSRRefP22_4x_0</vt:lpstr>
      <vt:lpstr>'433'!OSRRefP22_4x_0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'315'!OSRRefP22_5x_0</vt:lpstr>
      <vt:lpstr>'316'!OSRRefP22_5x_0</vt:lpstr>
      <vt:lpstr>'317'!OSRRefP22_5x_0</vt:lpstr>
      <vt:lpstr>'321'!OSRRefP22_5x_0</vt:lpstr>
      <vt:lpstr>'325'!OSRRefP22_5x_0</vt:lpstr>
      <vt:lpstr>'326'!OSRRefP22_5x_0</vt:lpstr>
      <vt:lpstr>'331'!OSRRefP22_5x_0</vt:lpstr>
      <vt:lpstr>'332'!OSRRefP22_5x_0</vt:lpstr>
      <vt:lpstr>'333'!OSRRefP22_5x_0</vt:lpstr>
      <vt:lpstr>'405'!OSRRefP22_5x_0</vt:lpstr>
      <vt:lpstr>'411'!OSRRefP22_5x_0</vt:lpstr>
      <vt:lpstr>'415'!OSRRefP22_5x_0</vt:lpstr>
      <vt:lpstr>'418'!OSRRefP22_5x_0</vt:lpstr>
      <vt:lpstr>'423'!OSRRefP22_5x_0</vt:lpstr>
      <vt:lpstr>'425'!OSRRefP22_5x_0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'315'!OSRRefP22_6x_0</vt:lpstr>
      <vt:lpstr>'316'!OSRRefP22_6x_0</vt:lpstr>
      <vt:lpstr>'317'!OSRRefP22_6x_0</vt:lpstr>
      <vt:lpstr>'321'!OSRRefP22_6x_0</vt:lpstr>
      <vt:lpstr>'325'!OSRRefP22_6x_0</vt:lpstr>
      <vt:lpstr>'326'!OSRRefP22_6x_0</vt:lpstr>
      <vt:lpstr>'331'!OSRRefP22_6x_0</vt:lpstr>
      <vt:lpstr>'332'!OSRRefP22_6x_0</vt:lpstr>
      <vt:lpstr>'333'!OSRRefP22_6x_0</vt:lpstr>
      <vt:lpstr>'405'!OSRRefP22_6x_0</vt:lpstr>
      <vt:lpstr>'411'!OSRRefP22_6x_0</vt:lpstr>
      <vt:lpstr>'415'!OSRRefP22_6x_0</vt:lpstr>
      <vt:lpstr>'418'!OSRRefP22_6x_0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'315'!OSRRefP22_7x_0</vt:lpstr>
      <vt:lpstr>'316'!OSRRefP22_7x_0</vt:lpstr>
      <vt:lpstr>'317'!OSRRefP22_7x_0</vt:lpstr>
      <vt:lpstr>'321'!OSRRefP22_7x_0</vt:lpstr>
      <vt:lpstr>'325'!OSRRefP22_7x_0</vt:lpstr>
      <vt:lpstr>'326'!OSRRefP22_7x_0</vt:lpstr>
      <vt:lpstr>'331'!OSRRefP22_7x_0</vt:lpstr>
      <vt:lpstr>'332'!OSRRefP22_7x_0</vt:lpstr>
      <vt:lpstr>'333'!OSRRefP22_7x_0</vt:lpstr>
      <vt:lpstr>'405'!OSRRefP22_7x_0</vt:lpstr>
      <vt:lpstr>'411'!OSRRefP22_7x_0</vt:lpstr>
      <vt:lpstr>'415'!OSRRefP22_7x_0</vt:lpstr>
      <vt:lpstr>'418'!OSRRefP22_7x_0</vt:lpstr>
      <vt:lpstr>'430'!OSRRefP22_7x_0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'315'!OSRRefP22_8x_0</vt:lpstr>
      <vt:lpstr>'316'!OSRRefP22_8x_0</vt:lpstr>
      <vt:lpstr>'317'!OSRRefP22_8x_0</vt:lpstr>
      <vt:lpstr>'321'!OSRRefP22_8x_0</vt:lpstr>
      <vt:lpstr>'325'!OSRRefP22_8x_0</vt:lpstr>
      <vt:lpstr>'326'!OSRRefP22_8x_0</vt:lpstr>
      <vt:lpstr>'331'!OSRRefP22_8x_0</vt:lpstr>
      <vt:lpstr>'332'!OSRRefP22_8x_0</vt:lpstr>
      <vt:lpstr>'333'!OSRRefP22_8x_0</vt:lpstr>
      <vt:lpstr>'405'!OSRRefP22_8x_0</vt:lpstr>
      <vt:lpstr>'411'!OSRRefP22_8x_0</vt:lpstr>
      <vt:lpstr>'415'!OSRRefP22_8x_0</vt:lpstr>
      <vt:lpstr>'418'!OSRRefP22_8x_0</vt:lpstr>
      <vt:lpstr>'430'!OSRRefP22_8x_0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'310'!OSRRefP22_9x_0</vt:lpstr>
      <vt:lpstr>'310 &amp; 491'!OSRRefP22_9x_0</vt:lpstr>
      <vt:lpstr>'311'!OSRRefP22_9x_0</vt:lpstr>
      <vt:lpstr>'315'!OSRRefP22_9x_0</vt:lpstr>
      <vt:lpstr>'316'!OSRRefP22_9x_0</vt:lpstr>
      <vt:lpstr>'317'!OSRRefP22_9x_0</vt:lpstr>
      <vt:lpstr>'321'!OSRRefP22_9x_0</vt:lpstr>
      <vt:lpstr>'325'!OSRRefP22_9x_0</vt:lpstr>
      <vt:lpstr>'326'!OSRRefP22_9x_0</vt:lpstr>
      <vt:lpstr>'331'!OSRRefP22_9x_0</vt:lpstr>
      <vt:lpstr>'332'!OSRRefP22_9x_0</vt:lpstr>
      <vt:lpstr>'333'!OSRRefP22_9x_0</vt:lpstr>
      <vt:lpstr>'405'!OSRRefP22_9x_0</vt:lpstr>
      <vt:lpstr>'411'!OSRRefP22_9x_0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'315'!OSRRefP22x_0</vt:lpstr>
      <vt:lpstr>'316'!OSRRefP22x_0</vt:lpstr>
      <vt:lpstr>'317'!OSRRefP22x_0</vt:lpstr>
      <vt:lpstr>'321'!OSRRefP22x_0</vt:lpstr>
      <vt:lpstr>'325'!OSRRefP22x_0</vt:lpstr>
      <vt:lpstr>'326'!OSRRefP22x_0</vt:lpstr>
      <vt:lpstr>'327'!OSRRefP22x_0</vt:lpstr>
      <vt:lpstr>'331'!OSRRefP22x_0</vt:lpstr>
      <vt:lpstr>'332'!OSRRefP22x_0</vt:lpstr>
      <vt:lpstr>'333'!OSRRefP22x_0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'331'!OSRRefP25x_0</vt:lpstr>
      <vt:lpstr>'332'!OSRRefP25x_0</vt:lpstr>
      <vt:lpstr>'333'!OSRRefP25x_0</vt:lpstr>
      <vt:lpstr>'405'!OSRRefP25x_0</vt:lpstr>
      <vt:lpstr>'411'!OSRRefP25x_0</vt:lpstr>
      <vt:lpstr>'415'!OSRRefP25x_0</vt:lpstr>
      <vt:lpstr>'418'!OSRRefP25x_0</vt:lpstr>
      <vt:lpstr>'423'!OSRRefP25x_0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'310'!OSRRefT13x_0</vt:lpstr>
      <vt:lpstr>'310 &amp; 491'!OSRRefT13x_0</vt:lpstr>
      <vt:lpstr>'311'!OSRRefT13x_0</vt:lpstr>
      <vt:lpstr>'315'!OSRRefT13x_0</vt:lpstr>
      <vt:lpstr>'316'!OSRRefT13x_0</vt:lpstr>
      <vt:lpstr>'317'!OSRRefT13x_0</vt:lpstr>
      <vt:lpstr>'321'!OSRRefT13x_0</vt:lpstr>
      <vt:lpstr>'324'!OSRRefT13x_0</vt:lpstr>
      <vt:lpstr>'325'!OSRRefT13x_0</vt:lpstr>
      <vt:lpstr>'326'!OSRRefT13x_0</vt:lpstr>
      <vt:lpstr>'327'!OSRRefT13x_0</vt:lpstr>
      <vt:lpstr>'331'!OSRRefT13x_0</vt:lpstr>
      <vt:lpstr>'332'!OSRRefT13x_0</vt:lpstr>
      <vt:lpstr>'333'!OSRRefT13x_0</vt:lpstr>
      <vt:lpstr>'405'!OSRRefT13x_0</vt:lpstr>
      <vt:lpstr>'415'!OSRRefT13x_0</vt:lpstr>
      <vt:lpstr>'418'!OSRRefT13x_0</vt:lpstr>
      <vt:lpstr>'425'!OSRRefT13x_0</vt:lpstr>
      <vt:lpstr>'433'!OSRRefT13x_0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'301'!OSRRefT16x_0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'315'!OSRRefT16x_0</vt:lpstr>
      <vt:lpstr>'316'!OSRRefT16x_0</vt:lpstr>
      <vt:lpstr>'317'!OSRRefT16x_0</vt:lpstr>
      <vt:lpstr>'321'!OSRRefT16x_0</vt:lpstr>
      <vt:lpstr>'324'!OSRRefT16x_0</vt:lpstr>
      <vt:lpstr>'325'!OSRRefT16x_0</vt:lpstr>
      <vt:lpstr>'326'!OSRRefT16x_0</vt:lpstr>
      <vt:lpstr>'327'!OSRRefT16x_0</vt:lpstr>
      <vt:lpstr>'331'!OSRRefT16x_0</vt:lpstr>
      <vt:lpstr>'332'!OSRRefT16x_0</vt:lpstr>
      <vt:lpstr>'333'!OSRRefT16x_0</vt:lpstr>
      <vt:lpstr>'405'!OSRRefT16x_0</vt:lpstr>
      <vt:lpstr>'415'!OSRRefT16x_0</vt:lpstr>
      <vt:lpstr>'418'!OSRRefT16x_0</vt:lpstr>
      <vt:lpstr>'425'!OSRRefT16x_0</vt:lpstr>
      <vt:lpstr>'433'!OSRRefT16x_0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'315'!OSRRefT22_0x_0</vt:lpstr>
      <vt:lpstr>'316'!OSRRefT22_0x_0</vt:lpstr>
      <vt:lpstr>'317'!OSRRefT22_0x_0</vt:lpstr>
      <vt:lpstr>'321'!OSRRefT22_0x_0</vt:lpstr>
      <vt:lpstr>'325'!OSRRefT22_0x_0</vt:lpstr>
      <vt:lpstr>'326'!OSRRefT22_0x_0</vt:lpstr>
      <vt:lpstr>'327'!OSRRefT22_0x_0</vt:lpstr>
      <vt:lpstr>'331'!OSRRefT22_0x_0</vt:lpstr>
      <vt:lpstr>'332'!OSRRefT22_0x_0</vt:lpstr>
      <vt:lpstr>'333'!OSRRefT22_0x_0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'310'!OSRRefT22_10x_0</vt:lpstr>
      <vt:lpstr>'310 &amp; 491'!OSRRefT22_10x_0</vt:lpstr>
      <vt:lpstr>'311'!OSRRefT22_10x_0</vt:lpstr>
      <vt:lpstr>'315'!OSRRefT22_10x_0</vt:lpstr>
      <vt:lpstr>'316'!OSRRefT22_10x_0</vt:lpstr>
      <vt:lpstr>'321'!OSRRefT22_10x_0</vt:lpstr>
      <vt:lpstr>'325'!OSRRefT22_10x_0</vt:lpstr>
      <vt:lpstr>'326'!OSRRefT22_10x_0</vt:lpstr>
      <vt:lpstr>'331'!OSRRefT22_10x_0</vt:lpstr>
      <vt:lpstr>'332'!OSRRefT22_10x_0</vt:lpstr>
      <vt:lpstr>'333'!OSRRefT22_10x_0</vt:lpstr>
      <vt:lpstr>'405'!OSRRefT22_10x_0</vt:lpstr>
      <vt:lpstr>'411'!OSRRefT22_10x_0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'310'!OSRRefT22_11x_0</vt:lpstr>
      <vt:lpstr>'310 &amp; 491'!OSRRefT22_11x_0</vt:lpstr>
      <vt:lpstr>'311'!OSRRefT22_11x_0</vt:lpstr>
      <vt:lpstr>'315'!OSRRefT22_11x_0</vt:lpstr>
      <vt:lpstr>'321'!OSRRefT22_11x_0</vt:lpstr>
      <vt:lpstr>'325'!OSRRefT22_11x_0</vt:lpstr>
      <vt:lpstr>'326'!OSRRefT22_11x_0</vt:lpstr>
      <vt:lpstr>'331'!OSRRefT22_11x_0</vt:lpstr>
      <vt:lpstr>'333'!OSRRefT22_11x_0</vt:lpstr>
      <vt:lpstr>'405'!OSRRefT22_11x_0</vt:lpstr>
      <vt:lpstr>'411'!OSRRefT22_11x_0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'310'!OSRRefT22_12x_0</vt:lpstr>
      <vt:lpstr>'310 &amp; 491'!OSRRefT22_12x_0</vt:lpstr>
      <vt:lpstr>'311'!OSRRefT22_12x_0</vt:lpstr>
      <vt:lpstr>'315'!OSRRefT22_12x_0</vt:lpstr>
      <vt:lpstr>'325'!OSRRefT22_12x_0</vt:lpstr>
      <vt:lpstr>'326'!OSRRefT22_12x_0</vt:lpstr>
      <vt:lpstr>'331'!OSRRefT22_12x_0</vt:lpstr>
      <vt:lpstr>'333'!OSRRefT22_12x_0</vt:lpstr>
      <vt:lpstr>'405'!OSRRefT22_12x_0</vt:lpstr>
      <vt:lpstr>'411'!OSRRefT22_12x_0</vt:lpstr>
      <vt:lpstr>'415'!OSRRefT22_12x_0</vt:lpstr>
      <vt:lpstr>'418'!OSRRefT22_12x_0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Summary!OSRRefT22_12x_0</vt:lpstr>
      <vt:lpstr>'201'!OSRRefT22_13x_0</vt:lpstr>
      <vt:lpstr>'203'!OSRRefT22_13x_0</vt:lpstr>
      <vt:lpstr>'300'!OSRRefT22_13x_0</vt:lpstr>
      <vt:lpstr>'300 &amp; 317'!OSRRefT22_13x_0</vt:lpstr>
      <vt:lpstr>'301'!OSRRefT22_13x_0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'325'!OSRRefT22_13x_0</vt:lpstr>
      <vt:lpstr>'326'!OSRRefT22_13x_0</vt:lpstr>
      <vt:lpstr>'331'!OSRRefT22_13x_0</vt:lpstr>
      <vt:lpstr>'333'!OSRRefT22_13x_0</vt:lpstr>
      <vt:lpstr>'405'!OSRRefT22_13x_0</vt:lpstr>
      <vt:lpstr>'411'!OSRRefT22_13x_0</vt:lpstr>
      <vt:lpstr>'415'!OSRRefT22_13x_0</vt:lpstr>
      <vt:lpstr>'418'!OSRRefT22_13x_0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'501'!OSRRefT22_13x_0</vt:lpstr>
      <vt:lpstr>'Div 2'!OSRRefT22_13x_0</vt:lpstr>
      <vt:lpstr>'Div 3'!OSRRefT22_13x_0</vt:lpstr>
      <vt:lpstr>'Div 4'!OSRRefT22_13x_0</vt:lpstr>
      <vt:lpstr>'Div 5'!OSRRefT22_13x_0</vt:lpstr>
      <vt:lpstr>Summary!OSRRefT22_13x_0</vt:lpstr>
      <vt:lpstr>'201'!OSRRefT22_14x_0</vt:lpstr>
      <vt:lpstr>'203'!OSRRefT22_14x_0</vt:lpstr>
      <vt:lpstr>'300'!OSRRefT22_14x_0</vt:lpstr>
      <vt:lpstr>'300 &amp; 317'!OSRRefT22_14x_0</vt:lpstr>
      <vt:lpstr>'301'!OSRRefT22_14x_0</vt:lpstr>
      <vt:lpstr>'310'!OSRRefT22_14x_0</vt:lpstr>
      <vt:lpstr>'310 &amp; 491'!OSRRefT22_14x_0</vt:lpstr>
      <vt:lpstr>'315'!OSRRefT22_14x_0</vt:lpstr>
      <vt:lpstr>'325'!OSRRefT22_14x_0</vt:lpstr>
      <vt:lpstr>'326'!OSRRefT22_14x_0</vt:lpstr>
      <vt:lpstr>'331'!OSRRefT22_14x_0</vt:lpstr>
      <vt:lpstr>'333'!OSRRefT22_14x_0</vt:lpstr>
      <vt:lpstr>'405'!OSRRefT22_14x_0</vt:lpstr>
      <vt:lpstr>'411'!OSRRefT22_14x_0</vt:lpstr>
      <vt:lpstr>'415'!OSRRefT22_14x_0</vt:lpstr>
      <vt:lpstr>'418'!OSRRefT22_14x_0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'325'!OSRRefT22_15x_0</vt:lpstr>
      <vt:lpstr>'326'!OSRRefT22_15x_0</vt:lpstr>
      <vt:lpstr>'331'!OSRRefT22_15x_0</vt:lpstr>
      <vt:lpstr>'333'!OSRRefT22_15x_0</vt:lpstr>
      <vt:lpstr>'405'!OSRRefT22_15x_0</vt:lpstr>
      <vt:lpstr>'415'!OSRRefT22_15x_0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'315'!OSRRefT22_16x_0</vt:lpstr>
      <vt:lpstr>'326'!OSRRefT22_16x_0</vt:lpstr>
      <vt:lpstr>'331'!OSRRefT22_16x_0</vt:lpstr>
      <vt:lpstr>'333'!OSRRefT22_16x_0</vt:lpstr>
      <vt:lpstr>'415'!OSRRefT22_16x_0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'315'!OSRRefT22_17x_0</vt:lpstr>
      <vt:lpstr>'326'!OSRRefT22_17x_0</vt:lpstr>
      <vt:lpstr>'331'!OSRRefT22_17x_0</vt:lpstr>
      <vt:lpstr>'333'!OSRRefT22_17x_0</vt:lpstr>
      <vt:lpstr>'415'!OSRRefT22_17x_0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 &amp; 491'!OSRRefT22_18x_0</vt:lpstr>
      <vt:lpstr>'331'!OSRRefT22_18x_0</vt:lpstr>
      <vt:lpstr>'333'!OSRRefT22_18x_0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 &amp; 491'!OSRRefT22_19x_0</vt:lpstr>
      <vt:lpstr>'331'!OSRRefT22_19x_0</vt:lpstr>
      <vt:lpstr>'333'!OSRRefT22_19x_0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'315'!OSRRefT22_1x_0</vt:lpstr>
      <vt:lpstr>'316'!OSRRefT22_1x_0</vt:lpstr>
      <vt:lpstr>'317'!OSRRefT22_1x_0</vt:lpstr>
      <vt:lpstr>'321'!OSRRefT22_1x_0</vt:lpstr>
      <vt:lpstr>'325'!OSRRefT22_1x_0</vt:lpstr>
      <vt:lpstr>'326'!OSRRefT22_1x_0</vt:lpstr>
      <vt:lpstr>'327'!OSRRefT22_1x_0</vt:lpstr>
      <vt:lpstr>'331'!OSRRefT22_1x_0</vt:lpstr>
      <vt:lpstr>'332'!OSRRefT22_1x_0</vt:lpstr>
      <vt:lpstr>'333'!OSRRefT22_1x_0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 &amp; 491'!OSRRefT22_20x_0</vt:lpstr>
      <vt:lpstr>'331'!OSRRefT22_20x_0</vt:lpstr>
      <vt:lpstr>'333'!OSRRefT22_20x_0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'331'!OSRRefT22_21x_0</vt:lpstr>
      <vt:lpstr>'333'!OSRRefT22_21x_0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'Div 3'!OSRRefT22_23x_0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'315'!OSRRefT22_2x_0</vt:lpstr>
      <vt:lpstr>'316'!OSRRefT22_2x_0</vt:lpstr>
      <vt:lpstr>'317'!OSRRefT22_2x_0</vt:lpstr>
      <vt:lpstr>'321'!OSRRefT22_2x_0</vt:lpstr>
      <vt:lpstr>'325'!OSRRefT22_2x_0</vt:lpstr>
      <vt:lpstr>'326'!OSRRefT22_2x_0</vt:lpstr>
      <vt:lpstr>'331'!OSRRefT22_2x_0</vt:lpstr>
      <vt:lpstr>'332'!OSRRefT22_2x_0</vt:lpstr>
      <vt:lpstr>'333'!OSRRefT22_2x_0</vt:lpstr>
      <vt:lpstr>'405'!OSRRefT22_2x_0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'315'!OSRRefT22_3x_0</vt:lpstr>
      <vt:lpstr>'316'!OSRRefT22_3x_0</vt:lpstr>
      <vt:lpstr>'317'!OSRRefT22_3x_0</vt:lpstr>
      <vt:lpstr>'321'!OSRRefT22_3x_0</vt:lpstr>
      <vt:lpstr>'325'!OSRRefT22_3x_0</vt:lpstr>
      <vt:lpstr>'326'!OSRRefT22_3x_0</vt:lpstr>
      <vt:lpstr>'331'!OSRRefT22_3x_0</vt:lpstr>
      <vt:lpstr>'332'!OSRRefT22_3x_0</vt:lpstr>
      <vt:lpstr>'333'!OSRRefT22_3x_0</vt:lpstr>
      <vt:lpstr>'405'!OSRRefT22_3x_0</vt:lpstr>
      <vt:lpstr>'411'!OSRRefT22_3x_0</vt:lpstr>
      <vt:lpstr>'412'!OSRRefT22_3x_0</vt:lpstr>
      <vt:lpstr>'415'!OSRRefT22_3x_0</vt:lpstr>
      <vt:lpstr>'418'!OSRRefT22_3x_0</vt:lpstr>
      <vt:lpstr>'423'!OSRRefT22_3x_0</vt:lpstr>
      <vt:lpstr>'425'!OSRRefT22_3x_0</vt:lpstr>
      <vt:lpstr>'430'!OSRRefT22_3x_0</vt:lpstr>
      <vt:lpstr>'433'!OSRRefT22_3x_0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'315'!OSRRefT22_4x_0</vt:lpstr>
      <vt:lpstr>'316'!OSRRefT22_4x_0</vt:lpstr>
      <vt:lpstr>'317'!OSRRefT22_4x_0</vt:lpstr>
      <vt:lpstr>'321'!OSRRefT22_4x_0</vt:lpstr>
      <vt:lpstr>'325'!OSRRefT22_4x_0</vt:lpstr>
      <vt:lpstr>'326'!OSRRefT22_4x_0</vt:lpstr>
      <vt:lpstr>'331'!OSRRefT22_4x_0</vt:lpstr>
      <vt:lpstr>'332'!OSRRefT22_4x_0</vt:lpstr>
      <vt:lpstr>'333'!OSRRefT22_4x_0</vt:lpstr>
      <vt:lpstr>'405'!OSRRefT22_4x_0</vt:lpstr>
      <vt:lpstr>'411'!OSRRefT22_4x_0</vt:lpstr>
      <vt:lpstr>'415'!OSRRefT22_4x_0</vt:lpstr>
      <vt:lpstr>'418'!OSRRefT22_4x_0</vt:lpstr>
      <vt:lpstr>'423'!OSRRefT22_4x_0</vt:lpstr>
      <vt:lpstr>'425'!OSRRefT22_4x_0</vt:lpstr>
      <vt:lpstr>'430'!OSRRefT22_4x_0</vt:lpstr>
      <vt:lpstr>'433'!OSRRefT22_4x_0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'315'!OSRRefT22_5x_0</vt:lpstr>
      <vt:lpstr>'316'!OSRRefT22_5x_0</vt:lpstr>
      <vt:lpstr>'317'!OSRRefT22_5x_0</vt:lpstr>
      <vt:lpstr>'321'!OSRRefT22_5x_0</vt:lpstr>
      <vt:lpstr>'325'!OSRRefT22_5x_0</vt:lpstr>
      <vt:lpstr>'326'!OSRRefT22_5x_0</vt:lpstr>
      <vt:lpstr>'331'!OSRRefT22_5x_0</vt:lpstr>
      <vt:lpstr>'332'!OSRRefT22_5x_0</vt:lpstr>
      <vt:lpstr>'333'!OSRRefT22_5x_0</vt:lpstr>
      <vt:lpstr>'405'!OSRRefT22_5x_0</vt:lpstr>
      <vt:lpstr>'411'!OSRRefT22_5x_0</vt:lpstr>
      <vt:lpstr>'415'!OSRRefT22_5x_0</vt:lpstr>
      <vt:lpstr>'418'!OSRRefT22_5x_0</vt:lpstr>
      <vt:lpstr>'423'!OSRRefT22_5x_0</vt:lpstr>
      <vt:lpstr>'425'!OSRRefT22_5x_0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'315'!OSRRefT22_6x_0</vt:lpstr>
      <vt:lpstr>'316'!OSRRefT22_6x_0</vt:lpstr>
      <vt:lpstr>'317'!OSRRefT22_6x_0</vt:lpstr>
      <vt:lpstr>'321'!OSRRefT22_6x_0</vt:lpstr>
      <vt:lpstr>'325'!OSRRefT22_6x_0</vt:lpstr>
      <vt:lpstr>'326'!OSRRefT22_6x_0</vt:lpstr>
      <vt:lpstr>'331'!OSRRefT22_6x_0</vt:lpstr>
      <vt:lpstr>'332'!OSRRefT22_6x_0</vt:lpstr>
      <vt:lpstr>'333'!OSRRefT22_6x_0</vt:lpstr>
      <vt:lpstr>'405'!OSRRefT22_6x_0</vt:lpstr>
      <vt:lpstr>'411'!OSRRefT22_6x_0</vt:lpstr>
      <vt:lpstr>'415'!OSRRefT22_6x_0</vt:lpstr>
      <vt:lpstr>'418'!OSRRefT22_6x_0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'315'!OSRRefT22_7x_0</vt:lpstr>
      <vt:lpstr>'316'!OSRRefT22_7x_0</vt:lpstr>
      <vt:lpstr>'317'!OSRRefT22_7x_0</vt:lpstr>
      <vt:lpstr>'321'!OSRRefT22_7x_0</vt:lpstr>
      <vt:lpstr>'325'!OSRRefT22_7x_0</vt:lpstr>
      <vt:lpstr>'326'!OSRRefT22_7x_0</vt:lpstr>
      <vt:lpstr>'331'!OSRRefT22_7x_0</vt:lpstr>
      <vt:lpstr>'332'!OSRRefT22_7x_0</vt:lpstr>
      <vt:lpstr>'333'!OSRRefT22_7x_0</vt:lpstr>
      <vt:lpstr>'405'!OSRRefT22_7x_0</vt:lpstr>
      <vt:lpstr>'411'!OSRRefT22_7x_0</vt:lpstr>
      <vt:lpstr>'415'!OSRRefT22_7x_0</vt:lpstr>
      <vt:lpstr>'418'!OSRRefT22_7x_0</vt:lpstr>
      <vt:lpstr>'430'!OSRRefT22_7x_0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'315'!OSRRefT22_8x_0</vt:lpstr>
      <vt:lpstr>'316'!OSRRefT22_8x_0</vt:lpstr>
      <vt:lpstr>'317'!OSRRefT22_8x_0</vt:lpstr>
      <vt:lpstr>'321'!OSRRefT22_8x_0</vt:lpstr>
      <vt:lpstr>'325'!OSRRefT22_8x_0</vt:lpstr>
      <vt:lpstr>'326'!OSRRefT22_8x_0</vt:lpstr>
      <vt:lpstr>'331'!OSRRefT22_8x_0</vt:lpstr>
      <vt:lpstr>'332'!OSRRefT22_8x_0</vt:lpstr>
      <vt:lpstr>'333'!OSRRefT22_8x_0</vt:lpstr>
      <vt:lpstr>'405'!OSRRefT22_8x_0</vt:lpstr>
      <vt:lpstr>'411'!OSRRefT22_8x_0</vt:lpstr>
      <vt:lpstr>'415'!OSRRefT22_8x_0</vt:lpstr>
      <vt:lpstr>'418'!OSRRefT22_8x_0</vt:lpstr>
      <vt:lpstr>'430'!OSRRefT22_8x_0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'310'!OSRRefT22_9x_0</vt:lpstr>
      <vt:lpstr>'310 &amp; 491'!OSRRefT22_9x_0</vt:lpstr>
      <vt:lpstr>'311'!OSRRefT22_9x_0</vt:lpstr>
      <vt:lpstr>'315'!OSRRefT22_9x_0</vt:lpstr>
      <vt:lpstr>'316'!OSRRefT22_9x_0</vt:lpstr>
      <vt:lpstr>'317'!OSRRefT22_9x_0</vt:lpstr>
      <vt:lpstr>'321'!OSRRefT22_9x_0</vt:lpstr>
      <vt:lpstr>'325'!OSRRefT22_9x_0</vt:lpstr>
      <vt:lpstr>'326'!OSRRefT22_9x_0</vt:lpstr>
      <vt:lpstr>'331'!OSRRefT22_9x_0</vt:lpstr>
      <vt:lpstr>'332'!OSRRefT22_9x_0</vt:lpstr>
      <vt:lpstr>'333'!OSRRefT22_9x_0</vt:lpstr>
      <vt:lpstr>'405'!OSRRefT22_9x_0</vt:lpstr>
      <vt:lpstr>'411'!OSRRefT22_9x_0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'315'!OSRRefT22x_0</vt:lpstr>
      <vt:lpstr>'316'!OSRRefT22x_0</vt:lpstr>
      <vt:lpstr>'317'!OSRRefT22x_0</vt:lpstr>
      <vt:lpstr>'321'!OSRRefT22x_0</vt:lpstr>
      <vt:lpstr>'325'!OSRRefT22x_0</vt:lpstr>
      <vt:lpstr>'326'!OSRRefT22x_0</vt:lpstr>
      <vt:lpstr>'327'!OSRRefT22x_0</vt:lpstr>
      <vt:lpstr>'331'!OSRRefT22x_0</vt:lpstr>
      <vt:lpstr>'332'!OSRRefT22x_0</vt:lpstr>
      <vt:lpstr>'333'!OSRRefT22x_0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'331'!OSRRefT25x_0</vt:lpstr>
      <vt:lpstr>'332'!OSRRefT25x_0</vt:lpstr>
      <vt:lpstr>'333'!OSRRefT25x_0</vt:lpstr>
      <vt:lpstr>'405'!OSRRefT25x_0</vt:lpstr>
      <vt:lpstr>'411'!OSRRefT25x_0</vt:lpstr>
      <vt:lpstr>'415'!OSRRefT25x_0</vt:lpstr>
      <vt:lpstr>'418'!OSRRefT25x_0</vt:lpstr>
      <vt:lpstr>'423'!OSRRefT25x_0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'315'!Print_Area</vt:lpstr>
      <vt:lpstr>'316'!Print_Area</vt:lpstr>
      <vt:lpstr>'317'!Print_Area</vt:lpstr>
      <vt:lpstr>'321'!Print_Area</vt:lpstr>
      <vt:lpstr>'324'!Print_Area</vt:lpstr>
      <vt:lpstr>'325'!Print_Area</vt:lpstr>
      <vt:lpstr>'326'!Print_Area</vt:lpstr>
      <vt:lpstr>'327'!Print_Area</vt:lpstr>
      <vt:lpstr>'331'!Print_Area</vt:lpstr>
      <vt:lpstr>'332'!Print_Area</vt:lpstr>
      <vt:lpstr>'333'!Print_Area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'OSR_331 (2)_...7280af70_1P5SPLT'!Print_Area</vt:lpstr>
      <vt:lpstr>OSR_331_10VKQAJ!Print_Area</vt:lpstr>
      <vt:lpstr>OSR_332_6NDVBW!Print_Area</vt:lpstr>
      <vt:lpstr>OSR_333_69UF5U!Print_Area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'315'!Print_Titles</vt:lpstr>
      <vt:lpstr>'316'!Print_Titles</vt:lpstr>
      <vt:lpstr>'317'!Print_Titles</vt:lpstr>
      <vt:lpstr>'321'!Print_Titles</vt:lpstr>
      <vt:lpstr>'324'!Print_Titles</vt:lpstr>
      <vt:lpstr>'325'!Print_Titles</vt:lpstr>
      <vt:lpstr>'326'!Print_Titles</vt:lpstr>
      <vt:lpstr>'327'!Print_Titles</vt:lpstr>
      <vt:lpstr>'331'!Print_Titles</vt:lpstr>
      <vt:lpstr>'332'!Print_Titles</vt:lpstr>
      <vt:lpstr>'333'!Print_Titles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'OSR_331 (2)_...7280af70_1P5SPLT'!Print_Titles</vt:lpstr>
      <vt:lpstr>OSR_331_10VKQAJ!Print_Titles</vt:lpstr>
      <vt:lpstr>OSR_332_6NDVBW!Print_Titles</vt:lpstr>
      <vt:lpstr>OSR_333_69UF5U!Print_Titles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2022-02-12T00:36:33Z</dcterms:created>
  <dcterms:modified xsi:type="dcterms:W3CDTF">2022-02-12T00:40:24Z</dcterms:modified>
</cp:coreProperties>
</file>